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H:\周彤\报告\2024年\2024-1-1057-顺义璞瑅润府2024\"/>
    </mc:Choice>
  </mc:AlternateContent>
  <xr:revisionPtr revIDLastSave="0" documentId="13_ncr:1_{D82753AD-EC30-4DF7-9DBB-CAB375B69A27}" xr6:coauthVersionLast="47" xr6:coauthVersionMax="47" xr10:uidLastSave="{00000000-0000-0000-0000-000000000000}"/>
  <bookViews>
    <workbookView xWindow="-120" yWindow="-120" windowWidth="21840" windowHeight="13140" tabRatio="899" firstSheet="10"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预测绘" sheetId="81" r:id="rId13"/>
    <sheet name="面积" sheetId="80"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案例" sheetId="82" r:id="rId22"/>
    <sheet name="成本法" sheetId="68" r:id="rId23"/>
    <sheet name="成本法 (元)" sheetId="69" state="hidden"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仓储" sheetId="36" r:id="rId34"/>
    <sheet name="比较法-车位" sheetId="35" r:id="rId35"/>
    <sheet name="土地比较法-工业" sheetId="40" state="hidden"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'[1]不动产比较法-办公'!$B$119:$M$119</definedName>
    <definedName name="办公层高">'比较法-办公'!$B$119:$M$119</definedName>
    <definedName name="办公朝向" localSheetId="12">'[1]不动产比较法-办公'!$B$91:$M$91</definedName>
    <definedName name="办公朝向">'比较法-办公'!$B$91:$M$91</definedName>
    <definedName name="办公道路级别" localSheetId="12">'[1]不动产比较法-办公'!$B$87:$M$87</definedName>
    <definedName name="办公道路级别">'比较法-办公'!$B$87:$M$87</definedName>
    <definedName name="办公公共部分装修" localSheetId="12">'[1]不动产比较法-办公'!$B$108:$M$108</definedName>
    <definedName name="办公公共部分装修">'比较法-办公'!$B$108:$M$108</definedName>
    <definedName name="办公基础设施水平" localSheetId="12">'[1]不动产比较法-办公'!$B$117:$M$117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'比较法-办公'!$B$106:$M$106</definedName>
    <definedName name="办公建筑类型" localSheetId="12">'[1]不动产比较法-办公'!$B$101:$M$101</definedName>
    <definedName name="办公建筑类型">'比较法-办公'!$B$101:$M$101</definedName>
    <definedName name="办公交易情况" localSheetId="12">'[1]不动产比较法-办公'!$A$62:$M$62</definedName>
    <definedName name="办公交易情况">'比较法-办公'!$A$62:$M$62</definedName>
    <definedName name="办公楼层" localSheetId="12">'[1]不动产比较法-办公'!$B$89:$M$89</definedName>
    <definedName name="办公楼层">'比较法-办公'!$B$89:$M$89</definedName>
    <definedName name="办公内部装修" localSheetId="12">'[1]不动产比较法-办公'!$B$123:$M$123</definedName>
    <definedName name="办公内部装修">'比较法-办公'!$B$123:$M$123</definedName>
    <definedName name="办公物业管理" localSheetId="12">'[1]不动产比较法-办公'!$B$115:$M$115</definedName>
    <definedName name="办公物业管理">'比较法-办公'!$B$115:$M$115</definedName>
    <definedName name="办公用途" localSheetId="12">'[1]不动产比较法-办公'!$B$64:$M$64</definedName>
    <definedName name="办公用途">'比较法-办公'!$B$64:$M$64</definedName>
    <definedName name="不含税净利">[2]成本构成!$H$84</definedName>
    <definedName name="不可预见费率">[2]成本构成!$G$61</definedName>
    <definedName name="财务费">[2]基础运算!$C$15</definedName>
    <definedName name="仓储公共部分装修" localSheetId="12">'[1]不动产比较法-仓储'!$B$77:$M$77</definedName>
    <definedName name="仓储公共部分装修">'比较法-仓储'!$B$77:$M$77</definedName>
    <definedName name="仓储交易情况" localSheetId="12">'[1]不动产比较法-仓储'!$A$49:$M$49</definedName>
    <definedName name="仓储交易情况">'比较法-仓储'!$A$49:$M$49</definedName>
    <definedName name="仓储楼层" localSheetId="12">'[1]不动产比较法-仓储'!$B$69:$M$69</definedName>
    <definedName name="仓储楼层">'比较法-仓储'!$B$69:$M$69</definedName>
    <definedName name="仓储物业等级" localSheetId="12">'[1]不动产比较法-仓储'!$B$82:$M$82</definedName>
    <definedName name="仓储物业等级">'比较法-仓储'!$B$82:$M$82</definedName>
    <definedName name="仓储用途" localSheetId="12">'[1]不动产比较法-仓储'!$B$51:$M$51</definedName>
    <definedName name="仓储用途">'比较法-仓储'!$B$51:$M$51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'比较法-车位'!$B$83:$M$83</definedName>
    <definedName name="车位交易情况" localSheetId="12">'[1]不动产比较法-车位'!$A$51:$M$51</definedName>
    <definedName name="车位交易情况">'比较法-车位'!$A$51:$M$51</definedName>
    <definedName name="车位类型" localSheetId="12">'[1]不动产比较法-车位'!$B$93:$M$93</definedName>
    <definedName name="车位类型">'比较法-车位'!$B$93:$M$93</definedName>
    <definedName name="车位楼层" localSheetId="12">'[1]不动产比较法-车位'!$B$71:$M$71</definedName>
    <definedName name="车位楼层">'比较法-车位'!$B$71:$M$71</definedName>
    <definedName name="车位配套类型" localSheetId="12">'[1]不动产比较法-车位'!$B$79:$M$79</definedName>
    <definedName name="车位配套类型">'比较法-车位'!$B$79:$M$79</definedName>
    <definedName name="车位物业等级" localSheetId="12">'[1]不动产比较法-车位'!$B$88:$M$88</definedName>
    <definedName name="车位物业等级">'比较法-车位'!$B$88:$M$88</definedName>
    <definedName name="车位用途" localSheetId="12">'[1]不动产比较法-车位'!$B$53:$M$53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纯直开">[2]基础运算!$C$4</definedName>
    <definedName name="贷款利率">[2]成本构成!$F$85</definedName>
    <definedName name="单价内涵" localSheetId="12">[1]定义!$V$1:$V$3</definedName>
    <definedName name="单价内涵">定义!$V$1:$V$3</definedName>
    <definedName name="当前地价">[2]成本构成!$F$7</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[1]定义!$G$2:$G$5</definedName>
    <definedName name="法定最高年限">定义!$G$1:$G$6</definedName>
    <definedName name="附加税税率">[2]成本构成!$G$72</definedName>
    <definedName name="工业公共部分装修" localSheetId="12">'[1]不动产比较法-工业'!$B$95:$M$95</definedName>
    <definedName name="工业公共部分装修">'比较法-工业'!$B$95:$M$95</definedName>
    <definedName name="工业基础设施水平" localSheetId="12">'[1]不动产比较法-工业'!$B$102:$M$102</definedName>
    <definedName name="工业基础设施水平">'比较法-工业'!$B$102:$M$102</definedName>
    <definedName name="工业建筑结构" localSheetId="12">'[1]不动产比较法-工业'!$B$93:$M$93</definedName>
    <definedName name="工业建筑结构">'比较法-工业'!$B$93:$M$93</definedName>
    <definedName name="工业建筑类型" localSheetId="12">'[1]不动产比较法-工业'!$B$88:$M$88</definedName>
    <definedName name="工业建筑类型">'比较法-工业'!$B$88:$M$88</definedName>
    <definedName name="工业交易情况" localSheetId="12">'[1]不动产比较法-工业'!$A$55:$M$55</definedName>
    <definedName name="工业交易情况">'比较法-工业'!$A$55:$M$55</definedName>
    <definedName name="工业内部装修" localSheetId="12">'[1]不动产比较法-工业'!$B$104:$M$104</definedName>
    <definedName name="工业内部装修">'比较法-工业'!$B$104:$M$104</definedName>
    <definedName name="工业物业管理" localSheetId="12">'[1]不动产比较法-工业'!$B$100:$M$100</definedName>
    <definedName name="工业物业管理">'比较法-工业'!$B$100:$M$100</definedName>
    <definedName name="工业用途" localSheetId="12">'[1]不动产比较法-工业'!$B$57:$M$57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股东借款利率">[2]成本构成!$F$86</definedName>
    <definedName name="股东内部收益率">[2]资金平衡!$D$38</definedName>
    <definedName name="管理费">[2]基础运算!$C$14</definedName>
    <definedName name="管理费用比例">[2]成本构成!$G$65</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净利润">[2]基础运算!$C$50</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利润表所得税总额">[2]利润表!$C$22</definedName>
    <definedName name="临街状况" localSheetId="12">[1]定义!$T$1:$T$5</definedName>
    <definedName name="临街状况">定义!$T$1:$T$5</definedName>
    <definedName name="六级">区片价!$N$1:$N$64</definedName>
    <definedName name="内部收益率">[2]基础运算!$C$72</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期间费用">[2]基础运算!$C$13</definedName>
    <definedName name="其他税">[2]基础运算!$C$18</definedName>
    <definedName name="区域土地利用方向" localSheetId="12">[1]定义!$P$1:$P$6</definedName>
    <definedName name="区域土地利用方向">定义!$P$1:$P$6</definedName>
    <definedName name="全直开">[2]基础运算!$C$3</definedName>
    <definedName name="三级">区片价!$K$1:$K$26</definedName>
    <definedName name="商业层高" localSheetId="12">'[1]不动产比较法-商业'!$B$116:$M$116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'比较法-商业'!$B$107:$M$107</definedName>
    <definedName name="商业基础设施水平" localSheetId="12">'[1]不动产比较法-商业'!$B$112:$M$112</definedName>
    <definedName name="商业基础设施水平">'比较法-商业'!$B$112:$M$112</definedName>
    <definedName name="商业建筑结构" localSheetId="12">'[1]不动产比较法-商业'!$B$105:$M$105</definedName>
    <definedName name="商业建筑结构">'比较法-商业'!$B$105:$M$105</definedName>
    <definedName name="商业交易情况" localSheetId="12">'[1]不动产比较法-商业'!$A$61:$M$61</definedName>
    <definedName name="商业交易情况">'比较法-商业'!$A$61:$M$61</definedName>
    <definedName name="商业街名称" localSheetId="12">[1]修正!$C$71:$C$139</definedName>
    <definedName name="商业街名称">修正!$C$71:$C$138</definedName>
    <definedName name="商业进深比" localSheetId="12">'[1]不动产比较法-商业'!$B$120:$M$120</definedName>
    <definedName name="商业进深比">'比较法-商业'!$B$120:$M$120</definedName>
    <definedName name="商业类型" localSheetId="12">'[1]不动产比较法-商业'!$B$100:$M$100</definedName>
    <definedName name="商业类型">'比较法-商业'!$B$100:$M$100</definedName>
    <definedName name="商业临街状况" localSheetId="12">'[1]不动产比较法-商业'!$B$86:$M$86</definedName>
    <definedName name="商业临街状况">'比较法-商业'!$B$86:$M$86</definedName>
    <definedName name="商业楼层" localSheetId="12">'[1]不动产比较法-商业'!$B$92:$M$92</definedName>
    <definedName name="商业楼层">'比较法-商业'!$B$92:$M$92</definedName>
    <definedName name="商业内部装修" localSheetId="12">'[1]不动产比较法-商业'!$B$122:$M$122</definedName>
    <definedName name="商业内部装修">'比较法-商业'!$B$122:$M$122</definedName>
    <definedName name="商业人流量" localSheetId="12">'[1]不动产比较法-商业'!$B$90:$M$90</definedName>
    <definedName name="商业人流量">'比较法-商业'!$B$90:$M$90</definedName>
    <definedName name="商业业态" localSheetId="12">'[1]不动产比较法-商业'!$B$114:$M$114</definedName>
    <definedName name="商业业态">'比较法-商业'!$B$114:$M$114</definedName>
    <definedName name="商业用途" localSheetId="1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'[1]不动产比较法-仓储'!$B$89:$M$89</definedName>
    <definedName name="是否封闭">'比较法-仓储'!$B$89:$M$89</definedName>
    <definedName name="是否直接入户" localSheetId="12">'[1]不动产比较法-车位'!$B$95:$M$95</definedName>
    <definedName name="是否直接入户">'比较法-车位'!$B$95:$M$95</definedName>
    <definedName name="税前利润">[2]基础运算!$C$48</definedName>
    <definedName name="四级">区片价!$L$1:$L$33</definedName>
    <definedName name="所得税">[2]基础运算!$C$49</definedName>
    <definedName name="所得税税率">[2]成本构成!$G$83</definedName>
    <definedName name="所得税预缴毛利率">[2]成本构成!$F$87</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1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2">'[1]比较法-工业'!$B$100:$M$100</definedName>
    <definedName name="套工土地级别">'土地比较法-工业'!$B$99:$M$99</definedName>
    <definedName name="套工用途" localSheetId="12">'[1]比较法-工业'!$B$71:$M$71</definedName>
    <definedName name="套工用途">'土地比较法-工业'!$B$70:$M$70</definedName>
    <definedName name="套工宗地开发程度">'土地比较法-工业'!$B$112:$M$112</definedName>
    <definedName name="套工宗地形状" localSheetId="12">'[1]比较法-工业'!$B$111:$M$111</definedName>
    <definedName name="套工宗地形状">'土地比较法-工业'!$B$110:$M$110</definedName>
    <definedName name="套综道路等级" localSheetId="12">'[1]比较法-住宅、综合'!$B$107:$M$107</definedName>
    <definedName name="套综道路等级">'土地比较法-住宅、综合'!$B$105:$M$105</definedName>
    <definedName name="套综工程地质条件" localSheetId="12">'[1]比较法-住宅、综合'!$B$126:$M$126</definedName>
    <definedName name="套综工程地质条件">'土地比较法-住宅、综合'!$B$124:$M$124</definedName>
    <definedName name="套综交易情况" localSheetId="12">'[1]比较法-住宅、综合'!$A$74:$M$74</definedName>
    <definedName name="套综交易情况">'土地比较法-住宅、综合'!$A$72:$M$72</definedName>
    <definedName name="套综临街宽度及深度" localSheetId="12">'[1]比较法-住宅、综合'!$B$122:$M$122</definedName>
    <definedName name="套综临街宽度及深度">'土地比较法-住宅、综合'!$B$120:$M$120</definedName>
    <definedName name="套综土地级别" localSheetId="12">'[1]比较法-住宅、综合'!$B$109:$M$109</definedName>
    <definedName name="套综土地级别">'土地比较法-住宅、综合'!$B$107:$M$107</definedName>
    <definedName name="套综用途" localSheetId="12">'[1]比较法-住宅、综合'!$B$76:$M$76</definedName>
    <definedName name="套综用途">'土地比较法-住宅、综合'!$B$74:$M$74</definedName>
    <definedName name="套综宗地内开发程度" localSheetId="12">'[1]比较法-住宅、综合'!$B$124:$M$124</definedName>
    <definedName name="套综宗地内开发程度">'土地比较法-住宅、综合'!$B$122:$M$122</definedName>
    <definedName name="套综宗地形状" localSheetId="12">'[1]比较法-住宅、综合'!$B$120:$M$120</definedName>
    <definedName name="套综宗地形状">'土地比较法-住宅、综合'!$B$118:$M$118</definedName>
    <definedName name="投资净利率">[2]基础运算!$C$52</definedName>
    <definedName name="投资毛利率">[2]基础运算!$C$51</definedName>
    <definedName name="土地估价师" localSheetId="12">[1]估价师及机构信息!$D$3:$D$17</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土增税">[2]基础运算!$C$19</definedName>
    <definedName name="土增税预提比例">[2]成本构成!$G$79</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现值系数">[2]成本构成!$F$89</definedName>
    <definedName name="项目类型" localSheetId="27">'[3]数据-汇总表'!$C$17:$C$26</definedName>
    <definedName name="项目类型" localSheetId="12">'[1]数据-汇总表'!$C$17:$C$26</definedName>
    <definedName name="项目类型">'数据-汇总表'!$C$17:$C$26</definedName>
    <definedName name="销售费">[2]基础运算!$C$16</definedName>
    <definedName name="销售净利率">[2]基础运算!$C$54</definedName>
    <definedName name="销售毛利率">[2]基础运算!$C$53</definedName>
    <definedName name="写字楼等级" localSheetId="12">'[1]不动产比较法-办公'!$B$113:$M$113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[1]定义!$A$1:$A$50</definedName>
    <definedName name="用途明细">定义!$A$1:$A$50</definedName>
    <definedName name="有无电梯" localSheetId="12">'[1]不动产比较法-仓储'!$B$84:$M$84</definedName>
    <definedName name="有无电梯">'比较法-仓储'!$B$84:$M$84</definedName>
    <definedName name="增值税">'[2]收入测算-货值46.63亿终版'!$F$82</definedName>
    <definedName name="增值税及附加">[2]基础运算!$C$17</definedName>
    <definedName name="增值税适用税率">[2]成本构成!$J$81</definedName>
    <definedName name="增值税预交税率">[2]成本构成!$F$88</definedName>
    <definedName name="主用途" localSheetId="12">[1]定义!$F$1:$F$12</definedName>
    <definedName name="主用途">定义!$F$1:$F$12</definedName>
    <definedName name="住宅朝向" localSheetId="12">'[1]不动产比较法-住宅'!$B$88:$M$88</definedName>
    <definedName name="住宅朝向">'比较法-住宅'!$B$88:$M$88</definedName>
    <definedName name="住宅房型" localSheetId="12">'[1]不动产比较法-住宅'!$B$118:$M$118</definedName>
    <definedName name="住宅房型">'比较法-住宅'!$B$118:$M$118</definedName>
    <definedName name="住宅公共部分装修" localSheetId="12">'[1]不动产比较法-住宅'!$B$109:$M$109</definedName>
    <definedName name="住宅公共部分装修">'比较法-住宅'!$B$109:$M$109</definedName>
    <definedName name="住宅基础设施水平" localSheetId="12">'[1]不动产比较法-住宅'!$B$116:$M$116</definedName>
    <definedName name="住宅基础设施水平">'比较法-住宅'!$B$116:$M$116</definedName>
    <definedName name="住宅建筑结构" localSheetId="12">'[1]不动产比较法-住宅'!$B$105:$M$105</definedName>
    <definedName name="住宅建筑结构">'比较法-住宅'!$B$105:$M$105</definedName>
    <definedName name="住宅建筑类型" localSheetId="12">'[1]不动产比较法-住宅'!$B$100:$M$100</definedName>
    <definedName name="住宅建筑类型">'比较法-住宅'!$B$100:$M$100</definedName>
    <definedName name="住宅建筑品质" localSheetId="12">'[1]不动产比较法-住宅'!$B$107:$M$107</definedName>
    <definedName name="住宅建筑品质">'比较法-住宅'!$B$107:$M$107</definedName>
    <definedName name="住宅交易情况" localSheetId="12">'[1]不动产比较法-住宅'!$A$61:$M$61</definedName>
    <definedName name="住宅交易情况">'比较法-住宅'!$A$61:$M$61</definedName>
    <definedName name="住宅楼层" localSheetId="12">'[1]不动产比较法-住宅'!$B$86:$M$86</definedName>
    <definedName name="住宅楼层">'比较法-住宅'!$B$86:$M$86</definedName>
    <definedName name="住宅内部装修" localSheetId="12">'[1]不动产比较法-住宅'!$B$122:$M$122</definedName>
    <definedName name="住宅内部装修">'比较法-住宅'!$B$122:$M$122</definedName>
    <definedName name="住宅物业管理" localSheetId="12">'[1]不动产比较法-住宅'!$B$114:$M$114</definedName>
    <definedName name="住宅物业管理">'比较法-住宅'!$B$114:$M$114</definedName>
    <definedName name="住宅用途" localSheetId="12">'[1]不动产比较法-住宅'!$B$63:$M$63</definedName>
    <definedName name="住宅用途">'比较法-住宅'!$B$63:$M$63</definedName>
    <definedName name="住宅主力户型面积">'比较法-住宅'!$B$120:$M$120</definedName>
    <definedName name="注册房地产估价师">估价师及机构信息!$A$3:$A$16</definedName>
    <definedName name="总可售面积">'[2]收入测算-货值46.63亿终版'!$F$77</definedName>
    <definedName name="总投资">[2]基础运算!$C$46</definedName>
    <definedName name="总销售收入">'[2]收入测算-货值46.63亿终版'!$F$83</definedName>
    <definedName name="总占地面积">[1]概念指标!$D$5</definedName>
  </definedNames>
  <calcPr calcId="181029"/>
</workbook>
</file>

<file path=xl/calcChain.xml><?xml version="1.0" encoding="utf-8"?>
<calcChain xmlns="http://schemas.openxmlformats.org/spreadsheetml/2006/main">
  <c r="G644" i="80" l="1"/>
  <c r="L611" i="80"/>
  <c r="L610" i="80"/>
  <c r="K611" i="80"/>
  <c r="K610" i="80"/>
  <c r="K608" i="80"/>
  <c r="G654" i="80"/>
  <c r="G78" i="81"/>
  <c r="F606" i="80"/>
  <c r="H620" i="80"/>
  <c r="F608" i="80"/>
  <c r="F609" i="80"/>
  <c r="F610" i="80"/>
  <c r="F611" i="80"/>
  <c r="F612" i="80"/>
  <c r="F613" i="80"/>
  <c r="F614" i="80"/>
  <c r="F615" i="80"/>
  <c r="F616" i="80"/>
  <c r="F617" i="80"/>
  <c r="F618" i="80"/>
  <c r="F619" i="80"/>
  <c r="F620" i="80"/>
  <c r="F621" i="80"/>
  <c r="F622" i="80"/>
  <c r="F623" i="80"/>
  <c r="F624" i="80"/>
  <c r="F625" i="80"/>
  <c r="F626" i="80"/>
  <c r="F627" i="80"/>
  <c r="F628" i="80"/>
  <c r="F629" i="80"/>
  <c r="F630" i="80"/>
  <c r="F631" i="80"/>
  <c r="F632" i="80"/>
  <c r="F633" i="80"/>
  <c r="F634" i="80"/>
  <c r="F635" i="80"/>
  <c r="F636" i="80"/>
  <c r="F637" i="80"/>
  <c r="F638" i="80"/>
  <c r="F639" i="80"/>
  <c r="F640" i="80"/>
  <c r="F641" i="80"/>
  <c r="F642" i="80"/>
  <c r="F643" i="80"/>
  <c r="F644" i="80"/>
  <c r="F645" i="80"/>
  <c r="F646" i="80"/>
  <c r="F647" i="80"/>
  <c r="F648" i="80"/>
  <c r="F649" i="80"/>
  <c r="F650" i="80"/>
  <c r="F651" i="80"/>
  <c r="F652" i="80"/>
  <c r="F653" i="80"/>
  <c r="F654" i="80"/>
  <c r="F655" i="80"/>
  <c r="F656" i="80"/>
  <c r="F657" i="80"/>
  <c r="F658" i="80"/>
  <c r="F659" i="80"/>
  <c r="F660" i="80"/>
  <c r="F661" i="80"/>
  <c r="F662" i="80"/>
  <c r="F663" i="80"/>
  <c r="F664" i="80"/>
  <c r="F665" i="80"/>
  <c r="F666" i="80"/>
  <c r="F667" i="80"/>
  <c r="F668" i="80"/>
  <c r="F669" i="80"/>
  <c r="F670" i="80"/>
  <c r="F671" i="80"/>
  <c r="F672" i="80"/>
  <c r="F673" i="80"/>
  <c r="F674" i="80"/>
  <c r="F675" i="80"/>
  <c r="F676" i="80"/>
  <c r="F677" i="80"/>
  <c r="F607" i="80"/>
  <c r="H654" i="80" l="1"/>
  <c r="H629" i="80"/>
  <c r="H644" i="80"/>
  <c r="D88" i="36"/>
  <c r="E88" i="36" s="1"/>
  <c r="F88" i="36" s="1"/>
  <c r="G88" i="36" s="1"/>
  <c r="D117" i="39" l="1"/>
  <c r="E117" i="39" s="1"/>
  <c r="F117" i="39" s="1"/>
  <c r="G117" i="39" s="1"/>
  <c r="M34" i="81"/>
  <c r="M33" i="81"/>
  <c r="F28" i="81"/>
  <c r="E27" i="81"/>
  <c r="E14" i="81"/>
  <c r="E15" i="81"/>
  <c r="E16" i="81"/>
  <c r="E17" i="81"/>
  <c r="E18" i="81"/>
  <c r="E19" i="81"/>
  <c r="E20" i="81"/>
  <c r="E21" i="81"/>
  <c r="E22" i="81"/>
  <c r="E23" i="81"/>
  <c r="E24" i="81"/>
  <c r="E25" i="81"/>
  <c r="E26" i="81"/>
  <c r="E12" i="81"/>
  <c r="H4" i="80" l="1"/>
  <c r="E525" i="31" l="1"/>
  <c r="G525" i="31"/>
  <c r="I525" i="31"/>
  <c r="K525" i="31"/>
  <c r="M525" i="31"/>
  <c r="O525" i="31"/>
  <c r="Q525" i="31"/>
  <c r="E526" i="31"/>
  <c r="G526" i="31"/>
  <c r="I526" i="31"/>
  <c r="K526" i="31"/>
  <c r="M526" i="31"/>
  <c r="O526" i="31"/>
  <c r="Q526" i="31"/>
  <c r="E527" i="31"/>
  <c r="G527" i="31"/>
  <c r="I527" i="31"/>
  <c r="K527" i="31"/>
  <c r="M527" i="31"/>
  <c r="O527" i="31"/>
  <c r="Q527" i="31"/>
  <c r="E528" i="31"/>
  <c r="G528" i="31"/>
  <c r="I528" i="31"/>
  <c r="K528" i="31"/>
  <c r="M528" i="31"/>
  <c r="O528" i="31"/>
  <c r="Q528" i="31"/>
  <c r="E529" i="31"/>
  <c r="G529" i="31"/>
  <c r="I529" i="31"/>
  <c r="K529" i="31"/>
  <c r="M529" i="31"/>
  <c r="O529" i="31"/>
  <c r="Q529" i="31"/>
  <c r="E530" i="31"/>
  <c r="G530" i="31"/>
  <c r="I530" i="31"/>
  <c r="K530" i="31"/>
  <c r="M530" i="31"/>
  <c r="O530" i="31"/>
  <c r="Q530" i="31"/>
  <c r="E531" i="31"/>
  <c r="G531" i="31"/>
  <c r="I531" i="31"/>
  <c r="K531" i="31"/>
  <c r="M531" i="31"/>
  <c r="O531" i="31"/>
  <c r="Q531" i="31"/>
  <c r="E532" i="31"/>
  <c r="G532" i="31"/>
  <c r="I532" i="31"/>
  <c r="K532" i="31"/>
  <c r="M532" i="31"/>
  <c r="O532" i="31"/>
  <c r="Q532" i="31"/>
  <c r="E533" i="31"/>
  <c r="G533" i="31"/>
  <c r="I533" i="31"/>
  <c r="K533" i="31"/>
  <c r="M533" i="31"/>
  <c r="O533" i="31"/>
  <c r="Q533" i="31"/>
  <c r="E534" i="31"/>
  <c r="G534" i="31"/>
  <c r="I534" i="31"/>
  <c r="K534" i="31"/>
  <c r="M534" i="31"/>
  <c r="O534" i="31"/>
  <c r="Q534" i="31"/>
  <c r="E535" i="31"/>
  <c r="G535" i="31"/>
  <c r="I535" i="31"/>
  <c r="K535" i="31"/>
  <c r="M535" i="31"/>
  <c r="O535" i="31"/>
  <c r="Q535" i="31"/>
  <c r="E536" i="31"/>
  <c r="G536" i="31"/>
  <c r="I536" i="31"/>
  <c r="K536" i="31"/>
  <c r="M536" i="31"/>
  <c r="O536" i="31"/>
  <c r="Q536" i="31"/>
  <c r="E537" i="31"/>
  <c r="G537" i="31"/>
  <c r="I537" i="31"/>
  <c r="K537" i="31"/>
  <c r="M537" i="31"/>
  <c r="O537" i="31"/>
  <c r="Q537" i="31"/>
  <c r="E538" i="31"/>
  <c r="G538" i="31"/>
  <c r="I538" i="31"/>
  <c r="K538" i="31"/>
  <c r="M538" i="31"/>
  <c r="O538" i="31"/>
  <c r="Q538" i="31"/>
  <c r="E539" i="31"/>
  <c r="G539" i="31"/>
  <c r="I539" i="31"/>
  <c r="K539" i="31"/>
  <c r="M539" i="31"/>
  <c r="O539" i="31"/>
  <c r="Q539" i="31"/>
  <c r="E540" i="31"/>
  <c r="G540" i="31"/>
  <c r="I540" i="31"/>
  <c r="K540" i="31"/>
  <c r="M540" i="31"/>
  <c r="O540" i="31"/>
  <c r="Q540" i="31"/>
  <c r="E541" i="31"/>
  <c r="G541" i="31"/>
  <c r="I541" i="31"/>
  <c r="K541" i="31"/>
  <c r="M541" i="31"/>
  <c r="O541" i="31"/>
  <c r="Q541" i="31"/>
  <c r="E542" i="31"/>
  <c r="G542" i="31"/>
  <c r="I542" i="31"/>
  <c r="K542" i="31"/>
  <c r="M542" i="31"/>
  <c r="O542" i="31"/>
  <c r="Q542" i="31"/>
  <c r="E543" i="31"/>
  <c r="G543" i="31"/>
  <c r="I543" i="31"/>
  <c r="K543" i="31"/>
  <c r="M543" i="31"/>
  <c r="O543" i="31"/>
  <c r="Q543" i="31"/>
  <c r="E544" i="31"/>
  <c r="G544" i="31"/>
  <c r="I544" i="31"/>
  <c r="K544" i="31"/>
  <c r="M544" i="31"/>
  <c r="O544" i="31"/>
  <c r="Q544" i="31"/>
  <c r="E545" i="31"/>
  <c r="G545" i="31"/>
  <c r="I545" i="31"/>
  <c r="K545" i="31"/>
  <c r="M545" i="31"/>
  <c r="O545" i="31"/>
  <c r="Q545" i="31"/>
  <c r="E546" i="31"/>
  <c r="G546" i="31"/>
  <c r="I546" i="31"/>
  <c r="K546" i="31"/>
  <c r="M546" i="31"/>
  <c r="O546" i="31"/>
  <c r="Q546" i="31"/>
  <c r="E547" i="31"/>
  <c r="G547" i="31"/>
  <c r="I547" i="31"/>
  <c r="K547" i="31"/>
  <c r="M547" i="31"/>
  <c r="O547" i="31"/>
  <c r="Q547" i="31"/>
  <c r="E548" i="31"/>
  <c r="G548" i="31"/>
  <c r="I548" i="31"/>
  <c r="K548" i="31"/>
  <c r="M548" i="31"/>
  <c r="O548" i="31"/>
  <c r="Q548" i="31"/>
  <c r="E549" i="31"/>
  <c r="G549" i="31"/>
  <c r="I549" i="31"/>
  <c r="K549" i="31"/>
  <c r="M549" i="31"/>
  <c r="O549" i="31"/>
  <c r="Q549" i="31"/>
  <c r="E550" i="31"/>
  <c r="G550" i="31"/>
  <c r="I550" i="31"/>
  <c r="K550" i="31"/>
  <c r="M550" i="31"/>
  <c r="O550" i="31"/>
  <c r="Q550" i="31"/>
  <c r="E551" i="31"/>
  <c r="G551" i="31"/>
  <c r="I551" i="31"/>
  <c r="K551" i="31"/>
  <c r="M551" i="31"/>
  <c r="O551" i="31"/>
  <c r="Q551" i="31"/>
  <c r="E552" i="31"/>
  <c r="G552" i="31"/>
  <c r="I552" i="31"/>
  <c r="K552" i="31"/>
  <c r="M552" i="31"/>
  <c r="O552" i="31"/>
  <c r="Q552" i="31"/>
  <c r="E553" i="31"/>
  <c r="G553" i="31"/>
  <c r="I553" i="31"/>
  <c r="K553" i="31"/>
  <c r="M553" i="31"/>
  <c r="O553" i="31"/>
  <c r="Q553" i="31"/>
  <c r="E554" i="31"/>
  <c r="G554" i="31"/>
  <c r="I554" i="31"/>
  <c r="K554" i="31"/>
  <c r="M554" i="31"/>
  <c r="O554" i="31"/>
  <c r="Q554" i="31"/>
  <c r="E555" i="31"/>
  <c r="G555" i="31"/>
  <c r="I555" i="31"/>
  <c r="K555" i="31"/>
  <c r="M555" i="31"/>
  <c r="O555" i="31"/>
  <c r="Q555" i="31"/>
  <c r="E556" i="31"/>
  <c r="G556" i="31"/>
  <c r="I556" i="31"/>
  <c r="K556" i="31"/>
  <c r="M556" i="31"/>
  <c r="O556" i="31"/>
  <c r="Q556" i="31"/>
  <c r="E557" i="31"/>
  <c r="G557" i="31"/>
  <c r="I557" i="31"/>
  <c r="K557" i="31"/>
  <c r="M557" i="31"/>
  <c r="O557" i="31"/>
  <c r="Q557" i="31"/>
  <c r="E558" i="31"/>
  <c r="G558" i="31"/>
  <c r="I558" i="31"/>
  <c r="K558" i="31"/>
  <c r="M558" i="31"/>
  <c r="O558" i="31"/>
  <c r="Q558" i="31"/>
  <c r="E559" i="31"/>
  <c r="G559" i="31"/>
  <c r="I559" i="31"/>
  <c r="K559" i="31"/>
  <c r="M559" i="31"/>
  <c r="O559" i="31"/>
  <c r="Q559" i="31"/>
  <c r="E560" i="31"/>
  <c r="G560" i="31"/>
  <c r="I560" i="31"/>
  <c r="K560" i="31"/>
  <c r="M560" i="31"/>
  <c r="O560" i="31"/>
  <c r="Q560" i="31"/>
  <c r="E561" i="31"/>
  <c r="G561" i="31"/>
  <c r="I561" i="31"/>
  <c r="K561" i="31"/>
  <c r="M561" i="31"/>
  <c r="O561" i="31"/>
  <c r="Q561" i="31"/>
  <c r="E562" i="31"/>
  <c r="G562" i="31"/>
  <c r="I562" i="31"/>
  <c r="K562" i="31"/>
  <c r="M562" i="31"/>
  <c r="O562" i="31"/>
  <c r="Q562" i="31"/>
  <c r="E563" i="31"/>
  <c r="G563" i="31"/>
  <c r="I563" i="31"/>
  <c r="K563" i="31"/>
  <c r="M563" i="31"/>
  <c r="O563" i="31"/>
  <c r="Q563" i="31"/>
  <c r="E564" i="31"/>
  <c r="G564" i="31"/>
  <c r="I564" i="31"/>
  <c r="K564" i="31"/>
  <c r="M564" i="31"/>
  <c r="O564" i="31"/>
  <c r="Q564" i="31"/>
  <c r="E565" i="31"/>
  <c r="G565" i="31"/>
  <c r="I565" i="31"/>
  <c r="K565" i="31"/>
  <c r="M565" i="31"/>
  <c r="O565" i="31"/>
  <c r="Q565" i="31"/>
  <c r="E566" i="31"/>
  <c r="G566" i="31"/>
  <c r="I566" i="31"/>
  <c r="K566" i="31"/>
  <c r="M566" i="31"/>
  <c r="O566" i="31"/>
  <c r="Q566" i="31"/>
  <c r="E567" i="31"/>
  <c r="G567" i="31"/>
  <c r="I567" i="31"/>
  <c r="K567" i="31"/>
  <c r="M567" i="31"/>
  <c r="O567" i="31"/>
  <c r="Q567" i="31"/>
  <c r="E568" i="31"/>
  <c r="G568" i="31"/>
  <c r="I568" i="31"/>
  <c r="K568" i="31"/>
  <c r="M568" i="31"/>
  <c r="O568" i="31"/>
  <c r="Q568" i="31"/>
  <c r="E569" i="31"/>
  <c r="G569" i="31"/>
  <c r="I569" i="31"/>
  <c r="K569" i="31"/>
  <c r="M569" i="31"/>
  <c r="O569" i="31"/>
  <c r="Q569" i="31"/>
  <c r="E570" i="31"/>
  <c r="G570" i="31"/>
  <c r="I570" i="31"/>
  <c r="K570" i="31"/>
  <c r="M570" i="31"/>
  <c r="O570" i="31"/>
  <c r="Q570" i="31"/>
  <c r="E571" i="31"/>
  <c r="G571" i="31"/>
  <c r="I571" i="31"/>
  <c r="K571" i="31"/>
  <c r="M571" i="31"/>
  <c r="O571" i="31"/>
  <c r="Q571" i="31"/>
  <c r="E572" i="31"/>
  <c r="G572" i="31"/>
  <c r="I572" i="31"/>
  <c r="K572" i="31"/>
  <c r="M572" i="31"/>
  <c r="O572" i="31"/>
  <c r="Q572" i="31"/>
  <c r="E573" i="31"/>
  <c r="G573" i="31"/>
  <c r="I573" i="31"/>
  <c r="K573" i="31"/>
  <c r="M573" i="31"/>
  <c r="O573" i="31"/>
  <c r="Q573" i="31"/>
  <c r="E574" i="31"/>
  <c r="G574" i="31"/>
  <c r="I574" i="31"/>
  <c r="K574" i="31"/>
  <c r="M574" i="31"/>
  <c r="O574" i="31"/>
  <c r="Q574" i="31"/>
  <c r="E575" i="31"/>
  <c r="G575" i="31"/>
  <c r="I575" i="31"/>
  <c r="K575" i="31"/>
  <c r="M575" i="31"/>
  <c r="O575" i="31"/>
  <c r="Q575" i="31"/>
  <c r="E576" i="31"/>
  <c r="G576" i="31"/>
  <c r="I576" i="31"/>
  <c r="K576" i="31"/>
  <c r="M576" i="31"/>
  <c r="O576" i="31"/>
  <c r="Q576" i="31"/>
  <c r="E577" i="31"/>
  <c r="G577" i="31"/>
  <c r="I577" i="31"/>
  <c r="K577" i="31"/>
  <c r="M577" i="31"/>
  <c r="O577" i="31"/>
  <c r="Q577" i="31"/>
  <c r="E578" i="31"/>
  <c r="G578" i="31"/>
  <c r="I578" i="31"/>
  <c r="K578" i="31"/>
  <c r="M578" i="31"/>
  <c r="O578" i="31"/>
  <c r="Q578" i="31"/>
  <c r="E579" i="31"/>
  <c r="G579" i="31"/>
  <c r="I579" i="31"/>
  <c r="K579" i="31"/>
  <c r="M579" i="31"/>
  <c r="O579" i="31"/>
  <c r="Q579" i="31"/>
  <c r="E580" i="31"/>
  <c r="G580" i="31"/>
  <c r="I580" i="31"/>
  <c r="K580" i="31"/>
  <c r="M580" i="31"/>
  <c r="O580" i="31"/>
  <c r="Q580" i="31"/>
  <c r="E581" i="31"/>
  <c r="G581" i="31"/>
  <c r="I581" i="31"/>
  <c r="K581" i="31"/>
  <c r="M581" i="31"/>
  <c r="O581" i="31"/>
  <c r="Q581" i="31"/>
  <c r="E582" i="31"/>
  <c r="G582" i="31"/>
  <c r="I582" i="31"/>
  <c r="K582" i="31"/>
  <c r="M582" i="31"/>
  <c r="O582" i="31"/>
  <c r="Q582" i="31"/>
  <c r="E583" i="31"/>
  <c r="G583" i="31"/>
  <c r="I583" i="31"/>
  <c r="K583" i="31"/>
  <c r="M583" i="31"/>
  <c r="O583" i="31"/>
  <c r="Q583" i="31"/>
  <c r="E584" i="31"/>
  <c r="G584" i="31"/>
  <c r="I584" i="31"/>
  <c r="K584" i="31"/>
  <c r="M584" i="31"/>
  <c r="O584" i="31"/>
  <c r="Q584" i="31"/>
  <c r="E585" i="31"/>
  <c r="G585" i="31"/>
  <c r="I585" i="31"/>
  <c r="K585" i="31"/>
  <c r="M585" i="31"/>
  <c r="O585" i="31"/>
  <c r="Q585" i="31"/>
  <c r="E586" i="31"/>
  <c r="G586" i="31"/>
  <c r="I586" i="31"/>
  <c r="K586" i="31"/>
  <c r="M586" i="31"/>
  <c r="O586" i="31"/>
  <c r="Q586" i="31"/>
  <c r="E587" i="31"/>
  <c r="G587" i="31"/>
  <c r="I587" i="31"/>
  <c r="K587" i="31"/>
  <c r="M587" i="31"/>
  <c r="O587" i="31"/>
  <c r="Q587" i="31"/>
  <c r="E588" i="31"/>
  <c r="G588" i="31"/>
  <c r="I588" i="31"/>
  <c r="K588" i="31"/>
  <c r="M588" i="31"/>
  <c r="O588" i="31"/>
  <c r="Q588" i="31"/>
  <c r="E589" i="31"/>
  <c r="G589" i="31"/>
  <c r="I589" i="31"/>
  <c r="K589" i="31"/>
  <c r="M589" i="31"/>
  <c r="O589" i="31"/>
  <c r="Q589" i="31"/>
  <c r="E590" i="31"/>
  <c r="G590" i="31"/>
  <c r="I590" i="31"/>
  <c r="K590" i="31"/>
  <c r="M590" i="31"/>
  <c r="O590" i="31"/>
  <c r="Q590" i="31"/>
  <c r="E591" i="31"/>
  <c r="G591" i="31"/>
  <c r="I591" i="31"/>
  <c r="K591" i="31"/>
  <c r="M591" i="31"/>
  <c r="O591" i="31"/>
  <c r="Q591" i="31"/>
  <c r="E592" i="31"/>
  <c r="G592" i="31"/>
  <c r="I592" i="31"/>
  <c r="K592" i="31"/>
  <c r="M592" i="31"/>
  <c r="O592" i="31"/>
  <c r="Q592" i="31"/>
  <c r="E593" i="31"/>
  <c r="G593" i="31"/>
  <c r="I593" i="31"/>
  <c r="K593" i="31"/>
  <c r="M593" i="31"/>
  <c r="O593" i="31"/>
  <c r="Q593" i="31"/>
  <c r="E594" i="31"/>
  <c r="G594" i="31"/>
  <c r="I594" i="31"/>
  <c r="K594" i="31"/>
  <c r="M594" i="31"/>
  <c r="O594" i="31"/>
  <c r="Q594" i="31"/>
  <c r="E595" i="31"/>
  <c r="G595" i="31"/>
  <c r="I595" i="31"/>
  <c r="K595" i="31"/>
  <c r="M595" i="31"/>
  <c r="O595" i="31"/>
  <c r="Q595" i="31"/>
  <c r="E596" i="31"/>
  <c r="G596" i="31"/>
  <c r="I596" i="31"/>
  <c r="K596" i="31"/>
  <c r="M596" i="31"/>
  <c r="O596" i="31"/>
  <c r="Q596" i="31"/>
  <c r="E597" i="31"/>
  <c r="G597" i="31"/>
  <c r="I597" i="31"/>
  <c r="K597" i="31"/>
  <c r="M597" i="31"/>
  <c r="O597" i="31"/>
  <c r="Q597" i="31"/>
  <c r="E598" i="31"/>
  <c r="G598" i="31"/>
  <c r="I598" i="31"/>
  <c r="K598" i="31"/>
  <c r="M598" i="31"/>
  <c r="O598" i="31"/>
  <c r="Q598" i="31"/>
  <c r="E599" i="31"/>
  <c r="G599" i="31"/>
  <c r="I599" i="31"/>
  <c r="K599" i="31"/>
  <c r="M599" i="31"/>
  <c r="O599" i="31"/>
  <c r="Q599" i="31"/>
  <c r="E600" i="31"/>
  <c r="G600" i="31"/>
  <c r="I600" i="31"/>
  <c r="K600" i="31"/>
  <c r="M600" i="31"/>
  <c r="O600" i="31"/>
  <c r="Q600" i="31"/>
  <c r="E601" i="31"/>
  <c r="G601" i="31"/>
  <c r="I601" i="31"/>
  <c r="K601" i="31"/>
  <c r="M601" i="31"/>
  <c r="O601" i="31"/>
  <c r="Q601" i="31"/>
  <c r="E602" i="31"/>
  <c r="G602" i="31"/>
  <c r="I602" i="31"/>
  <c r="K602" i="31"/>
  <c r="M602" i="31"/>
  <c r="O602" i="31"/>
  <c r="Q602" i="31"/>
  <c r="E603" i="31"/>
  <c r="G603" i="31"/>
  <c r="I603" i="31"/>
  <c r="K603" i="31"/>
  <c r="M603" i="31"/>
  <c r="O603" i="31"/>
  <c r="Q603" i="31"/>
  <c r="E604" i="31"/>
  <c r="G604" i="31"/>
  <c r="I604" i="31"/>
  <c r="K604" i="31"/>
  <c r="M604" i="31"/>
  <c r="O604" i="31"/>
  <c r="Q604" i="31"/>
  <c r="E605" i="31"/>
  <c r="G605" i="31"/>
  <c r="I605" i="31"/>
  <c r="K605" i="31"/>
  <c r="M605" i="31"/>
  <c r="O605" i="31"/>
  <c r="Q605" i="31"/>
  <c r="E606" i="31"/>
  <c r="G606" i="31"/>
  <c r="I606" i="31"/>
  <c r="K606" i="31"/>
  <c r="M606" i="31"/>
  <c r="O606" i="31"/>
  <c r="Q606" i="31"/>
  <c r="E607" i="31"/>
  <c r="G607" i="31"/>
  <c r="I607" i="31"/>
  <c r="K607" i="31"/>
  <c r="M607" i="31"/>
  <c r="O607" i="31"/>
  <c r="Q607" i="31"/>
  <c r="E608" i="31"/>
  <c r="G608" i="31"/>
  <c r="I608" i="31"/>
  <c r="K608" i="31"/>
  <c r="M608" i="31"/>
  <c r="O608" i="31"/>
  <c r="Q608" i="31"/>
  <c r="E609" i="31"/>
  <c r="G609" i="31"/>
  <c r="I609" i="31"/>
  <c r="K609" i="31"/>
  <c r="M609" i="31"/>
  <c r="O609" i="31"/>
  <c r="Q609" i="31"/>
  <c r="E610" i="31"/>
  <c r="G610" i="31"/>
  <c r="I610" i="31"/>
  <c r="K610" i="31"/>
  <c r="M610" i="31"/>
  <c r="O610" i="31"/>
  <c r="Q610" i="31"/>
  <c r="E611" i="31"/>
  <c r="G611" i="31"/>
  <c r="I611" i="31"/>
  <c r="K611" i="31"/>
  <c r="M611" i="31"/>
  <c r="O611" i="31"/>
  <c r="Q611" i="31"/>
  <c r="E612" i="31"/>
  <c r="G612" i="31"/>
  <c r="I612" i="31"/>
  <c r="K612" i="31"/>
  <c r="M612" i="31"/>
  <c r="O612" i="31"/>
  <c r="Q612" i="31"/>
  <c r="E613" i="31"/>
  <c r="G613" i="31"/>
  <c r="I613" i="31"/>
  <c r="K613" i="31"/>
  <c r="M613" i="31"/>
  <c r="O613" i="31"/>
  <c r="Q613" i="31"/>
  <c r="E614" i="31"/>
  <c r="G614" i="31"/>
  <c r="I614" i="31"/>
  <c r="K614" i="31"/>
  <c r="M614" i="31"/>
  <c r="O614" i="31"/>
  <c r="Q614" i="31"/>
  <c r="E615" i="31"/>
  <c r="G615" i="31"/>
  <c r="I615" i="31"/>
  <c r="K615" i="31"/>
  <c r="M615" i="31"/>
  <c r="O615" i="31"/>
  <c r="Q615" i="31"/>
  <c r="E616" i="31"/>
  <c r="G616" i="31"/>
  <c r="I616" i="31"/>
  <c r="K616" i="31"/>
  <c r="M616" i="31"/>
  <c r="O616" i="31"/>
  <c r="Q616" i="31"/>
  <c r="E617" i="31"/>
  <c r="G617" i="31"/>
  <c r="I617" i="31"/>
  <c r="K617" i="31"/>
  <c r="M617" i="31"/>
  <c r="O617" i="31"/>
  <c r="Q617" i="31"/>
  <c r="E618" i="31"/>
  <c r="G618" i="31"/>
  <c r="I618" i="31"/>
  <c r="K618" i="31"/>
  <c r="M618" i="31"/>
  <c r="O618" i="31"/>
  <c r="Q618" i="31"/>
  <c r="E619" i="31"/>
  <c r="G619" i="31"/>
  <c r="I619" i="31"/>
  <c r="K619" i="31"/>
  <c r="M619" i="31"/>
  <c r="O619" i="31"/>
  <c r="Q619" i="31"/>
  <c r="E620" i="31"/>
  <c r="G620" i="31"/>
  <c r="I620" i="31"/>
  <c r="K620" i="31"/>
  <c r="M620" i="31"/>
  <c r="O620" i="31"/>
  <c r="Q620" i="31"/>
  <c r="E621" i="31"/>
  <c r="G621" i="31"/>
  <c r="I621" i="31"/>
  <c r="K621" i="31"/>
  <c r="M621" i="31"/>
  <c r="O621" i="31"/>
  <c r="Q621" i="31"/>
  <c r="E622" i="31"/>
  <c r="G622" i="31"/>
  <c r="I622" i="31"/>
  <c r="K622" i="31"/>
  <c r="M622" i="31"/>
  <c r="O622" i="31"/>
  <c r="Q622" i="31"/>
  <c r="E623" i="31"/>
  <c r="G623" i="31"/>
  <c r="I623" i="31"/>
  <c r="K623" i="31"/>
  <c r="M623" i="31"/>
  <c r="O623" i="31"/>
  <c r="Q623" i="31"/>
  <c r="E624" i="31"/>
  <c r="G624" i="31"/>
  <c r="I624" i="31"/>
  <c r="K624" i="31"/>
  <c r="M624" i="31"/>
  <c r="O624" i="31"/>
  <c r="Q624" i="31"/>
  <c r="E625" i="31"/>
  <c r="G625" i="31"/>
  <c r="I625" i="31"/>
  <c r="K625" i="31"/>
  <c r="M625" i="31"/>
  <c r="O625" i="31"/>
  <c r="Q625" i="31"/>
  <c r="E626" i="31"/>
  <c r="G626" i="31"/>
  <c r="I626" i="31"/>
  <c r="K626" i="31"/>
  <c r="M626" i="31"/>
  <c r="O626" i="31"/>
  <c r="Q626" i="31"/>
  <c r="E627" i="31"/>
  <c r="G627" i="31"/>
  <c r="I627" i="31"/>
  <c r="K627" i="31"/>
  <c r="M627" i="31"/>
  <c r="O627" i="31"/>
  <c r="Q627" i="31"/>
  <c r="E628" i="31"/>
  <c r="G628" i="31"/>
  <c r="I628" i="31"/>
  <c r="K628" i="31"/>
  <c r="M628" i="31"/>
  <c r="O628" i="31"/>
  <c r="Q628" i="31"/>
  <c r="E629" i="31"/>
  <c r="G629" i="31"/>
  <c r="I629" i="31"/>
  <c r="K629" i="31"/>
  <c r="M629" i="31"/>
  <c r="O629" i="31"/>
  <c r="Q629" i="31"/>
  <c r="E630" i="31"/>
  <c r="G630" i="31"/>
  <c r="I630" i="31"/>
  <c r="K630" i="31"/>
  <c r="M630" i="31"/>
  <c r="O630" i="31"/>
  <c r="Q630" i="31"/>
  <c r="E631" i="31"/>
  <c r="G631" i="31"/>
  <c r="I631" i="31"/>
  <c r="K631" i="31"/>
  <c r="M631" i="31"/>
  <c r="O631" i="31"/>
  <c r="Q631" i="31"/>
  <c r="E632" i="31"/>
  <c r="G632" i="31"/>
  <c r="I632" i="31"/>
  <c r="K632" i="31"/>
  <c r="M632" i="31"/>
  <c r="O632" i="31"/>
  <c r="Q632" i="31"/>
  <c r="E633" i="31"/>
  <c r="G633" i="31"/>
  <c r="I633" i="31"/>
  <c r="K633" i="31"/>
  <c r="M633" i="31"/>
  <c r="O633" i="31"/>
  <c r="Q633" i="31"/>
  <c r="E634" i="31"/>
  <c r="G634" i="31"/>
  <c r="I634" i="31"/>
  <c r="K634" i="31"/>
  <c r="M634" i="31"/>
  <c r="O634" i="31"/>
  <c r="Q634" i="31"/>
  <c r="E635" i="31"/>
  <c r="G635" i="31"/>
  <c r="I635" i="31"/>
  <c r="K635" i="31"/>
  <c r="M635" i="31"/>
  <c r="O635" i="31"/>
  <c r="Q635" i="31"/>
  <c r="E636" i="31"/>
  <c r="G636" i="31"/>
  <c r="I636" i="31"/>
  <c r="K636" i="31"/>
  <c r="M636" i="31"/>
  <c r="O636" i="31"/>
  <c r="Q636" i="31"/>
  <c r="E637" i="31"/>
  <c r="G637" i="31"/>
  <c r="I637" i="31"/>
  <c r="K637" i="31"/>
  <c r="M637" i="31"/>
  <c r="O637" i="31"/>
  <c r="Q637" i="31"/>
  <c r="E638" i="31"/>
  <c r="G638" i="31"/>
  <c r="I638" i="31"/>
  <c r="K638" i="31"/>
  <c r="M638" i="31"/>
  <c r="O638" i="31"/>
  <c r="Q638" i="31"/>
  <c r="E639" i="31"/>
  <c r="G639" i="31"/>
  <c r="I639" i="31"/>
  <c r="K639" i="31"/>
  <c r="M639" i="31"/>
  <c r="O639" i="31"/>
  <c r="Q639" i="31"/>
  <c r="E640" i="31"/>
  <c r="G640" i="31"/>
  <c r="I640" i="31"/>
  <c r="K640" i="31"/>
  <c r="M640" i="31"/>
  <c r="O640" i="31"/>
  <c r="Q640" i="31"/>
  <c r="E641" i="31"/>
  <c r="G641" i="31"/>
  <c r="I641" i="31"/>
  <c r="K641" i="31"/>
  <c r="M641" i="31"/>
  <c r="O641" i="31"/>
  <c r="Q641" i="31"/>
  <c r="E642" i="31"/>
  <c r="G642" i="31"/>
  <c r="I642" i="31"/>
  <c r="K642" i="31"/>
  <c r="M642" i="31"/>
  <c r="O642" i="31"/>
  <c r="Q642" i="31"/>
  <c r="E643" i="31"/>
  <c r="G643" i="31"/>
  <c r="I643" i="31"/>
  <c r="K643" i="31"/>
  <c r="M643" i="31"/>
  <c r="O643" i="31"/>
  <c r="Q643" i="31"/>
  <c r="E644" i="31"/>
  <c r="G644" i="31"/>
  <c r="I644" i="31"/>
  <c r="K644" i="31"/>
  <c r="M644" i="31"/>
  <c r="O644" i="31"/>
  <c r="Q644" i="31"/>
  <c r="E645" i="31"/>
  <c r="G645" i="31"/>
  <c r="I645" i="31"/>
  <c r="K645" i="31"/>
  <c r="M645" i="31"/>
  <c r="O645" i="31"/>
  <c r="Q645" i="31"/>
  <c r="E646" i="31"/>
  <c r="G646" i="31"/>
  <c r="I646" i="31"/>
  <c r="K646" i="31"/>
  <c r="M646" i="31"/>
  <c r="O646" i="31"/>
  <c r="Q646" i="31"/>
  <c r="E647" i="31"/>
  <c r="G647" i="31"/>
  <c r="I647" i="31"/>
  <c r="K647" i="31"/>
  <c r="M647" i="31"/>
  <c r="O647" i="31"/>
  <c r="Q647" i="31"/>
  <c r="E648" i="31"/>
  <c r="G648" i="31"/>
  <c r="I648" i="31"/>
  <c r="K648" i="31"/>
  <c r="M648" i="31"/>
  <c r="O648" i="31"/>
  <c r="Q648" i="31"/>
  <c r="E649" i="31"/>
  <c r="G649" i="31"/>
  <c r="I649" i="31"/>
  <c r="K649" i="31"/>
  <c r="M649" i="31"/>
  <c r="O649" i="31"/>
  <c r="Q649" i="31"/>
  <c r="E650" i="31"/>
  <c r="G650" i="31"/>
  <c r="I650" i="31"/>
  <c r="K650" i="31"/>
  <c r="M650" i="31"/>
  <c r="O650" i="31"/>
  <c r="Q650" i="31"/>
  <c r="E651" i="31"/>
  <c r="G651" i="31"/>
  <c r="I651" i="31"/>
  <c r="K651" i="31"/>
  <c r="M651" i="31"/>
  <c r="O651" i="31"/>
  <c r="Q651" i="31"/>
  <c r="E652" i="31"/>
  <c r="G652" i="31"/>
  <c r="I652" i="31"/>
  <c r="K652" i="31"/>
  <c r="M652" i="31"/>
  <c r="O652" i="31"/>
  <c r="Q652" i="31"/>
  <c r="E653" i="31"/>
  <c r="G653" i="31"/>
  <c r="I653" i="31"/>
  <c r="K653" i="31"/>
  <c r="M653" i="31"/>
  <c r="O653" i="31"/>
  <c r="Q653" i="31"/>
  <c r="E654" i="31"/>
  <c r="G654" i="31"/>
  <c r="I654" i="31"/>
  <c r="K654" i="31"/>
  <c r="M654" i="31"/>
  <c r="O654" i="31"/>
  <c r="Q654" i="31"/>
  <c r="E655" i="31"/>
  <c r="G655" i="31"/>
  <c r="I655" i="31"/>
  <c r="K655" i="31"/>
  <c r="M655" i="31"/>
  <c r="O655" i="31"/>
  <c r="Q655" i="31"/>
  <c r="E656" i="31"/>
  <c r="G656" i="31"/>
  <c r="I656" i="31"/>
  <c r="K656" i="31"/>
  <c r="M656" i="31"/>
  <c r="O656" i="31"/>
  <c r="Q656" i="31"/>
  <c r="E657" i="31"/>
  <c r="G657" i="31"/>
  <c r="I657" i="31"/>
  <c r="K657" i="31"/>
  <c r="M657" i="31"/>
  <c r="O657" i="31"/>
  <c r="Q657" i="31"/>
  <c r="E658" i="31"/>
  <c r="G658" i="31"/>
  <c r="I658" i="31"/>
  <c r="K658" i="31"/>
  <c r="M658" i="31"/>
  <c r="O658" i="31"/>
  <c r="Q658" i="31"/>
  <c r="E659" i="31"/>
  <c r="G659" i="31"/>
  <c r="I659" i="31"/>
  <c r="K659" i="31"/>
  <c r="M659" i="31"/>
  <c r="O659" i="31"/>
  <c r="Q659" i="31"/>
  <c r="E660" i="31"/>
  <c r="G660" i="31"/>
  <c r="I660" i="31"/>
  <c r="K660" i="31"/>
  <c r="M660" i="31"/>
  <c r="O660" i="31"/>
  <c r="Q660" i="31"/>
  <c r="E661" i="31"/>
  <c r="G661" i="31"/>
  <c r="I661" i="31"/>
  <c r="K661" i="31"/>
  <c r="M661" i="31"/>
  <c r="O661" i="31"/>
  <c r="Q661" i="31"/>
  <c r="E662" i="31"/>
  <c r="G662" i="31"/>
  <c r="I662" i="31"/>
  <c r="K662" i="31"/>
  <c r="M662" i="31"/>
  <c r="O662" i="31"/>
  <c r="Q662" i="31"/>
  <c r="E663" i="31"/>
  <c r="G663" i="31"/>
  <c r="I663" i="31"/>
  <c r="K663" i="31"/>
  <c r="M663" i="31"/>
  <c r="O663" i="31"/>
  <c r="Q663" i="31"/>
  <c r="E664" i="31"/>
  <c r="G664" i="31"/>
  <c r="I664" i="31"/>
  <c r="K664" i="31"/>
  <c r="M664" i="31"/>
  <c r="O664" i="31"/>
  <c r="Q664" i="31"/>
  <c r="E665" i="31"/>
  <c r="G665" i="31"/>
  <c r="I665" i="31"/>
  <c r="K665" i="31"/>
  <c r="M665" i="31"/>
  <c r="O665" i="31"/>
  <c r="Q665" i="31"/>
  <c r="E666" i="31"/>
  <c r="G666" i="31"/>
  <c r="I666" i="31"/>
  <c r="K666" i="31"/>
  <c r="M666" i="31"/>
  <c r="O666" i="31"/>
  <c r="Q666" i="31"/>
  <c r="E667" i="31"/>
  <c r="G667" i="31"/>
  <c r="I667" i="31"/>
  <c r="K667" i="31"/>
  <c r="M667" i="31"/>
  <c r="O667" i="31"/>
  <c r="Q667" i="31"/>
  <c r="E668" i="31"/>
  <c r="G668" i="31"/>
  <c r="I668" i="31"/>
  <c r="K668" i="31"/>
  <c r="M668" i="31"/>
  <c r="O668" i="31"/>
  <c r="Q668" i="31"/>
  <c r="E669" i="31"/>
  <c r="G669" i="31"/>
  <c r="I669" i="31"/>
  <c r="K669" i="31"/>
  <c r="M669" i="31"/>
  <c r="O669" i="31"/>
  <c r="Q669" i="31"/>
  <c r="E670" i="31"/>
  <c r="G670" i="31"/>
  <c r="I670" i="31"/>
  <c r="K670" i="31"/>
  <c r="M670" i="31"/>
  <c r="O670" i="31"/>
  <c r="Q670" i="31"/>
  <c r="E671" i="31"/>
  <c r="G671" i="31"/>
  <c r="I671" i="31"/>
  <c r="K671" i="31"/>
  <c r="M671" i="31"/>
  <c r="O671" i="31"/>
  <c r="Q671" i="31"/>
  <c r="E672" i="31"/>
  <c r="G672" i="31"/>
  <c r="I672" i="31"/>
  <c r="K672" i="31"/>
  <c r="M672" i="31"/>
  <c r="O672" i="31"/>
  <c r="Q672" i="31"/>
  <c r="E673" i="31"/>
  <c r="G673" i="31"/>
  <c r="I673" i="31"/>
  <c r="K673" i="31"/>
  <c r="M673" i="31"/>
  <c r="O673" i="31"/>
  <c r="Q673" i="31"/>
  <c r="E674" i="31"/>
  <c r="G674" i="31"/>
  <c r="I674" i="31"/>
  <c r="K674" i="31"/>
  <c r="M674" i="31"/>
  <c r="O674" i="31"/>
  <c r="Q674" i="31"/>
  <c r="E675" i="31"/>
  <c r="G675" i="31"/>
  <c r="I675" i="31"/>
  <c r="K675" i="31"/>
  <c r="M675" i="31"/>
  <c r="O675" i="31"/>
  <c r="Q675" i="31"/>
  <c r="E676" i="31"/>
  <c r="G676" i="31"/>
  <c r="I676" i="31"/>
  <c r="K676" i="31"/>
  <c r="M676" i="31"/>
  <c r="O676" i="31"/>
  <c r="Q676" i="31"/>
  <c r="E677" i="31"/>
  <c r="G677" i="31"/>
  <c r="I677" i="31"/>
  <c r="K677" i="31"/>
  <c r="M677" i="31"/>
  <c r="O677" i="31"/>
  <c r="Q677" i="31"/>
  <c r="E678" i="31"/>
  <c r="G678" i="31"/>
  <c r="I678" i="31"/>
  <c r="K678" i="31"/>
  <c r="M678" i="31"/>
  <c r="O678" i="31"/>
  <c r="Q678" i="31"/>
  <c r="E679" i="31"/>
  <c r="G679" i="31"/>
  <c r="I679" i="31"/>
  <c r="K679" i="31"/>
  <c r="M679" i="31"/>
  <c r="O679" i="31"/>
  <c r="Q679" i="31"/>
  <c r="E680" i="31"/>
  <c r="G680" i="31"/>
  <c r="I680" i="31"/>
  <c r="K680" i="31"/>
  <c r="M680" i="31"/>
  <c r="O680" i="31"/>
  <c r="Q680" i="31"/>
  <c r="E681" i="31"/>
  <c r="G681" i="31"/>
  <c r="I681" i="31"/>
  <c r="K681" i="31"/>
  <c r="M681" i="31"/>
  <c r="O681" i="31"/>
  <c r="Q681" i="31"/>
  <c r="E682" i="31"/>
  <c r="G682" i="31"/>
  <c r="I682" i="31"/>
  <c r="K682" i="31"/>
  <c r="M682" i="31"/>
  <c r="O682" i="31"/>
  <c r="Q682" i="31"/>
  <c r="E683" i="31"/>
  <c r="G683" i="31"/>
  <c r="I683" i="31"/>
  <c r="K683" i="31"/>
  <c r="M683" i="31"/>
  <c r="O683" i="31"/>
  <c r="Q683" i="31"/>
  <c r="E684" i="31"/>
  <c r="G684" i="31"/>
  <c r="I684" i="31"/>
  <c r="K684" i="31"/>
  <c r="M684" i="31"/>
  <c r="O684" i="31"/>
  <c r="Q684" i="31"/>
  <c r="E685" i="31"/>
  <c r="G685" i="31"/>
  <c r="I685" i="31"/>
  <c r="K685" i="31"/>
  <c r="M685" i="31"/>
  <c r="O685" i="31"/>
  <c r="Q685" i="31"/>
  <c r="E686" i="31"/>
  <c r="G686" i="31"/>
  <c r="I686" i="31"/>
  <c r="K686" i="31"/>
  <c r="M686" i="31"/>
  <c r="O686" i="31"/>
  <c r="Q686" i="31"/>
  <c r="E687" i="31"/>
  <c r="G687" i="31"/>
  <c r="I687" i="31"/>
  <c r="K687" i="31"/>
  <c r="M687" i="31"/>
  <c r="O687" i="31"/>
  <c r="Q687" i="31"/>
  <c r="E688" i="31"/>
  <c r="G688" i="31"/>
  <c r="I688" i="31"/>
  <c r="K688" i="31"/>
  <c r="M688" i="31"/>
  <c r="O688" i="31"/>
  <c r="Q688" i="31"/>
  <c r="E689" i="31"/>
  <c r="G689" i="31"/>
  <c r="I689" i="31"/>
  <c r="K689" i="31"/>
  <c r="M689" i="31"/>
  <c r="O689" i="31"/>
  <c r="Q689" i="31"/>
  <c r="E690" i="31"/>
  <c r="G690" i="31"/>
  <c r="I690" i="31"/>
  <c r="K690" i="31"/>
  <c r="M690" i="31"/>
  <c r="O690" i="31"/>
  <c r="Q690" i="31"/>
  <c r="E691" i="31"/>
  <c r="G691" i="31"/>
  <c r="I691" i="31"/>
  <c r="K691" i="31"/>
  <c r="M691" i="31"/>
  <c r="O691" i="31"/>
  <c r="Q691" i="31"/>
  <c r="E692" i="31"/>
  <c r="G692" i="31"/>
  <c r="I692" i="31"/>
  <c r="K692" i="31"/>
  <c r="M692" i="31"/>
  <c r="O692" i="31"/>
  <c r="Q692" i="31"/>
  <c r="E693" i="31"/>
  <c r="G693" i="31"/>
  <c r="I693" i="31"/>
  <c r="K693" i="31"/>
  <c r="M693" i="31"/>
  <c r="O693" i="31"/>
  <c r="Q693" i="31"/>
  <c r="E694" i="31"/>
  <c r="G694" i="31"/>
  <c r="I694" i="31"/>
  <c r="K694" i="31"/>
  <c r="M694" i="31"/>
  <c r="O694" i="31"/>
  <c r="Q694" i="31"/>
  <c r="E695" i="31"/>
  <c r="G695" i="31"/>
  <c r="I695" i="31"/>
  <c r="K695" i="31"/>
  <c r="M695" i="31"/>
  <c r="O695" i="31"/>
  <c r="Q695" i="31"/>
  <c r="E696" i="31"/>
  <c r="G696" i="31"/>
  <c r="I696" i="31"/>
  <c r="K696" i="31"/>
  <c r="M696" i="31"/>
  <c r="O696" i="31"/>
  <c r="Q696" i="31"/>
  <c r="E697" i="31"/>
  <c r="G697" i="31"/>
  <c r="I697" i="31"/>
  <c r="K697" i="31"/>
  <c r="M697" i="31"/>
  <c r="O697" i="31"/>
  <c r="Q697" i="31"/>
  <c r="E698" i="31"/>
  <c r="G698" i="31"/>
  <c r="I698" i="31"/>
  <c r="K698" i="31"/>
  <c r="M698" i="31"/>
  <c r="O698" i="31"/>
  <c r="Q698" i="31"/>
  <c r="E699" i="31"/>
  <c r="G699" i="31"/>
  <c r="I699" i="31"/>
  <c r="K699" i="31"/>
  <c r="M699" i="31"/>
  <c r="O699" i="31"/>
  <c r="Q699" i="31"/>
  <c r="E700" i="31"/>
  <c r="G700" i="31"/>
  <c r="I700" i="31"/>
  <c r="K700" i="31"/>
  <c r="M700" i="31"/>
  <c r="O700" i="31"/>
  <c r="Q700" i="31"/>
  <c r="E701" i="31"/>
  <c r="G701" i="31"/>
  <c r="I701" i="31"/>
  <c r="K701" i="31"/>
  <c r="M701" i="31"/>
  <c r="O701" i="31"/>
  <c r="Q701" i="31"/>
  <c r="E702" i="31"/>
  <c r="G702" i="31"/>
  <c r="I702" i="31"/>
  <c r="K702" i="31"/>
  <c r="M702" i="31"/>
  <c r="O702" i="31"/>
  <c r="Q702" i="31"/>
  <c r="E703" i="31"/>
  <c r="G703" i="31"/>
  <c r="I703" i="31"/>
  <c r="K703" i="31"/>
  <c r="M703" i="31"/>
  <c r="O703" i="31"/>
  <c r="Q703" i="31"/>
  <c r="E704" i="31"/>
  <c r="G704" i="31"/>
  <c r="I704" i="31"/>
  <c r="K704" i="31"/>
  <c r="M704" i="31"/>
  <c r="O704" i="31"/>
  <c r="Q704" i="31"/>
  <c r="E705" i="31"/>
  <c r="G705" i="31"/>
  <c r="I705" i="31"/>
  <c r="K705" i="31"/>
  <c r="M705" i="31"/>
  <c r="O705" i="31"/>
  <c r="Q705" i="31"/>
  <c r="E706" i="31"/>
  <c r="G706" i="31"/>
  <c r="I706" i="31"/>
  <c r="K706" i="31"/>
  <c r="M706" i="31"/>
  <c r="O706" i="31"/>
  <c r="Q706" i="31"/>
  <c r="E707" i="31"/>
  <c r="G707" i="31"/>
  <c r="I707" i="31"/>
  <c r="K707" i="31"/>
  <c r="M707" i="31"/>
  <c r="O707" i="31"/>
  <c r="Q707" i="31"/>
  <c r="E708" i="31"/>
  <c r="G708" i="31"/>
  <c r="I708" i="31"/>
  <c r="K708" i="31"/>
  <c r="M708" i="31"/>
  <c r="O708" i="31"/>
  <c r="Q708" i="31"/>
  <c r="E709" i="31"/>
  <c r="G709" i="31"/>
  <c r="I709" i="31"/>
  <c r="K709" i="31"/>
  <c r="M709" i="31"/>
  <c r="O709" i="31"/>
  <c r="Q709" i="31"/>
  <c r="E710" i="31"/>
  <c r="G710" i="31"/>
  <c r="I710" i="31"/>
  <c r="K710" i="31"/>
  <c r="M710" i="31"/>
  <c r="O710" i="31"/>
  <c r="Q710" i="31"/>
  <c r="E711" i="31"/>
  <c r="G711" i="31"/>
  <c r="I711" i="31"/>
  <c r="K711" i="31"/>
  <c r="M711" i="31"/>
  <c r="O711" i="31"/>
  <c r="Q711" i="31"/>
  <c r="E712" i="31"/>
  <c r="G712" i="31"/>
  <c r="I712" i="31"/>
  <c r="K712" i="31"/>
  <c r="M712" i="31"/>
  <c r="O712" i="31"/>
  <c r="Q712" i="31"/>
  <c r="E713" i="31"/>
  <c r="G713" i="31"/>
  <c r="I713" i="31"/>
  <c r="K713" i="31"/>
  <c r="M713" i="31"/>
  <c r="O713" i="31"/>
  <c r="Q713" i="31"/>
  <c r="E714" i="31"/>
  <c r="G714" i="31"/>
  <c r="I714" i="31"/>
  <c r="K714" i="31"/>
  <c r="M714" i="31"/>
  <c r="O714" i="31"/>
  <c r="Q714" i="31"/>
  <c r="E715" i="31"/>
  <c r="G715" i="31"/>
  <c r="I715" i="31"/>
  <c r="K715" i="31"/>
  <c r="M715" i="31"/>
  <c r="O715" i="31"/>
  <c r="Q715" i="31"/>
  <c r="E716" i="31"/>
  <c r="G716" i="31"/>
  <c r="I716" i="31"/>
  <c r="K716" i="31"/>
  <c r="M716" i="31"/>
  <c r="O716" i="31"/>
  <c r="Q716" i="31"/>
  <c r="E717" i="31"/>
  <c r="G717" i="31"/>
  <c r="I717" i="31"/>
  <c r="K717" i="31"/>
  <c r="M717" i="31"/>
  <c r="O717" i="31"/>
  <c r="Q717" i="31"/>
  <c r="E718" i="31"/>
  <c r="G718" i="31"/>
  <c r="I718" i="31"/>
  <c r="K718" i="31"/>
  <c r="M718" i="31"/>
  <c r="O718" i="31"/>
  <c r="Q718" i="31"/>
  <c r="E719" i="31"/>
  <c r="G719" i="31"/>
  <c r="I719" i="31"/>
  <c r="K719" i="31"/>
  <c r="M719" i="31"/>
  <c r="O719" i="31"/>
  <c r="Q719" i="31"/>
  <c r="E720" i="31"/>
  <c r="G720" i="31"/>
  <c r="I720" i="31"/>
  <c r="K720" i="31"/>
  <c r="M720" i="31"/>
  <c r="O720" i="31"/>
  <c r="Q720" i="31"/>
  <c r="E721" i="31"/>
  <c r="G721" i="31"/>
  <c r="I721" i="31"/>
  <c r="K721" i="31"/>
  <c r="M721" i="31"/>
  <c r="O721" i="31"/>
  <c r="Q721" i="31"/>
  <c r="E722" i="31"/>
  <c r="G722" i="31"/>
  <c r="I722" i="31"/>
  <c r="K722" i="31"/>
  <c r="M722" i="31"/>
  <c r="O722" i="31"/>
  <c r="Q722" i="31"/>
  <c r="E723" i="31"/>
  <c r="G723" i="31"/>
  <c r="I723" i="31"/>
  <c r="K723" i="31"/>
  <c r="M723" i="31"/>
  <c r="O723" i="31"/>
  <c r="Q723" i="31"/>
  <c r="E724" i="31"/>
  <c r="G724" i="31"/>
  <c r="I724" i="31"/>
  <c r="K724" i="31"/>
  <c r="M724" i="31"/>
  <c r="O724" i="31"/>
  <c r="Q724" i="31"/>
  <c r="E725" i="31"/>
  <c r="G725" i="31"/>
  <c r="I725" i="31"/>
  <c r="K725" i="31"/>
  <c r="M725" i="31"/>
  <c r="O725" i="31"/>
  <c r="Q725" i="31"/>
  <c r="E726" i="31"/>
  <c r="G726" i="31"/>
  <c r="I726" i="31"/>
  <c r="K726" i="31"/>
  <c r="M726" i="31"/>
  <c r="O726" i="31"/>
  <c r="Q726" i="31"/>
  <c r="E727" i="31"/>
  <c r="G727" i="31"/>
  <c r="I727" i="31"/>
  <c r="K727" i="31"/>
  <c r="M727" i="31"/>
  <c r="O727" i="31"/>
  <c r="Q727" i="31"/>
  <c r="E728" i="31"/>
  <c r="G728" i="31"/>
  <c r="I728" i="31"/>
  <c r="K728" i="31"/>
  <c r="M728" i="31"/>
  <c r="O728" i="31"/>
  <c r="Q728" i="31"/>
  <c r="E729" i="31"/>
  <c r="G729" i="31"/>
  <c r="I729" i="31"/>
  <c r="K729" i="31"/>
  <c r="M729" i="31"/>
  <c r="O729" i="31"/>
  <c r="Q729" i="31"/>
  <c r="E730" i="31"/>
  <c r="G730" i="31"/>
  <c r="I730" i="31"/>
  <c r="K730" i="31"/>
  <c r="M730" i="31"/>
  <c r="O730" i="31"/>
  <c r="Q730" i="31"/>
  <c r="E731" i="31"/>
  <c r="G731" i="31"/>
  <c r="I731" i="31"/>
  <c r="K731" i="31"/>
  <c r="M731" i="31"/>
  <c r="O731" i="31"/>
  <c r="Q731" i="31"/>
  <c r="E732" i="31"/>
  <c r="G732" i="31"/>
  <c r="I732" i="31"/>
  <c r="K732" i="31"/>
  <c r="M732" i="31"/>
  <c r="O732" i="31"/>
  <c r="Q732" i="31"/>
  <c r="E733" i="31"/>
  <c r="G733" i="31"/>
  <c r="I733" i="31"/>
  <c r="K733" i="31"/>
  <c r="M733" i="31"/>
  <c r="O733" i="31"/>
  <c r="Q733" i="31"/>
  <c r="E734" i="31"/>
  <c r="G734" i="31"/>
  <c r="I734" i="31"/>
  <c r="K734" i="31"/>
  <c r="M734" i="31"/>
  <c r="O734" i="31"/>
  <c r="Q734" i="31"/>
  <c r="E735" i="31"/>
  <c r="G735" i="31"/>
  <c r="I735" i="31"/>
  <c r="K735" i="31"/>
  <c r="M735" i="31"/>
  <c r="O735" i="31"/>
  <c r="Q735" i="31"/>
  <c r="E736" i="31"/>
  <c r="G736" i="31"/>
  <c r="I736" i="31"/>
  <c r="K736" i="31"/>
  <c r="M736" i="31"/>
  <c r="O736" i="31"/>
  <c r="Q736" i="31"/>
  <c r="E737" i="31"/>
  <c r="G737" i="31"/>
  <c r="I737" i="31"/>
  <c r="K737" i="31"/>
  <c r="M737" i="31"/>
  <c r="O737" i="31"/>
  <c r="Q737" i="31"/>
  <c r="E738" i="31"/>
  <c r="G738" i="31"/>
  <c r="I738" i="31"/>
  <c r="K738" i="31"/>
  <c r="M738" i="31"/>
  <c r="O738" i="31"/>
  <c r="Q738" i="31"/>
  <c r="E739" i="31"/>
  <c r="G739" i="31"/>
  <c r="I739" i="31"/>
  <c r="K739" i="31"/>
  <c r="M739" i="31"/>
  <c r="O739" i="31"/>
  <c r="Q739" i="31"/>
  <c r="E740" i="31"/>
  <c r="G740" i="31"/>
  <c r="I740" i="31"/>
  <c r="K740" i="31"/>
  <c r="M740" i="31"/>
  <c r="O740" i="31"/>
  <c r="Q740" i="31"/>
  <c r="E741" i="31"/>
  <c r="G741" i="31"/>
  <c r="I741" i="31"/>
  <c r="K741" i="31"/>
  <c r="M741" i="31"/>
  <c r="O741" i="31"/>
  <c r="Q741" i="31"/>
  <c r="E742" i="31"/>
  <c r="G742" i="31"/>
  <c r="I742" i="31"/>
  <c r="K742" i="31"/>
  <c r="M742" i="31"/>
  <c r="O742" i="31"/>
  <c r="Q742" i="31"/>
  <c r="E743" i="31"/>
  <c r="G743" i="31"/>
  <c r="I743" i="31"/>
  <c r="K743" i="31"/>
  <c r="M743" i="31"/>
  <c r="O743" i="31"/>
  <c r="Q743" i="31"/>
  <c r="E744" i="31"/>
  <c r="G744" i="31"/>
  <c r="I744" i="31"/>
  <c r="K744" i="31"/>
  <c r="M744" i="31"/>
  <c r="O744" i="31"/>
  <c r="Q744" i="31"/>
  <c r="E745" i="31"/>
  <c r="G745" i="31"/>
  <c r="I745" i="31"/>
  <c r="K745" i="31"/>
  <c r="M745" i="31"/>
  <c r="O745" i="31"/>
  <c r="Q745" i="31"/>
  <c r="E746" i="31"/>
  <c r="G746" i="31"/>
  <c r="I746" i="31"/>
  <c r="K746" i="31"/>
  <c r="M746" i="31"/>
  <c r="O746" i="31"/>
  <c r="Q746" i="31"/>
  <c r="E747" i="31"/>
  <c r="G747" i="31"/>
  <c r="I747" i="31"/>
  <c r="K747" i="31"/>
  <c r="M747" i="31"/>
  <c r="O747" i="31"/>
  <c r="Q747" i="31"/>
  <c r="E748" i="31"/>
  <c r="G748" i="31"/>
  <c r="I748" i="31"/>
  <c r="K748" i="31"/>
  <c r="M748" i="31"/>
  <c r="O748" i="31"/>
  <c r="Q748" i="31"/>
  <c r="E749" i="31"/>
  <c r="G749" i="31"/>
  <c r="I749" i="31"/>
  <c r="K749" i="31"/>
  <c r="M749" i="31"/>
  <c r="O749" i="31"/>
  <c r="Q749" i="31"/>
  <c r="E750" i="31"/>
  <c r="G750" i="31"/>
  <c r="I750" i="31"/>
  <c r="K750" i="31"/>
  <c r="M750" i="31"/>
  <c r="O750" i="31"/>
  <c r="Q750" i="31"/>
  <c r="E751" i="31"/>
  <c r="G751" i="31"/>
  <c r="I751" i="31"/>
  <c r="K751" i="31"/>
  <c r="M751" i="31"/>
  <c r="O751" i="31"/>
  <c r="Q751" i="31"/>
  <c r="E752" i="31"/>
  <c r="G752" i="31"/>
  <c r="I752" i="31"/>
  <c r="K752" i="31"/>
  <c r="M752" i="31"/>
  <c r="O752" i="31"/>
  <c r="Q752" i="31"/>
  <c r="E753" i="31"/>
  <c r="G753" i="31"/>
  <c r="I753" i="31"/>
  <c r="K753" i="31"/>
  <c r="M753" i="31"/>
  <c r="O753" i="31"/>
  <c r="Q753" i="31"/>
  <c r="E754" i="31"/>
  <c r="G754" i="31"/>
  <c r="I754" i="31"/>
  <c r="K754" i="31"/>
  <c r="M754" i="31"/>
  <c r="O754" i="31"/>
  <c r="Q754" i="31"/>
  <c r="E755" i="31"/>
  <c r="G755" i="31"/>
  <c r="I755" i="31"/>
  <c r="K755" i="31"/>
  <c r="M755" i="31"/>
  <c r="O755" i="31"/>
  <c r="Q755" i="31"/>
  <c r="E756" i="31"/>
  <c r="G756" i="31"/>
  <c r="I756" i="31"/>
  <c r="K756" i="31"/>
  <c r="M756" i="31"/>
  <c r="O756" i="31"/>
  <c r="Q756" i="31"/>
  <c r="E757" i="31"/>
  <c r="G757" i="31"/>
  <c r="I757" i="31"/>
  <c r="K757" i="31"/>
  <c r="M757" i="31"/>
  <c r="O757" i="31"/>
  <c r="Q757" i="31"/>
  <c r="E758" i="31"/>
  <c r="G758" i="31"/>
  <c r="I758" i="31"/>
  <c r="K758" i="31"/>
  <c r="M758" i="31"/>
  <c r="O758" i="31"/>
  <c r="Q758" i="31"/>
  <c r="E759" i="31"/>
  <c r="G759" i="31"/>
  <c r="I759" i="31"/>
  <c r="K759" i="31"/>
  <c r="M759" i="31"/>
  <c r="O759" i="31"/>
  <c r="Q759" i="31"/>
  <c r="E760" i="31"/>
  <c r="G760" i="31"/>
  <c r="I760" i="31"/>
  <c r="K760" i="31"/>
  <c r="M760" i="31"/>
  <c r="O760" i="31"/>
  <c r="Q760" i="31"/>
  <c r="E761" i="31"/>
  <c r="G761" i="31"/>
  <c r="I761" i="31"/>
  <c r="K761" i="31"/>
  <c r="M761" i="31"/>
  <c r="O761" i="31"/>
  <c r="Q761" i="31"/>
  <c r="E762" i="31"/>
  <c r="G762" i="31"/>
  <c r="I762" i="31"/>
  <c r="K762" i="31"/>
  <c r="M762" i="31"/>
  <c r="O762" i="31"/>
  <c r="Q762" i="31"/>
  <c r="E763" i="31"/>
  <c r="G763" i="31"/>
  <c r="I763" i="31"/>
  <c r="K763" i="31"/>
  <c r="M763" i="31"/>
  <c r="O763" i="31"/>
  <c r="Q763" i="31"/>
  <c r="E764" i="31"/>
  <c r="G764" i="31"/>
  <c r="I764" i="31"/>
  <c r="K764" i="31"/>
  <c r="M764" i="31"/>
  <c r="O764" i="31"/>
  <c r="Q764" i="31"/>
  <c r="E765" i="31"/>
  <c r="G765" i="31"/>
  <c r="I765" i="31"/>
  <c r="K765" i="31"/>
  <c r="M765" i="31"/>
  <c r="O765" i="31"/>
  <c r="Q765" i="31"/>
  <c r="E766" i="31"/>
  <c r="G766" i="31"/>
  <c r="I766" i="31"/>
  <c r="K766" i="31"/>
  <c r="M766" i="31"/>
  <c r="O766" i="31"/>
  <c r="Q766" i="31"/>
  <c r="E767" i="31"/>
  <c r="G767" i="31"/>
  <c r="I767" i="31"/>
  <c r="K767" i="31"/>
  <c r="M767" i="31"/>
  <c r="O767" i="31"/>
  <c r="Q767" i="31"/>
  <c r="E768" i="31"/>
  <c r="G768" i="31"/>
  <c r="I768" i="31"/>
  <c r="K768" i="31"/>
  <c r="M768" i="31"/>
  <c r="O768" i="31"/>
  <c r="Q768" i="31"/>
  <c r="E769" i="31"/>
  <c r="G769" i="31"/>
  <c r="I769" i="31"/>
  <c r="K769" i="31"/>
  <c r="M769" i="31"/>
  <c r="O769" i="31"/>
  <c r="Q769" i="31"/>
  <c r="E770" i="31"/>
  <c r="G770" i="31"/>
  <c r="I770" i="31"/>
  <c r="K770" i="31"/>
  <c r="M770" i="31"/>
  <c r="O770" i="31"/>
  <c r="Q770" i="31"/>
  <c r="E771" i="31"/>
  <c r="G771" i="31"/>
  <c r="I771" i="31"/>
  <c r="K771" i="31"/>
  <c r="M771" i="31"/>
  <c r="O771" i="31"/>
  <c r="Q771" i="31"/>
  <c r="E772" i="31"/>
  <c r="G772" i="31"/>
  <c r="I772" i="31"/>
  <c r="K772" i="31"/>
  <c r="M772" i="31"/>
  <c r="O772" i="31"/>
  <c r="Q772" i="31"/>
  <c r="E773" i="31"/>
  <c r="G773" i="31"/>
  <c r="I773" i="31"/>
  <c r="K773" i="31"/>
  <c r="M773" i="31"/>
  <c r="O773" i="31"/>
  <c r="Q773" i="31"/>
  <c r="E774" i="31"/>
  <c r="G774" i="31"/>
  <c r="I774" i="31"/>
  <c r="K774" i="31"/>
  <c r="M774" i="31"/>
  <c r="O774" i="31"/>
  <c r="Q774" i="31"/>
  <c r="E775" i="31"/>
  <c r="G775" i="31"/>
  <c r="I775" i="31"/>
  <c r="K775" i="31"/>
  <c r="M775" i="31"/>
  <c r="O775" i="31"/>
  <c r="Q775" i="31"/>
  <c r="E776" i="31"/>
  <c r="G776" i="31"/>
  <c r="I776" i="31"/>
  <c r="K776" i="31"/>
  <c r="M776" i="31"/>
  <c r="O776" i="31"/>
  <c r="Q776" i="31"/>
  <c r="E777" i="31"/>
  <c r="G777" i="31"/>
  <c r="I777" i="31"/>
  <c r="K777" i="31"/>
  <c r="M777" i="31"/>
  <c r="O777" i="31"/>
  <c r="Q777" i="31"/>
  <c r="E778" i="31"/>
  <c r="G778" i="31"/>
  <c r="I778" i="31"/>
  <c r="K778" i="31"/>
  <c r="M778" i="31"/>
  <c r="O778" i="31"/>
  <c r="Q778" i="31"/>
  <c r="E779" i="31"/>
  <c r="G779" i="31"/>
  <c r="I779" i="31"/>
  <c r="K779" i="31"/>
  <c r="M779" i="31"/>
  <c r="O779" i="31"/>
  <c r="Q779" i="31"/>
  <c r="E780" i="31"/>
  <c r="G780" i="31"/>
  <c r="I780" i="31"/>
  <c r="K780" i="31"/>
  <c r="M780" i="31"/>
  <c r="O780" i="31"/>
  <c r="Q780" i="31"/>
  <c r="E781" i="31"/>
  <c r="G781" i="31"/>
  <c r="I781" i="31"/>
  <c r="K781" i="31"/>
  <c r="M781" i="31"/>
  <c r="O781" i="31"/>
  <c r="Q781" i="31"/>
  <c r="E782" i="31"/>
  <c r="G782" i="31"/>
  <c r="I782" i="31"/>
  <c r="K782" i="31"/>
  <c r="M782" i="31"/>
  <c r="O782" i="31"/>
  <c r="Q782" i="31"/>
  <c r="E783" i="31"/>
  <c r="G783" i="31"/>
  <c r="I783" i="31"/>
  <c r="K783" i="31"/>
  <c r="M783" i="31"/>
  <c r="O783" i="31"/>
  <c r="Q783" i="31"/>
  <c r="E784" i="31"/>
  <c r="G784" i="31"/>
  <c r="I784" i="31"/>
  <c r="K784" i="31"/>
  <c r="M784" i="31"/>
  <c r="O784" i="31"/>
  <c r="Q784" i="31"/>
  <c r="E785" i="31"/>
  <c r="G785" i="31"/>
  <c r="I785" i="31"/>
  <c r="K785" i="31"/>
  <c r="M785" i="31"/>
  <c r="O785" i="31"/>
  <c r="Q785" i="31"/>
  <c r="E786" i="31"/>
  <c r="G786" i="31"/>
  <c r="I786" i="31"/>
  <c r="K786" i="31"/>
  <c r="M786" i="31"/>
  <c r="O786" i="31"/>
  <c r="Q786" i="31"/>
  <c r="E787" i="31"/>
  <c r="G787" i="31"/>
  <c r="I787" i="31"/>
  <c r="K787" i="31"/>
  <c r="M787" i="31"/>
  <c r="O787" i="31"/>
  <c r="Q787" i="31"/>
  <c r="E788" i="31"/>
  <c r="G788" i="31"/>
  <c r="I788" i="31"/>
  <c r="K788" i="31"/>
  <c r="M788" i="31"/>
  <c r="O788" i="31"/>
  <c r="Q788" i="31"/>
  <c r="E789" i="31"/>
  <c r="G789" i="31"/>
  <c r="I789" i="31"/>
  <c r="K789" i="31"/>
  <c r="M789" i="31"/>
  <c r="O789" i="31"/>
  <c r="Q789" i="31"/>
  <c r="E790" i="31"/>
  <c r="G790" i="31"/>
  <c r="I790" i="31"/>
  <c r="K790" i="31"/>
  <c r="M790" i="31"/>
  <c r="O790" i="31"/>
  <c r="Q790" i="31"/>
  <c r="E791" i="31"/>
  <c r="G791" i="31"/>
  <c r="I791" i="31"/>
  <c r="K791" i="31"/>
  <c r="M791" i="31"/>
  <c r="O791" i="31"/>
  <c r="Q791" i="31"/>
  <c r="E792" i="31"/>
  <c r="G792" i="31"/>
  <c r="I792" i="31"/>
  <c r="K792" i="31"/>
  <c r="M792" i="31"/>
  <c r="O792" i="31"/>
  <c r="Q792" i="31"/>
  <c r="E793" i="31"/>
  <c r="G793" i="31"/>
  <c r="I793" i="31"/>
  <c r="K793" i="31"/>
  <c r="M793" i="31"/>
  <c r="O793" i="31"/>
  <c r="Q793" i="31"/>
  <c r="E794" i="31"/>
  <c r="G794" i="31"/>
  <c r="I794" i="31"/>
  <c r="K794" i="31"/>
  <c r="M794" i="31"/>
  <c r="O794" i="31"/>
  <c r="Q794" i="31"/>
  <c r="E795" i="31"/>
  <c r="G795" i="31"/>
  <c r="I795" i="31"/>
  <c r="K795" i="31"/>
  <c r="M795" i="31"/>
  <c r="O795" i="31"/>
  <c r="Q795" i="31"/>
  <c r="E796" i="31"/>
  <c r="G796" i="31"/>
  <c r="I796" i="31"/>
  <c r="K796" i="31"/>
  <c r="M796" i="31"/>
  <c r="O796" i="31"/>
  <c r="Q796" i="31"/>
  <c r="E797" i="31"/>
  <c r="G797" i="31"/>
  <c r="I797" i="31"/>
  <c r="K797" i="31"/>
  <c r="M797" i="31"/>
  <c r="O797" i="31"/>
  <c r="Q797" i="31"/>
  <c r="E798" i="31"/>
  <c r="G798" i="31"/>
  <c r="I798" i="31"/>
  <c r="K798" i="31"/>
  <c r="M798" i="31"/>
  <c r="O798" i="31"/>
  <c r="Q798" i="31"/>
  <c r="E799" i="31"/>
  <c r="G799" i="31"/>
  <c r="I799" i="31"/>
  <c r="K799" i="31"/>
  <c r="M799" i="31"/>
  <c r="O799" i="31"/>
  <c r="Q799" i="31"/>
  <c r="E800" i="31"/>
  <c r="G800" i="31"/>
  <c r="I800" i="31"/>
  <c r="K800" i="31"/>
  <c r="M800" i="31"/>
  <c r="O800" i="31"/>
  <c r="Q800" i="31"/>
  <c r="E801" i="31"/>
  <c r="G801" i="31"/>
  <c r="I801" i="31"/>
  <c r="K801" i="31"/>
  <c r="M801" i="31"/>
  <c r="O801" i="31"/>
  <c r="Q801" i="31"/>
  <c r="E802" i="31"/>
  <c r="G802" i="31"/>
  <c r="I802" i="31"/>
  <c r="K802" i="31"/>
  <c r="M802" i="31"/>
  <c r="O802" i="31"/>
  <c r="Q802" i="31"/>
  <c r="E803" i="31"/>
  <c r="G803" i="31"/>
  <c r="I803" i="31"/>
  <c r="K803" i="31"/>
  <c r="M803" i="31"/>
  <c r="O803" i="31"/>
  <c r="Q803" i="31"/>
  <c r="E804" i="31"/>
  <c r="G804" i="31"/>
  <c r="I804" i="31"/>
  <c r="K804" i="31"/>
  <c r="M804" i="31"/>
  <c r="O804" i="31"/>
  <c r="Q804" i="31"/>
  <c r="E805" i="31"/>
  <c r="G805" i="31"/>
  <c r="I805" i="31"/>
  <c r="K805" i="31"/>
  <c r="M805" i="31"/>
  <c r="O805" i="31"/>
  <c r="Q805" i="31"/>
  <c r="E806" i="31"/>
  <c r="G806" i="31"/>
  <c r="I806" i="31"/>
  <c r="K806" i="31"/>
  <c r="M806" i="31"/>
  <c r="O806" i="31"/>
  <c r="Q806" i="31"/>
  <c r="E807" i="31"/>
  <c r="G807" i="31"/>
  <c r="I807" i="31"/>
  <c r="K807" i="31"/>
  <c r="M807" i="31"/>
  <c r="O807" i="31"/>
  <c r="Q807" i="31"/>
  <c r="E808" i="31"/>
  <c r="G808" i="31"/>
  <c r="I808" i="31"/>
  <c r="K808" i="31"/>
  <c r="M808" i="31"/>
  <c r="O808" i="31"/>
  <c r="Q808" i="31"/>
  <c r="E809" i="31"/>
  <c r="G809" i="31"/>
  <c r="I809" i="31"/>
  <c r="K809" i="31"/>
  <c r="M809" i="31"/>
  <c r="O809" i="31"/>
  <c r="Q809" i="31"/>
  <c r="E810" i="31"/>
  <c r="G810" i="31"/>
  <c r="I810" i="31"/>
  <c r="K810" i="31"/>
  <c r="M810" i="31"/>
  <c r="O810" i="31"/>
  <c r="Q810" i="31"/>
  <c r="E811" i="31"/>
  <c r="G811" i="31"/>
  <c r="I811" i="31"/>
  <c r="K811" i="31"/>
  <c r="M811" i="31"/>
  <c r="O811" i="31"/>
  <c r="Q811" i="31"/>
  <c r="E812" i="31"/>
  <c r="G812" i="31"/>
  <c r="I812" i="31"/>
  <c r="K812" i="31"/>
  <c r="M812" i="31"/>
  <c r="O812" i="31"/>
  <c r="Q812" i="31"/>
  <c r="E813" i="31"/>
  <c r="G813" i="31"/>
  <c r="I813" i="31"/>
  <c r="K813" i="31"/>
  <c r="M813" i="31"/>
  <c r="O813" i="31"/>
  <c r="Q813" i="31"/>
  <c r="E814" i="31"/>
  <c r="G814" i="31"/>
  <c r="I814" i="31"/>
  <c r="K814" i="31"/>
  <c r="M814" i="31"/>
  <c r="O814" i="31"/>
  <c r="Q814" i="31"/>
  <c r="E815" i="31"/>
  <c r="G815" i="31"/>
  <c r="I815" i="31"/>
  <c r="K815" i="31"/>
  <c r="M815" i="31"/>
  <c r="O815" i="31"/>
  <c r="Q815" i="31"/>
  <c r="E816" i="31"/>
  <c r="G816" i="31"/>
  <c r="I816" i="31"/>
  <c r="K816" i="31"/>
  <c r="M816" i="31"/>
  <c r="O816" i="31"/>
  <c r="Q816" i="31"/>
  <c r="E817" i="31"/>
  <c r="G817" i="31"/>
  <c r="I817" i="31"/>
  <c r="K817" i="31"/>
  <c r="M817" i="31"/>
  <c r="O817" i="31"/>
  <c r="Q817" i="31"/>
  <c r="E818" i="31"/>
  <c r="G818" i="31"/>
  <c r="I818" i="31"/>
  <c r="K818" i="31"/>
  <c r="M818" i="31"/>
  <c r="O818" i="31"/>
  <c r="Q818" i="31"/>
  <c r="E819" i="31"/>
  <c r="G819" i="31"/>
  <c r="I819" i="31"/>
  <c r="K819" i="31"/>
  <c r="M819" i="31"/>
  <c r="O819" i="31"/>
  <c r="Q819" i="31"/>
  <c r="C820" i="31"/>
  <c r="E820" i="31"/>
  <c r="R820" i="31" s="1"/>
  <c r="S820" i="31" s="1"/>
  <c r="G820" i="31"/>
  <c r="I820" i="31"/>
  <c r="K820" i="31"/>
  <c r="M820" i="31"/>
  <c r="O820" i="31"/>
  <c r="Q820" i="31"/>
  <c r="C821" i="31"/>
  <c r="E821" i="31"/>
  <c r="R821" i="31" s="1"/>
  <c r="S821" i="31" s="1"/>
  <c r="G821" i="31"/>
  <c r="I821" i="31"/>
  <c r="K821" i="31"/>
  <c r="M821" i="31"/>
  <c r="O821" i="31"/>
  <c r="Q821" i="31"/>
  <c r="C822" i="31"/>
  <c r="E822" i="31"/>
  <c r="R822" i="31" s="1"/>
  <c r="S822" i="31" s="1"/>
  <c r="G822" i="31"/>
  <c r="I822" i="31"/>
  <c r="K822" i="31"/>
  <c r="M822" i="31"/>
  <c r="O822" i="31"/>
  <c r="Q822" i="31"/>
  <c r="C823" i="31"/>
  <c r="E823" i="31"/>
  <c r="R823" i="31" s="1"/>
  <c r="S823" i="31" s="1"/>
  <c r="G823" i="31"/>
  <c r="I823" i="31"/>
  <c r="K823" i="31"/>
  <c r="M823" i="31"/>
  <c r="O823" i="31"/>
  <c r="Q823" i="31"/>
  <c r="C824" i="31"/>
  <c r="E824" i="31"/>
  <c r="R824" i="31" s="1"/>
  <c r="S824" i="31" s="1"/>
  <c r="G824" i="31"/>
  <c r="I824" i="31"/>
  <c r="K824" i="31"/>
  <c r="M824" i="31"/>
  <c r="O824" i="31"/>
  <c r="Q824" i="31"/>
  <c r="C825" i="31"/>
  <c r="E825" i="31"/>
  <c r="R825" i="31" s="1"/>
  <c r="S825" i="31" s="1"/>
  <c r="G825" i="31"/>
  <c r="I825" i="31"/>
  <c r="K825" i="31"/>
  <c r="M825" i="31"/>
  <c r="O825" i="31"/>
  <c r="Q825" i="31"/>
  <c r="C826" i="31"/>
  <c r="E826" i="31"/>
  <c r="R826" i="31" s="1"/>
  <c r="S826" i="31" s="1"/>
  <c r="G826" i="31"/>
  <c r="I826" i="31"/>
  <c r="K826" i="31"/>
  <c r="M826" i="31"/>
  <c r="O826" i="31"/>
  <c r="Q826"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759" i="31"/>
  <c r="B759" i="31"/>
  <c r="A760" i="31"/>
  <c r="B760" i="31"/>
  <c r="A761" i="31"/>
  <c r="B761" i="31"/>
  <c r="A762" i="31"/>
  <c r="B762" i="31"/>
  <c r="A763" i="31"/>
  <c r="B763" i="31"/>
  <c r="A764" i="31"/>
  <c r="B764" i="31"/>
  <c r="A765" i="31"/>
  <c r="B765" i="31"/>
  <c r="A766" i="31"/>
  <c r="B766" i="31"/>
  <c r="A767" i="31"/>
  <c r="B767" i="31"/>
  <c r="A768" i="31"/>
  <c r="B768"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521" i="31"/>
  <c r="B521" i="31"/>
  <c r="A522" i="31"/>
  <c r="B522" i="31"/>
  <c r="A523" i="31"/>
  <c r="B523" i="31"/>
  <c r="A524" i="31"/>
  <c r="B524"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187" i="31"/>
  <c r="B187" i="31"/>
  <c r="A188" i="31"/>
  <c r="B188" i="31"/>
  <c r="A189" i="31"/>
  <c r="B189" i="31"/>
  <c r="A190" i="31"/>
  <c r="B190" i="31"/>
  <c r="A191" i="31"/>
  <c r="B191" i="31"/>
  <c r="A192" i="31"/>
  <c r="B192" i="31"/>
  <c r="A193" i="31"/>
  <c r="B193" i="31"/>
  <c r="A194" i="31"/>
  <c r="B194" i="31"/>
  <c r="A195" i="31"/>
  <c r="B195" i="31"/>
  <c r="A196" i="31"/>
  <c r="B196"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25" i="31"/>
  <c r="B25" i="31"/>
  <c r="A26" i="31"/>
  <c r="B26" i="31"/>
  <c r="A27" i="31"/>
  <c r="B27" i="31"/>
  <c r="A24" i="31"/>
  <c r="B24" i="31"/>
  <c r="V22" i="31" s="1"/>
  <c r="K16" i="35"/>
  <c r="K14" i="35"/>
  <c r="C31" i="35"/>
  <c r="C634" i="31" l="1"/>
  <c r="C632" i="31"/>
  <c r="C630" i="31"/>
  <c r="C628" i="31"/>
  <c r="C626" i="31"/>
  <c r="C624" i="31"/>
  <c r="C622" i="31"/>
  <c r="C620" i="31"/>
  <c r="C618" i="31"/>
  <c r="C616" i="31"/>
  <c r="C614" i="31"/>
  <c r="C612" i="31"/>
  <c r="C610" i="31"/>
  <c r="C608" i="31"/>
  <c r="C606" i="31"/>
  <c r="C604" i="31"/>
  <c r="C602" i="31"/>
  <c r="C600" i="31"/>
  <c r="C598" i="31"/>
  <c r="C596" i="31"/>
  <c r="C594" i="31"/>
  <c r="C592" i="31"/>
  <c r="C590" i="31"/>
  <c r="C588" i="31"/>
  <c r="C586" i="31"/>
  <c r="C584" i="31"/>
  <c r="C582" i="31"/>
  <c r="C580" i="31"/>
  <c r="C578" i="31"/>
  <c r="C576" i="31"/>
  <c r="C574" i="31"/>
  <c r="C572" i="31"/>
  <c r="C570" i="31"/>
  <c r="C568" i="31"/>
  <c r="C566" i="31"/>
  <c r="C564" i="31"/>
  <c r="C562" i="31"/>
  <c r="C560" i="31"/>
  <c r="C558" i="31"/>
  <c r="C556" i="31"/>
  <c r="C554" i="31"/>
  <c r="C552" i="31"/>
  <c r="C550" i="31"/>
  <c r="C548" i="31"/>
  <c r="C546" i="31"/>
  <c r="C544" i="31"/>
  <c r="C542" i="31"/>
  <c r="C540" i="31"/>
  <c r="C538" i="31"/>
  <c r="C536" i="31"/>
  <c r="C534" i="31"/>
  <c r="C532" i="31"/>
  <c r="C530" i="31"/>
  <c r="C528" i="31"/>
  <c r="C526" i="31"/>
  <c r="C692" i="31"/>
  <c r="C690" i="31"/>
  <c r="C688" i="31"/>
  <c r="C686" i="31"/>
  <c r="C684" i="31"/>
  <c r="C682" i="31"/>
  <c r="C680" i="31"/>
  <c r="C678" i="31"/>
  <c r="C676" i="31"/>
  <c r="C674" i="31"/>
  <c r="C672" i="31"/>
  <c r="C670" i="31"/>
  <c r="C668" i="31"/>
  <c r="C666" i="31"/>
  <c r="C664" i="31"/>
  <c r="C662" i="31"/>
  <c r="C660" i="31"/>
  <c r="C658" i="31"/>
  <c r="C656" i="31"/>
  <c r="C654" i="31"/>
  <c r="C652" i="31"/>
  <c r="C650" i="31"/>
  <c r="C648" i="31"/>
  <c r="C646" i="31"/>
  <c r="C644" i="31"/>
  <c r="C642" i="31"/>
  <c r="C640" i="31"/>
  <c r="C638" i="31"/>
  <c r="C636" i="31"/>
  <c r="C767" i="31"/>
  <c r="C765" i="31"/>
  <c r="C763" i="31"/>
  <c r="C761" i="31"/>
  <c r="C759" i="31"/>
  <c r="C757" i="31"/>
  <c r="C633" i="31"/>
  <c r="C629" i="31"/>
  <c r="C625" i="31"/>
  <c r="C621" i="31"/>
  <c r="C617" i="31"/>
  <c r="C613" i="31"/>
  <c r="C609" i="31"/>
  <c r="C607" i="31"/>
  <c r="C603" i="31"/>
  <c r="C599" i="31"/>
  <c r="C595" i="31"/>
  <c r="C591" i="31"/>
  <c r="C589" i="31"/>
  <c r="C585" i="31"/>
  <c r="C583" i="31"/>
  <c r="C581" i="31"/>
  <c r="C579" i="31"/>
  <c r="C577" i="31"/>
  <c r="C575" i="31"/>
  <c r="C573" i="31"/>
  <c r="C569" i="31"/>
  <c r="C567" i="31"/>
  <c r="C565" i="31"/>
  <c r="C563" i="31"/>
  <c r="C561" i="31"/>
  <c r="C559" i="31"/>
  <c r="C768" i="31"/>
  <c r="C766" i="31"/>
  <c r="C764" i="31"/>
  <c r="C762" i="31"/>
  <c r="C760" i="31"/>
  <c r="C758" i="31"/>
  <c r="C756" i="31"/>
  <c r="C754" i="31"/>
  <c r="C752" i="31"/>
  <c r="C750" i="31"/>
  <c r="C738" i="31"/>
  <c r="C736" i="31"/>
  <c r="C734" i="31"/>
  <c r="C732" i="31"/>
  <c r="C730" i="31"/>
  <c r="C728" i="31"/>
  <c r="C726" i="31"/>
  <c r="C819" i="31"/>
  <c r="C817" i="31"/>
  <c r="C815" i="31"/>
  <c r="C813" i="31"/>
  <c r="C811" i="31"/>
  <c r="C809" i="31"/>
  <c r="C807" i="31"/>
  <c r="C805" i="31"/>
  <c r="C803" i="31"/>
  <c r="C801" i="31"/>
  <c r="C799" i="31"/>
  <c r="C797" i="31"/>
  <c r="C795" i="31"/>
  <c r="C793" i="31"/>
  <c r="C791" i="31"/>
  <c r="C789" i="31"/>
  <c r="C787" i="31"/>
  <c r="C785" i="31"/>
  <c r="C783" i="31"/>
  <c r="C781" i="31"/>
  <c r="C779" i="31"/>
  <c r="C777" i="31"/>
  <c r="C775" i="31"/>
  <c r="C773" i="31"/>
  <c r="C771" i="31"/>
  <c r="C769" i="31"/>
  <c r="C635" i="31"/>
  <c r="C631" i="31"/>
  <c r="C627" i="31"/>
  <c r="C623" i="31"/>
  <c r="C619" i="31"/>
  <c r="C615" i="31"/>
  <c r="C611" i="31"/>
  <c r="C605" i="31"/>
  <c r="C601" i="31"/>
  <c r="C597" i="31"/>
  <c r="C593" i="31"/>
  <c r="C587" i="31"/>
  <c r="C571" i="31"/>
  <c r="C755" i="31"/>
  <c r="C753" i="31"/>
  <c r="C751" i="31"/>
  <c r="C749" i="31"/>
  <c r="C747" i="31"/>
  <c r="C745" i="31"/>
  <c r="C743" i="31"/>
  <c r="C741" i="31"/>
  <c r="C739" i="31"/>
  <c r="C737" i="31"/>
  <c r="C735" i="31"/>
  <c r="C733" i="31"/>
  <c r="C731" i="31"/>
  <c r="C729" i="31"/>
  <c r="C727" i="31"/>
  <c r="C725" i="31"/>
  <c r="C723" i="31"/>
  <c r="C721" i="31"/>
  <c r="C719" i="31"/>
  <c r="C717" i="31"/>
  <c r="C715" i="31"/>
  <c r="C713" i="31"/>
  <c r="C711" i="31"/>
  <c r="C709" i="31"/>
  <c r="C707" i="31"/>
  <c r="C705" i="31"/>
  <c r="C703" i="31"/>
  <c r="C701" i="31"/>
  <c r="C699" i="31"/>
  <c r="C697" i="31"/>
  <c r="C695" i="31"/>
  <c r="C693" i="31"/>
  <c r="C818" i="31"/>
  <c r="C816" i="31"/>
  <c r="C814" i="31"/>
  <c r="C812" i="31"/>
  <c r="C810" i="31"/>
  <c r="C808" i="31"/>
  <c r="C806" i="31"/>
  <c r="C804" i="31"/>
  <c r="C802" i="31"/>
  <c r="C800" i="31"/>
  <c r="C798" i="31"/>
  <c r="C796" i="31"/>
  <c r="C794" i="31"/>
  <c r="C792" i="31"/>
  <c r="C790" i="31"/>
  <c r="C788" i="31"/>
  <c r="C786" i="31"/>
  <c r="C784" i="31"/>
  <c r="C782" i="31"/>
  <c r="C780" i="31"/>
  <c r="C778" i="31"/>
  <c r="C776" i="31"/>
  <c r="C774" i="31"/>
  <c r="C772" i="31"/>
  <c r="C770" i="31"/>
  <c r="C557" i="31"/>
  <c r="C555" i="31"/>
  <c r="C553" i="31"/>
  <c r="C551" i="31"/>
  <c r="C549" i="31"/>
  <c r="C547" i="31"/>
  <c r="C545" i="31"/>
  <c r="C543" i="31"/>
  <c r="C541" i="31"/>
  <c r="C539" i="31"/>
  <c r="C537" i="31"/>
  <c r="C535" i="31"/>
  <c r="C533" i="31"/>
  <c r="C531" i="31"/>
  <c r="C529" i="31"/>
  <c r="C527" i="31"/>
  <c r="C525" i="31"/>
  <c r="C691" i="31"/>
  <c r="C689" i="31"/>
  <c r="C687" i="31"/>
  <c r="C685" i="31"/>
  <c r="C683" i="31"/>
  <c r="C681" i="31"/>
  <c r="C679" i="31"/>
  <c r="C677" i="31"/>
  <c r="C675" i="31"/>
  <c r="C673" i="31"/>
  <c r="C671" i="31"/>
  <c r="C669" i="31"/>
  <c r="C667" i="31"/>
  <c r="C665" i="31"/>
  <c r="C663" i="31"/>
  <c r="C661" i="31"/>
  <c r="C659" i="31"/>
  <c r="C657" i="31"/>
  <c r="C655" i="31"/>
  <c r="C653" i="31"/>
  <c r="C651" i="31"/>
  <c r="C649" i="31"/>
  <c r="C647" i="31"/>
  <c r="C645" i="31"/>
  <c r="C643" i="31"/>
  <c r="C641" i="31"/>
  <c r="C639" i="31"/>
  <c r="C637" i="31"/>
  <c r="C748" i="31"/>
  <c r="C746" i="31"/>
  <c r="C744" i="31"/>
  <c r="C742" i="31"/>
  <c r="C740" i="31"/>
  <c r="C724" i="31"/>
  <c r="C722" i="31"/>
  <c r="C720" i="31"/>
  <c r="C718" i="31"/>
  <c r="C716" i="31"/>
  <c r="C714" i="31"/>
  <c r="C712" i="31"/>
  <c r="C710" i="31"/>
  <c r="C708" i="31"/>
  <c r="C706" i="31"/>
  <c r="C704" i="31"/>
  <c r="C702" i="31"/>
  <c r="C700" i="31"/>
  <c r="C698" i="31"/>
  <c r="C696" i="31"/>
  <c r="C694" i="31"/>
  <c r="K16" i="36"/>
  <c r="K14" i="36"/>
  <c r="K23" i="21" l="1"/>
  <c r="C11" i="21"/>
  <c r="J4" i="80"/>
  <c r="I4" i="80"/>
  <c r="F4" i="80"/>
  <c r="K2" i="80"/>
  <c r="K4" i="80" l="1"/>
  <c r="N6" i="1" s="1"/>
  <c r="N7" i="1" s="1"/>
  <c r="N8" i="1" s="1"/>
  <c r="K20" i="35"/>
  <c r="K20" i="36"/>
  <c r="E38" i="39"/>
  <c r="E46" i="39"/>
  <c r="I46" i="39"/>
  <c r="G38" i="39"/>
  <c r="C38" i="39"/>
  <c r="I7" i="39"/>
  <c r="G7" i="39"/>
  <c r="E7" i="39"/>
  <c r="I5" i="39"/>
  <c r="G5" i="39"/>
  <c r="E5" i="39"/>
  <c r="L8" i="1"/>
  <c r="M35" i="81" s="1"/>
  <c r="M36" i="81" s="1"/>
  <c r="F37" i="81"/>
  <c r="E37" i="81"/>
  <c r="D36" i="81"/>
  <c r="D35" i="81"/>
  <c r="D34" i="81"/>
  <c r="AE29" i="81"/>
  <c r="AA29" i="81"/>
  <c r="Z29" i="81"/>
  <c r="Y29" i="81"/>
  <c r="X29" i="81"/>
  <c r="W29" i="81"/>
  <c r="V29" i="81"/>
  <c r="U29" i="81"/>
  <c r="T29" i="81"/>
  <c r="L35" i="81" s="1"/>
  <c r="S29" i="81"/>
  <c r="R29" i="81"/>
  <c r="Q29" i="81"/>
  <c r="P29" i="81"/>
  <c r="O29" i="81"/>
  <c r="N29" i="81"/>
  <c r="L29" i="81"/>
  <c r="K29" i="81"/>
  <c r="J29" i="81"/>
  <c r="I29" i="81"/>
  <c r="G29" i="81"/>
  <c r="L33" i="81" s="1"/>
  <c r="M27" i="81"/>
  <c r="F27" i="81"/>
  <c r="D27" i="81" s="1"/>
  <c r="F26" i="81"/>
  <c r="D26" i="81" s="1"/>
  <c r="F25" i="81"/>
  <c r="D25" i="81"/>
  <c r="F24" i="81"/>
  <c r="D24" i="81" s="1"/>
  <c r="AD23" i="81"/>
  <c r="F23" i="81"/>
  <c r="D23" i="81"/>
  <c r="AD22" i="81"/>
  <c r="F22" i="81"/>
  <c r="D22" i="81"/>
  <c r="AD21" i="81"/>
  <c r="F21" i="81"/>
  <c r="D21" i="81" s="1"/>
  <c r="AD20" i="81"/>
  <c r="F20" i="81"/>
  <c r="AD19" i="81"/>
  <c r="F19" i="81"/>
  <c r="D19" i="81" s="1"/>
  <c r="AD18" i="81"/>
  <c r="F18" i="81"/>
  <c r="D18" i="81" s="1"/>
  <c r="AD17" i="81"/>
  <c r="F17" i="81"/>
  <c r="D17" i="81"/>
  <c r="AD16" i="81"/>
  <c r="F16" i="81"/>
  <c r="AD15" i="81"/>
  <c r="F15" i="81"/>
  <c r="D15" i="81" s="1"/>
  <c r="AD14" i="81"/>
  <c r="F14" i="81"/>
  <c r="D14" i="81"/>
  <c r="AD13" i="81"/>
  <c r="H13" i="81"/>
  <c r="E13" i="81" s="1"/>
  <c r="F13" i="81"/>
  <c r="AD12" i="81"/>
  <c r="F12" i="81"/>
  <c r="D12" i="81" s="1"/>
  <c r="AD11" i="81"/>
  <c r="F11" i="81"/>
  <c r="E11" i="81"/>
  <c r="AD10" i="81"/>
  <c r="F10" i="81"/>
  <c r="E10" i="81"/>
  <c r="AD9" i="81"/>
  <c r="F9" i="81"/>
  <c r="E9" i="81"/>
  <c r="D9" i="81" s="1"/>
  <c r="AD8" i="81"/>
  <c r="F8" i="81"/>
  <c r="D8" i="81" s="1"/>
  <c r="E8" i="81"/>
  <c r="AD7" i="81"/>
  <c r="F7" i="81"/>
  <c r="E7" i="81"/>
  <c r="AD6" i="81"/>
  <c r="F6" i="81"/>
  <c r="E6" i="81"/>
  <c r="AD5" i="81"/>
  <c r="F5" i="81"/>
  <c r="E5" i="81"/>
  <c r="D5" i="81" s="1"/>
  <c r="AD4" i="81"/>
  <c r="F4" i="81"/>
  <c r="E4" i="81"/>
  <c r="AD3" i="81"/>
  <c r="F3" i="81"/>
  <c r="E3" i="81"/>
  <c r="E29" i="81" s="1"/>
  <c r="S33" i="81" l="1"/>
  <c r="M29" i="81"/>
  <c r="E28" i="81"/>
  <c r="D28" i="81" s="1"/>
  <c r="L36" i="81" s="1"/>
  <c r="N33" i="81" s="1"/>
  <c r="D37" i="81"/>
  <c r="AD30" i="81"/>
  <c r="L34" i="81"/>
  <c r="D6" i="81"/>
  <c r="D10" i="81"/>
  <c r="F29" i="81"/>
  <c r="D4" i="81"/>
  <c r="D13" i="81"/>
  <c r="D16" i="81"/>
  <c r="D20" i="81"/>
  <c r="D7" i="81"/>
  <c r="D11" i="81"/>
  <c r="D3" i="81"/>
  <c r="H29" i="81"/>
  <c r="D29" i="81" l="1"/>
  <c r="C33" i="21"/>
  <c r="C1475" i="80"/>
  <c r="C678" i="80"/>
  <c r="K13" i="3" s="1"/>
  <c r="G20" i="6" s="1"/>
  <c r="C606" i="80"/>
  <c r="I13" i="3" s="1"/>
  <c r="F19" i="6" s="1"/>
  <c r="D39" i="81" l="1"/>
  <c r="D41" i="81"/>
  <c r="L37" i="81" s="1"/>
  <c r="L38" i="81" s="1"/>
  <c r="C1476" i="80"/>
  <c r="G41" i="81" s="1"/>
  <c r="I41" i="81" s="1"/>
  <c r="A3" i="3" s="1"/>
  <c r="M13" i="3"/>
  <c r="G21" i="6" s="1"/>
  <c r="D3" i="4"/>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N28" i="79"/>
  <c r="T19" i="79"/>
  <c r="W19" i="79" s="1"/>
  <c r="S17"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C67"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Q37" i="71"/>
  <c r="AB37" i="71" s="1"/>
  <c r="P37" i="71"/>
  <c r="AA37" i="71" s="1"/>
  <c r="O37" i="71"/>
  <c r="N37" i="71"/>
  <c r="B38" i="71" s="1"/>
  <c r="B39" i="71" s="1"/>
  <c r="B40" i="71" s="1"/>
  <c r="S40" i="71" s="1"/>
  <c r="D37" i="71"/>
  <c r="Q36" i="71"/>
  <c r="P36" i="71"/>
  <c r="O36" i="71"/>
  <c r="N36" i="71"/>
  <c r="Q35" i="71"/>
  <c r="P35" i="71"/>
  <c r="O35" i="71"/>
  <c r="N35" i="71"/>
  <c r="Q34" i="71"/>
  <c r="P34" i="71"/>
  <c r="O34" i="71"/>
  <c r="N34" i="71"/>
  <c r="Q33" i="71"/>
  <c r="F34" i="71" s="1"/>
  <c r="P33" i="71"/>
  <c r="E34"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N28" i="71"/>
  <c r="B28" i="71" s="1"/>
  <c r="B27" i="71" s="1"/>
  <c r="B26" i="71" s="1"/>
  <c r="B30" i="71"/>
  <c r="B31" i="71" s="1"/>
  <c r="B32" i="71" s="1"/>
  <c r="S32" i="71" s="1"/>
  <c r="B34" i="71"/>
  <c r="B35" i="71" s="1"/>
  <c r="B36" i="71" s="1"/>
  <c r="S36" i="71" s="1"/>
  <c r="X38" i="71"/>
  <c r="P28" i="71"/>
  <c r="E28" i="71" s="1"/>
  <c r="U68" i="71"/>
  <c r="E67" i="71"/>
  <c r="E66" i="71" s="1"/>
  <c r="P65" i="71" s="1"/>
  <c r="Q28" i="71"/>
  <c r="F28" i="71" s="1"/>
  <c r="F27" i="71" s="1"/>
  <c r="F26" i="71" s="1"/>
  <c r="D62" i="71"/>
  <c r="T68" i="71"/>
  <c r="E79" i="71"/>
  <c r="E78" i="71" s="1"/>
  <c r="C87" i="71"/>
  <c r="C86" i="71" s="1"/>
  <c r="D8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E83" i="21"/>
  <c r="F83" i="21" s="1"/>
  <c r="G83" i="21" s="1"/>
  <c r="H1" i="69"/>
  <c r="U21" i="34"/>
  <c r="J21" i="37"/>
  <c r="W21" i="37" s="1"/>
  <c r="J21" i="34"/>
  <c r="W21" i="34" s="1"/>
  <c r="J21" i="33"/>
  <c r="W21" i="33" s="1"/>
  <c r="H21" i="21"/>
  <c r="U21" i="21" s="1"/>
  <c r="F38" i="69"/>
  <c r="E37" i="69"/>
  <c r="F36" i="69"/>
  <c r="F35" i="69"/>
  <c r="F21" i="69"/>
  <c r="F40" i="69" s="1"/>
  <c r="F20" i="69"/>
  <c r="F39" i="69" s="1"/>
  <c r="E10" i="69"/>
  <c r="E9" i="69"/>
  <c r="C7" i="69"/>
  <c r="AC21" i="33"/>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A556" i="3" s="1"/>
  <c r="AZ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U31" i="35" s="1"/>
  <c r="F31" i="35"/>
  <c r="AA31" i="35" s="1"/>
  <c r="D87" i="35"/>
  <c r="E87" i="35" s="1"/>
  <c r="F87" i="35" s="1"/>
  <c r="G87" i="35" s="1"/>
  <c r="H34" i="37"/>
  <c r="D101" i="37"/>
  <c r="E101" i="37" s="1"/>
  <c r="F34" i="37"/>
  <c r="D99" i="37"/>
  <c r="E99" i="37" s="1"/>
  <c r="F99" i="37" s="1"/>
  <c r="G99" i="37" s="1"/>
  <c r="H99" i="37" s="1"/>
  <c r="I99" i="37" s="1"/>
  <c r="J99" i="37" s="1"/>
  <c r="K99" i="37" s="1"/>
  <c r="L99" i="37" s="1"/>
  <c r="M99" i="37" s="1"/>
  <c r="H42" i="34"/>
  <c r="AB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S40" i="33" s="1"/>
  <c r="J41" i="33"/>
  <c r="D113" i="33"/>
  <c r="F37" i="33"/>
  <c r="D111" i="33"/>
  <c r="E111" i="33" s="1"/>
  <c r="F111" i="33" s="1"/>
  <c r="G111" i="33" s="1"/>
  <c r="H111" i="33" s="1"/>
  <c r="I111" i="33" s="1"/>
  <c r="J111" i="33" s="1"/>
  <c r="K111" i="33" s="1"/>
  <c r="L111" i="33" s="1"/>
  <c r="M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D79" i="37"/>
  <c r="E79" i="37" s="1"/>
  <c r="D75" i="37"/>
  <c r="E75" i="37" s="1"/>
  <c r="F75" i="37" s="1"/>
  <c r="G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s="1"/>
  <c r="G68" i="36" s="1"/>
  <c r="D64" i="36"/>
  <c r="E64" i="36" s="1"/>
  <c r="F64" i="36" s="1"/>
  <c r="G64" i="36" s="1"/>
  <c r="D62" i="36"/>
  <c r="E62" i="36" s="1"/>
  <c r="F62" i="36" s="1"/>
  <c r="G62" i="36" s="1"/>
  <c r="B59" i="36"/>
  <c r="H13" i="36" s="1"/>
  <c r="AB13" i="36" s="1"/>
  <c r="B57" i="36"/>
  <c r="B55" i="36"/>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AB26" i="36" s="1"/>
  <c r="Q25" i="36"/>
  <c r="Z25" i="36" s="1"/>
  <c r="Q24" i="36"/>
  <c r="Z24" i="36"/>
  <c r="Q23" i="36"/>
  <c r="Z23" i="36" s="1"/>
  <c r="Q22" i="36"/>
  <c r="Z22" i="36" s="1"/>
  <c r="J22" i="36"/>
  <c r="AC22" i="36"/>
  <c r="Q20" i="36"/>
  <c r="Z20" i="36" s="1"/>
  <c r="Q16" i="36"/>
  <c r="Z16" i="36" s="1"/>
  <c r="Q14" i="36"/>
  <c r="Z14" i="36" s="1"/>
  <c r="Q13" i="36"/>
  <c r="Z13" i="36" s="1"/>
  <c r="Q12" i="36"/>
  <c r="Z12" i="36" s="1"/>
  <c r="Q11" i="36"/>
  <c r="Z11" i="36" s="1"/>
  <c r="Q10" i="36"/>
  <c r="Z10" i="36"/>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H34" i="35" s="1"/>
  <c r="B77" i="35"/>
  <c r="B75" i="35"/>
  <c r="J24" i="35" s="1"/>
  <c r="AC24" i="35" s="1"/>
  <c r="B73" i="35"/>
  <c r="J23" i="35" s="1"/>
  <c r="AC23" i="35" s="1"/>
  <c r="B57" i="35"/>
  <c r="F11" i="35" s="1"/>
  <c r="S11" i="35" s="1"/>
  <c r="B61" i="35"/>
  <c r="B59" i="35"/>
  <c r="B131" i="34"/>
  <c r="B129" i="34"/>
  <c r="J46" i="34" s="1"/>
  <c r="B127" i="34"/>
  <c r="B99" i="34"/>
  <c r="B97" i="34"/>
  <c r="F31" i="34" s="1"/>
  <c r="S31" i="34" s="1"/>
  <c r="B95" i="34"/>
  <c r="H30" i="34" s="1"/>
  <c r="B93" i="34"/>
  <c r="B75" i="34"/>
  <c r="B73" i="34"/>
  <c r="H13" i="34" s="1"/>
  <c r="U13" i="34" s="1"/>
  <c r="B71" i="34"/>
  <c r="B130" i="33"/>
  <c r="B128" i="33"/>
  <c r="B126" i="33"/>
  <c r="F44" i="33" s="1"/>
  <c r="S44" i="33" s="1"/>
  <c r="B98" i="33"/>
  <c r="H31" i="33" s="1"/>
  <c r="B96" i="33"/>
  <c r="B94" i="33"/>
  <c r="B74" i="33"/>
  <c r="F14" i="33" s="1"/>
  <c r="S14" i="33" s="1"/>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C53" i="35"/>
  <c r="J9" i="35"/>
  <c r="W9" i="35" s="1"/>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77" i="21"/>
  <c r="E77" i="21" s="1"/>
  <c r="F15" i="21" s="1"/>
  <c r="S15" i="21" s="1"/>
  <c r="B130" i="21"/>
  <c r="J46" i="21" s="1"/>
  <c r="B128" i="21"/>
  <c r="J45" i="21" s="1"/>
  <c r="W45" i="21" s="1"/>
  <c r="B126" i="21"/>
  <c r="B98" i="21"/>
  <c r="H31" i="21" s="1"/>
  <c r="B96" i="21"/>
  <c r="B94" i="21"/>
  <c r="J29" i="21"/>
  <c r="W29" i="21" s="1"/>
  <c r="B92" i="21"/>
  <c r="J28" i="21" s="1"/>
  <c r="W28" i="21" s="1"/>
  <c r="B90" i="21"/>
  <c r="J27" i="21" s="1"/>
  <c r="AC27" i="21" s="1"/>
  <c r="B74" i="21"/>
  <c r="B72" i="21"/>
  <c r="H13" i="21"/>
  <c r="U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Q35" i="21"/>
  <c r="Z35" i="21" s="1"/>
  <c r="Q36" i="21"/>
  <c r="Z36" i="21" s="1"/>
  <c r="Q37" i="21"/>
  <c r="Z37" i="21"/>
  <c r="J38" i="21"/>
  <c r="W38" i="21" s="1"/>
  <c r="Q38" i="21"/>
  <c r="Z38" i="21" s="1"/>
  <c r="J39" i="21"/>
  <c r="AC39" i="21" s="1"/>
  <c r="Q39" i="21"/>
  <c r="Z39" i="21" s="1"/>
  <c r="H40" i="21"/>
  <c r="AB40" i="21" s="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AB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J10" i="21"/>
  <c r="AC10" i="21" s="1"/>
  <c r="H26" i="21"/>
  <c r="AB26" i="21" s="1"/>
  <c r="J26" i="21"/>
  <c r="AC26" i="21" s="1"/>
  <c r="F26" i="21"/>
  <c r="S26" i="21" s="1"/>
  <c r="AB41" i="21"/>
  <c r="F45" i="39"/>
  <c r="S45" i="39" s="1"/>
  <c r="J45" i="39"/>
  <c r="W45" i="39" s="1"/>
  <c r="H36" i="39"/>
  <c r="U36" i="39" s="1"/>
  <c r="J35" i="39"/>
  <c r="AC35" i="39" s="1"/>
  <c r="F35" i="39"/>
  <c r="AA35" i="39" s="1"/>
  <c r="U30" i="37"/>
  <c r="W31" i="37"/>
  <c r="E103" i="37"/>
  <c r="F103" i="37" s="1"/>
  <c r="G103" i="37" s="1"/>
  <c r="H103" i="37" s="1"/>
  <c r="I103" i="37" s="1"/>
  <c r="J103" i="37" s="1"/>
  <c r="K103" i="37" s="1"/>
  <c r="L103" i="37" s="1"/>
  <c r="M103" i="37" s="1"/>
  <c r="F29" i="36"/>
  <c r="AA29" i="36" s="1"/>
  <c r="J33" i="36"/>
  <c r="AC33" i="36" s="1"/>
  <c r="H22" i="35"/>
  <c r="AB22" i="35" s="1"/>
  <c r="F36" i="34"/>
  <c r="J35" i="34"/>
  <c r="H39" i="33"/>
  <c r="AB39" i="33" s="1"/>
  <c r="U33" i="33"/>
  <c r="W39" i="33"/>
  <c r="H39" i="37"/>
  <c r="AB39" i="37"/>
  <c r="F11" i="40"/>
  <c r="AA11" i="40"/>
  <c r="H11" i="40"/>
  <c r="AB11" i="40"/>
  <c r="W8" i="40"/>
  <c r="AA9" i="40"/>
  <c r="U9" i="40"/>
  <c r="S34" i="40"/>
  <c r="U34"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19" i="39"/>
  <c r="AC19" i="39" s="1"/>
  <c r="J17" i="39"/>
  <c r="W17" i="39" s="1"/>
  <c r="J27" i="39"/>
  <c r="AC27" i="39" s="1"/>
  <c r="C25" i="39"/>
  <c r="H11" i="39"/>
  <c r="U11" i="39" s="1"/>
  <c r="C15" i="39"/>
  <c r="H32" i="33"/>
  <c r="AB32" i="33" s="1"/>
  <c r="H37" i="40"/>
  <c r="U37" i="40" s="1"/>
  <c r="H36" i="40"/>
  <c r="AB36" i="40" s="1"/>
  <c r="F35" i="40"/>
  <c r="AA35" i="40" s="1"/>
  <c r="H23" i="40"/>
  <c r="AB23" i="40" s="1"/>
  <c r="H17" i="40"/>
  <c r="U17" i="40" s="1"/>
  <c r="J15" i="40"/>
  <c r="W15" i="40" s="1"/>
  <c r="J11" i="40"/>
  <c r="W11" i="40" s="1"/>
  <c r="AB8" i="39"/>
  <c r="W32" i="40"/>
  <c r="F37" i="39"/>
  <c r="AA37" i="39" s="1"/>
  <c r="J34" i="36"/>
  <c r="W34" i="36" s="1"/>
  <c r="J30" i="35"/>
  <c r="W30" i="35" s="1"/>
  <c r="H30" i="35"/>
  <c r="AB30" i="35" s="1"/>
  <c r="F22" i="35"/>
  <c r="AA22" i="35" s="1"/>
  <c r="H10" i="35"/>
  <c r="U10" i="35" s="1"/>
  <c r="F33" i="36"/>
  <c r="AA33" i="36" s="1"/>
  <c r="E85" i="36"/>
  <c r="F85" i="36" s="1"/>
  <c r="G85" i="36" s="1"/>
  <c r="H85" i="36" s="1"/>
  <c r="I85" i="36" s="1"/>
  <c r="J85" i="36" s="1"/>
  <c r="K85" i="36" s="1"/>
  <c r="L85" i="36" s="1"/>
  <c r="M85" i="36" s="1"/>
  <c r="J29" i="36"/>
  <c r="AC29" i="36" s="1"/>
  <c r="F12" i="36"/>
  <c r="S12" i="36" s="1"/>
  <c r="F24" i="36"/>
  <c r="AA24" i="36" s="1"/>
  <c r="F23" i="35"/>
  <c r="AA23" i="35" s="1"/>
  <c r="J32" i="35"/>
  <c r="AC32" i="35" s="1"/>
  <c r="J16" i="35"/>
  <c r="AC16" i="35" s="1"/>
  <c r="H33" i="35"/>
  <c r="J20" i="35"/>
  <c r="W20" i="35" s="1"/>
  <c r="F35" i="37"/>
  <c r="S35" i="37" s="1"/>
  <c r="F101" i="37"/>
  <c r="G101" i="37" s="1"/>
  <c r="H101" i="37" s="1"/>
  <c r="I101" i="37" s="1"/>
  <c r="J101" i="37" s="1"/>
  <c r="K101" i="37" s="1"/>
  <c r="L101" i="37" s="1"/>
  <c r="M101" i="37" s="1"/>
  <c r="J34" i="37"/>
  <c r="W34" i="37" s="1"/>
  <c r="AB34" i="37"/>
  <c r="J33" i="37"/>
  <c r="AC33" i="37" s="1"/>
  <c r="U42" i="34"/>
  <c r="H40" i="34"/>
  <c r="U40" i="34" s="1"/>
  <c r="H36" i="34"/>
  <c r="U36" i="34" s="1"/>
  <c r="F37" i="34"/>
  <c r="AA37" i="34" s="1"/>
  <c r="F28" i="34"/>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A12" i="36"/>
  <c r="H29" i="35"/>
  <c r="AB29" i="35" s="1"/>
  <c r="H33" i="37"/>
  <c r="F33" i="37"/>
  <c r="AA33" i="37" s="1"/>
  <c r="U34" i="37"/>
  <c r="S34" i="37"/>
  <c r="AA34" i="37"/>
  <c r="J43"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W42" i="21" s="1"/>
  <c r="H42" i="21"/>
  <c r="U42" i="21" s="1"/>
  <c r="J44" i="34"/>
  <c r="F44" i="34"/>
  <c r="J10" i="35"/>
  <c r="AC10" i="35" s="1"/>
  <c r="J14" i="21"/>
  <c r="W14" i="21" s="1"/>
  <c r="F14" i="21"/>
  <c r="S14" i="21" s="1"/>
  <c r="H14" i="21"/>
  <c r="U14" i="21" s="1"/>
  <c r="H28" i="21"/>
  <c r="AB28" i="21" s="1"/>
  <c r="F28" i="21"/>
  <c r="AA28" i="21" s="1"/>
  <c r="H30" i="21"/>
  <c r="F30" i="21"/>
  <c r="S30" i="21" s="1"/>
  <c r="J30" i="21"/>
  <c r="AC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H10" i="36"/>
  <c r="AB10"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H29" i="33"/>
  <c r="U29" i="33" s="1"/>
  <c r="F29" i="33"/>
  <c r="S29" i="33" s="1"/>
  <c r="J31" i="33"/>
  <c r="F31" i="33"/>
  <c r="H45" i="33"/>
  <c r="J45" i="33"/>
  <c r="W45" i="33" s="1"/>
  <c r="F45" i="33"/>
  <c r="AA45" i="33" s="1"/>
  <c r="J14" i="34"/>
  <c r="W14" i="34" s="1"/>
  <c r="F14" i="34"/>
  <c r="S14" i="34" s="1"/>
  <c r="H14" i="34"/>
  <c r="F30" i="34"/>
  <c r="S30" i="34" s="1"/>
  <c r="J30" i="34"/>
  <c r="H32" i="34"/>
  <c r="F32" i="34"/>
  <c r="J32" i="34"/>
  <c r="W32" i="34" s="1"/>
  <c r="H46" i="34"/>
  <c r="F46" i="34"/>
  <c r="H11" i="35"/>
  <c r="AB11" i="35" s="1"/>
  <c r="J11" i="35"/>
  <c r="W11" i="35" s="1"/>
  <c r="J26" i="36"/>
  <c r="W26" i="36" s="1"/>
  <c r="H28" i="36"/>
  <c r="U28" i="36" s="1"/>
  <c r="H32" i="36"/>
  <c r="AB32" i="36" s="1"/>
  <c r="J11" i="36"/>
  <c r="AC11" i="36" s="1"/>
  <c r="H11" i="36"/>
  <c r="U11" i="36" s="1"/>
  <c r="F11" i="36"/>
  <c r="AA11" i="36" s="1"/>
  <c r="J13" i="36"/>
  <c r="F13" i="36"/>
  <c r="S13" i="36"/>
  <c r="F89" i="37"/>
  <c r="G89" i="37" s="1"/>
  <c r="H89" i="37" s="1"/>
  <c r="I89" i="37" s="1"/>
  <c r="J89" i="37" s="1"/>
  <c r="K89" i="37" s="1"/>
  <c r="L89" i="37" s="1"/>
  <c r="M89" i="37" s="1"/>
  <c r="J29" i="37"/>
  <c r="W29" i="37" s="1"/>
  <c r="F29" i="37"/>
  <c r="S29" i="37" s="1"/>
  <c r="H36" i="37"/>
  <c r="AB36" i="37" s="1"/>
  <c r="J37" i="37"/>
  <c r="AC37" i="37" s="1"/>
  <c r="H37" i="37"/>
  <c r="U37" i="37" s="1"/>
  <c r="J40" i="37"/>
  <c r="AC40" i="37" s="1"/>
  <c r="F40" i="37"/>
  <c r="AA40" i="37" s="1"/>
  <c r="H14" i="33"/>
  <c r="U14" i="33" s="1"/>
  <c r="J14" i="33"/>
  <c r="H30" i="33"/>
  <c r="AB30" i="33" s="1"/>
  <c r="F30" i="33"/>
  <c r="J30" i="33"/>
  <c r="H44" i="33"/>
  <c r="J44" i="33"/>
  <c r="AC44" i="33"/>
  <c r="J46" i="33"/>
  <c r="AC46" i="33" s="1"/>
  <c r="F46" i="33"/>
  <c r="AA46" i="33" s="1"/>
  <c r="H46" i="33"/>
  <c r="AB46" i="33" s="1"/>
  <c r="J13" i="34"/>
  <c r="W13" i="34" s="1"/>
  <c r="F13" i="34"/>
  <c r="AA13" i="34" s="1"/>
  <c r="J29" i="34"/>
  <c r="F29" i="34"/>
  <c r="S29" i="34" s="1"/>
  <c r="H29" i="34"/>
  <c r="AB29" i="34" s="1"/>
  <c r="J31" i="34"/>
  <c r="AC31" i="34" s="1"/>
  <c r="H31" i="34"/>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H35" i="35"/>
  <c r="J25" i="36"/>
  <c r="W25" i="36" s="1"/>
  <c r="F25" i="36"/>
  <c r="S25" i="36" s="1"/>
  <c r="AB25" i="36"/>
  <c r="H13" i="37"/>
  <c r="AB13" i="37" s="1"/>
  <c r="F13" i="37"/>
  <c r="S13" i="37" s="1"/>
  <c r="F28" i="37"/>
  <c r="AA28" i="37" s="1"/>
  <c r="J28" i="37"/>
  <c r="AC28" i="37" s="1"/>
  <c r="H28" i="37"/>
  <c r="H38" i="37"/>
  <c r="AB38" i="37"/>
  <c r="J38" i="37"/>
  <c r="AC38" i="37" s="1"/>
  <c r="F38" i="37"/>
  <c r="S38" i="37" s="1"/>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F13" i="39"/>
  <c r="AA13" i="39" s="1"/>
  <c r="J13" i="39"/>
  <c r="W13" i="39" s="1"/>
  <c r="H13" i="39"/>
  <c r="U13" i="39" s="1"/>
  <c r="AB14" i="40"/>
  <c r="J14" i="40"/>
  <c r="W14" i="40" s="1"/>
  <c r="F14" i="40"/>
  <c r="AA14" i="40" s="1"/>
  <c r="J14" i="37"/>
  <c r="J27" i="37"/>
  <c r="AC27" i="37" s="1"/>
  <c r="AA44" i="33"/>
  <c r="AA14" i="33"/>
  <c r="J36" i="37"/>
  <c r="AC36" i="37" s="1"/>
  <c r="J10" i="36"/>
  <c r="AC10" i="36" s="1"/>
  <c r="S45" i="33"/>
  <c r="BA586" i="3"/>
  <c r="J41" i="39"/>
  <c r="W41" i="39" s="1"/>
  <c r="S35" i="39"/>
  <c r="G540" i="3"/>
  <c r="G536" i="3"/>
  <c r="G535" i="3"/>
  <c r="G532" i="3"/>
  <c r="G531" i="3"/>
  <c r="G528" i="3"/>
  <c r="G527" i="3"/>
  <c r="G523" i="3"/>
  <c r="G518" i="3"/>
  <c r="G514" i="3"/>
  <c r="G510" i="3"/>
  <c r="G508" i="3"/>
  <c r="G504" i="3"/>
  <c r="G500" i="3"/>
  <c r="G496" i="3"/>
  <c r="G580" i="3"/>
  <c r="G576" i="3"/>
  <c r="G572" i="3"/>
  <c r="G564" i="3"/>
  <c r="G560" i="3"/>
  <c r="G554" i="3"/>
  <c r="BL584" i="3"/>
  <c r="BL580" i="3"/>
  <c r="BL576" i="3"/>
  <c r="BL568" i="3"/>
  <c r="BL564" i="3"/>
  <c r="BL560" i="3"/>
  <c r="BL546" i="3"/>
  <c r="BL542" i="3"/>
  <c r="BL538" i="3"/>
  <c r="BL530" i="3"/>
  <c r="BL526" i="3"/>
  <c r="BL522" i="3"/>
  <c r="BL516" i="3"/>
  <c r="BL512" i="3"/>
  <c r="BL506" i="3"/>
  <c r="BL502" i="3"/>
  <c r="BL498" i="3"/>
  <c r="BL494" i="3"/>
  <c r="BL582" i="3"/>
  <c r="BL578" i="3"/>
  <c r="BL570" i="3"/>
  <c r="BL566" i="3"/>
  <c r="BL562" i="3"/>
  <c r="BL552" i="3"/>
  <c r="BL544" i="3"/>
  <c r="BL540" i="3"/>
  <c r="G533" i="3"/>
  <c r="BL532" i="3"/>
  <c r="G529" i="3"/>
  <c r="BL528" i="3"/>
  <c r="G525" i="3"/>
  <c r="BL524" i="3"/>
  <c r="BL518" i="3"/>
  <c r="BL514" i="3"/>
  <c r="BL510" i="3"/>
  <c r="BL504" i="3"/>
  <c r="BL500" i="3"/>
  <c r="BL496" i="3"/>
  <c r="G493" i="3"/>
  <c r="BA584" i="3"/>
  <c r="AZ584" i="3" s="1"/>
  <c r="BA582" i="3"/>
  <c r="BA578" i="3"/>
  <c r="BA576" i="3"/>
  <c r="BA574" i="3"/>
  <c r="BA570" i="3"/>
  <c r="AZ570" i="3" s="1"/>
  <c r="BA568" i="3"/>
  <c r="BA566" i="3"/>
  <c r="BA562" i="3"/>
  <c r="BA560" i="3"/>
  <c r="BA558" i="3"/>
  <c r="BA554" i="3"/>
  <c r="BA552" i="3"/>
  <c r="AZ552" i="3" s="1"/>
  <c r="BA548" i="3"/>
  <c r="BA544" i="3"/>
  <c r="BA542" i="3"/>
  <c r="AZ542" i="3" s="1"/>
  <c r="BA540" i="3"/>
  <c r="BA536" i="3"/>
  <c r="AZ536" i="3" s="1"/>
  <c r="BA534" i="3"/>
  <c r="AZ534" i="3" s="1"/>
  <c r="BA532" i="3"/>
  <c r="AZ532" i="3" s="1"/>
  <c r="BA530" i="3"/>
  <c r="BA528" i="3"/>
  <c r="BA526" i="3"/>
  <c r="BA524" i="3"/>
  <c r="BA522" i="3"/>
  <c r="BA520" i="3"/>
  <c r="BA518" i="3"/>
  <c r="BA516" i="3"/>
  <c r="BA514" i="3"/>
  <c r="AZ514" i="3" s="1"/>
  <c r="BA512" i="3"/>
  <c r="AZ512" i="3" s="1"/>
  <c r="BA510" i="3"/>
  <c r="BA508" i="3"/>
  <c r="AZ508" i="3" s="1"/>
  <c r="BA506" i="3"/>
  <c r="BA504" i="3"/>
  <c r="BA502" i="3"/>
  <c r="BA500" i="3"/>
  <c r="BA498" i="3"/>
  <c r="AZ498" i="3" s="1"/>
  <c r="BA496" i="3"/>
  <c r="BA494" i="3"/>
  <c r="BA587" i="3"/>
  <c r="BA581" i="3"/>
  <c r="BA579" i="3"/>
  <c r="BA577" i="3"/>
  <c r="BA573" i="3"/>
  <c r="BA571" i="3"/>
  <c r="BA569" i="3"/>
  <c r="BA565" i="3"/>
  <c r="BA563" i="3"/>
  <c r="BA561" i="3"/>
  <c r="BA555" i="3"/>
  <c r="BA553" i="3"/>
  <c r="BA549" i="3"/>
  <c r="BA545" i="3"/>
  <c r="BA543" i="3"/>
  <c r="BA541" i="3"/>
  <c r="BA537" i="3"/>
  <c r="BA535" i="3"/>
  <c r="BA533" i="3"/>
  <c r="BA531" i="3"/>
  <c r="BA529" i="3"/>
  <c r="BA527" i="3"/>
  <c r="BA525" i="3"/>
  <c r="BA523" i="3"/>
  <c r="BA519" i="3"/>
  <c r="BA517" i="3"/>
  <c r="BA515" i="3"/>
  <c r="BA513" i="3"/>
  <c r="BA511" i="3"/>
  <c r="BA507" i="3"/>
  <c r="BA505" i="3"/>
  <c r="BA503" i="3"/>
  <c r="BA501" i="3"/>
  <c r="AZ501" i="3" s="1"/>
  <c r="BA499" i="3"/>
  <c r="BA497" i="3"/>
  <c r="BA495" i="3"/>
  <c r="BA493" i="3"/>
  <c r="G583" i="3"/>
  <c r="G581" i="3"/>
  <c r="G577" i="3"/>
  <c r="G575" i="3"/>
  <c r="G573" i="3"/>
  <c r="G569" i="3"/>
  <c r="G567" i="3"/>
  <c r="G565" i="3"/>
  <c r="G561" i="3"/>
  <c r="BL558" i="3"/>
  <c r="BA557" i="3"/>
  <c r="AC557" i="3"/>
  <c r="G557" i="3" s="1"/>
  <c r="BQ557" i="3"/>
  <c r="BL557" i="3" s="1"/>
  <c r="BQ583" i="3"/>
  <c r="BL583" i="3" s="1"/>
  <c r="BQ581" i="3"/>
  <c r="BL581" i="3" s="1"/>
  <c r="BQ579" i="3"/>
  <c r="BQ577" i="3"/>
  <c r="BL577" i="3" s="1"/>
  <c r="BQ575" i="3"/>
  <c r="BL575" i="3" s="1"/>
  <c r="BQ573" i="3"/>
  <c r="BL573" i="3" s="1"/>
  <c r="BQ571" i="3"/>
  <c r="BQ569" i="3"/>
  <c r="BL569" i="3" s="1"/>
  <c r="AZ569" i="3" s="1"/>
  <c r="BQ567" i="3"/>
  <c r="BL567" i="3" s="1"/>
  <c r="BQ565" i="3"/>
  <c r="BQ563" i="3"/>
  <c r="BL563" i="3" s="1"/>
  <c r="BQ561" i="3"/>
  <c r="BL561" i="3"/>
  <c r="AZ561" i="3" s="1"/>
  <c r="BQ559" i="3"/>
  <c r="BL559" i="3" s="1"/>
  <c r="AZ559" i="3" s="1"/>
  <c r="G555" i="3"/>
  <c r="G553" i="3"/>
  <c r="G549" i="3"/>
  <c r="G545" i="3"/>
  <c r="G543" i="3"/>
  <c r="G541" i="3"/>
  <c r="G539" i="3"/>
  <c r="G537" i="3"/>
  <c r="BQ555" i="3"/>
  <c r="BL555" i="3" s="1"/>
  <c r="BQ553" i="3"/>
  <c r="BQ551" i="3"/>
  <c r="BL551" i="3" s="1"/>
  <c r="BQ549" i="3"/>
  <c r="BQ547" i="3"/>
  <c r="BL547" i="3" s="1"/>
  <c r="BQ545" i="3"/>
  <c r="BL545" i="3" s="1"/>
  <c r="BQ543" i="3"/>
  <c r="BQ541" i="3"/>
  <c r="BL541" i="3" s="1"/>
  <c r="AZ541" i="3" s="1"/>
  <c r="BQ539" i="3"/>
  <c r="BL539" i="3" s="1"/>
  <c r="BQ537" i="3"/>
  <c r="BL537" i="3" s="1"/>
  <c r="BQ535" i="3"/>
  <c r="BL535" i="3" s="1"/>
  <c r="BQ533" i="3"/>
  <c r="BL533" i="3" s="1"/>
  <c r="AZ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BL493" i="3" s="1"/>
  <c r="AZ493" i="3" s="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W23" i="35"/>
  <c r="U39" i="37"/>
  <c r="W47" i="34"/>
  <c r="AC45" i="33"/>
  <c r="W44" i="33"/>
  <c r="U11" i="33"/>
  <c r="W44" i="21"/>
  <c r="F43" i="33"/>
  <c r="AA43" i="33" s="1"/>
  <c r="W15" i="34"/>
  <c r="AC15" i="34"/>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19" i="40"/>
  <c r="U19" i="40" s="1"/>
  <c r="F88" i="40"/>
  <c r="G88" i="40" s="1"/>
  <c r="F19" i="40"/>
  <c r="S19" i="40" s="1"/>
  <c r="S14" i="40"/>
  <c r="AB45" i="39"/>
  <c r="H37" i="39"/>
  <c r="AB37" i="39" s="1"/>
  <c r="AC37" i="39"/>
  <c r="W37" i="39"/>
  <c r="H25" i="39"/>
  <c r="AB25" i="39" s="1"/>
  <c r="J25" i="39"/>
  <c r="W25" i="39" s="1"/>
  <c r="F25" i="39"/>
  <c r="AA25" i="39" s="1"/>
  <c r="F15" i="39"/>
  <c r="AA15" i="39" s="1"/>
  <c r="H15" i="39"/>
  <c r="U15" i="39" s="1"/>
  <c r="J15" i="39"/>
  <c r="W15" i="39" s="1"/>
  <c r="H41" i="39"/>
  <c r="AB41" i="39" s="1"/>
  <c r="S42" i="39"/>
  <c r="W9" i="39"/>
  <c r="W8" i="39"/>
  <c r="J19" i="40"/>
  <c r="AC19" i="40" s="1"/>
  <c r="J50" i="40"/>
  <c r="H103" i="9"/>
  <c r="D8" i="53"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AZ347" i="3" s="1"/>
  <c r="G350" i="3"/>
  <c r="BA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A16" i="3"/>
  <c r="BL303" i="3"/>
  <c r="G304" i="3"/>
  <c r="BA306" i="3"/>
  <c r="BL307" i="3"/>
  <c r="G308" i="3"/>
  <c r="BA310" i="3"/>
  <c r="BL311" i="3"/>
  <c r="AZ311" i="3" s="1"/>
  <c r="G312" i="3"/>
  <c r="BA314" i="3"/>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AZ379" i="3" s="1"/>
  <c r="BL380" i="3"/>
  <c r="AZ380" i="3" s="1"/>
  <c r="G381" i="3"/>
  <c r="BA383" i="3"/>
  <c r="BL384" i="3"/>
  <c r="G385" i="3"/>
  <c r="BA387" i="3"/>
  <c r="AZ387" i="3" s="1"/>
  <c r="BL388" i="3"/>
  <c r="G389" i="3"/>
  <c r="BA391" i="3"/>
  <c r="AZ391" i="3" s="1"/>
  <c r="BL392" i="3"/>
  <c r="G393" i="3"/>
  <c r="BO5" i="3"/>
  <c r="BM5" i="3"/>
  <c r="BJ5" i="3"/>
  <c r="BH5" i="3"/>
  <c r="BF5" i="3"/>
  <c r="BD5" i="3"/>
  <c r="AZ341" i="3"/>
  <c r="AZ506" i="3"/>
  <c r="G548" i="3"/>
  <c r="G538" i="3"/>
  <c r="G520" i="3"/>
  <c r="G502" i="3"/>
  <c r="BS5" i="3"/>
  <c r="BP5" i="3"/>
  <c r="BN5" i="3"/>
  <c r="BK5" i="3"/>
  <c r="BI5" i="3"/>
  <c r="BG5" i="3"/>
  <c r="BE5" i="3"/>
  <c r="G17" i="3"/>
  <c r="BA17" i="3"/>
  <c r="BT5" i="3"/>
  <c r="BA15" i="3"/>
  <c r="BR5" i="3"/>
  <c r="AZ499" i="3"/>
  <c r="G509" i="3"/>
  <c r="U36" i="40"/>
  <c r="F83" i="43"/>
  <c r="H85" i="43" s="1"/>
  <c r="F50" i="43"/>
  <c r="H54" i="43" s="1"/>
  <c r="F72" i="43"/>
  <c r="H75" i="43" s="1"/>
  <c r="G10" i="1"/>
  <c r="W37" i="37"/>
  <c r="W44" i="34"/>
  <c r="AC44" i="34"/>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H27" i="40"/>
  <c r="U27" i="40" s="1"/>
  <c r="J27" i="40"/>
  <c r="AC27" i="40" s="1"/>
  <c r="F27" i="40"/>
  <c r="S27" i="40" s="1"/>
  <c r="J30" i="40"/>
  <c r="AC30" i="40" s="1"/>
  <c r="F30" i="40"/>
  <c r="S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AC26" i="33"/>
  <c r="W26" i="33"/>
  <c r="W27" i="34"/>
  <c r="AC27" i="34"/>
  <c r="AB33" i="36"/>
  <c r="U33" i="36"/>
  <c r="AC12" i="39"/>
  <c r="AC39" i="40"/>
  <c r="W39" i="40"/>
  <c r="BL14" i="3"/>
  <c r="U30" i="33"/>
  <c r="AC13" i="34"/>
  <c r="AA47" i="34"/>
  <c r="W28" i="37"/>
  <c r="F12" i="33"/>
  <c r="H12" i="39"/>
  <c r="AB12" i="39" s="1"/>
  <c r="F39" i="40"/>
  <c r="BA14" i="3"/>
  <c r="B12" i="1"/>
  <c r="E12" i="1" s="1"/>
  <c r="B10" i="1"/>
  <c r="E10" i="1" s="1"/>
  <c r="K12" i="1"/>
  <c r="M12" i="1" s="1"/>
  <c r="S13" i="1"/>
  <c r="AR13" i="1" s="1"/>
  <c r="R13" i="1"/>
  <c r="J51" i="67"/>
  <c r="C42" i="1"/>
  <c r="C24" i="12" s="1"/>
  <c r="AA34" i="33"/>
  <c r="AB37" i="40"/>
  <c r="S35" i="40"/>
  <c r="U35" i="40"/>
  <c r="AC36" i="40"/>
  <c r="AA32" i="40"/>
  <c r="S17" i="40"/>
  <c r="S23" i="40"/>
  <c r="AC17" i="40"/>
  <c r="AC15" i="40"/>
  <c r="AB27" i="40"/>
  <c r="S28" i="40"/>
  <c r="AA27" i="40"/>
  <c r="AB19" i="40"/>
  <c r="S37" i="39"/>
  <c r="F32" i="39"/>
  <c r="AA32" i="39" s="1"/>
  <c r="J21" i="39"/>
  <c r="W21" i="39" s="1"/>
  <c r="F21" i="39"/>
  <c r="AA21" i="39" s="1"/>
  <c r="H21" i="39"/>
  <c r="AB21" i="39" s="1"/>
  <c r="S15" i="39"/>
  <c r="AA12" i="39"/>
  <c r="S9" i="39"/>
  <c r="U14" i="39"/>
  <c r="U13" i="36"/>
  <c r="S33" i="36"/>
  <c r="U22" i="36"/>
  <c r="AA25" i="36"/>
  <c r="S24" i="36"/>
  <c r="U23" i="36"/>
  <c r="AA25" i="35"/>
  <c r="S23" i="35"/>
  <c r="W24" i="35"/>
  <c r="AB13" i="35"/>
  <c r="U29" i="35"/>
  <c r="U36" i="35"/>
  <c r="U32" i="35"/>
  <c r="AA33" i="35"/>
  <c r="AA36" i="35"/>
  <c r="S28" i="35"/>
  <c r="U22" i="35"/>
  <c r="S22" i="35"/>
  <c r="AA11" i="35"/>
  <c r="W13" i="35"/>
  <c r="F9" i="35"/>
  <c r="S9" i="35" s="1"/>
  <c r="H9" i="35"/>
  <c r="U9" i="35" s="1"/>
  <c r="AB40" i="37"/>
  <c r="W27" i="37"/>
  <c r="AC29" i="37"/>
  <c r="U29" i="37"/>
  <c r="S32" i="37"/>
  <c r="AB31" i="37"/>
  <c r="W30" i="37"/>
  <c r="S36" i="37"/>
  <c r="AA38" i="37"/>
  <c r="W38" i="37"/>
  <c r="AC35" i="37"/>
  <c r="S30" i="37"/>
  <c r="AC15" i="37"/>
  <c r="J17" i="37"/>
  <c r="G73" i="37"/>
  <c r="F17" i="37"/>
  <c r="AA17" i="37" s="1"/>
  <c r="AB17" i="37"/>
  <c r="F19" i="37"/>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H27" i="33"/>
  <c r="U27" i="33" s="1"/>
  <c r="F87" i="33"/>
  <c r="G87" i="33" s="1"/>
  <c r="H87" i="33" s="1"/>
  <c r="I87" i="33" s="1"/>
  <c r="J87" i="33" s="1"/>
  <c r="K87" i="33" s="1"/>
  <c r="L87" i="33" s="1"/>
  <c r="M87" i="33" s="1"/>
  <c r="H25" i="33"/>
  <c r="AB25" i="33" s="1"/>
  <c r="F25" i="33"/>
  <c r="AA25" i="33" s="1"/>
  <c r="J23" i="33"/>
  <c r="AC23" i="33" s="1"/>
  <c r="F85" i="33"/>
  <c r="G85" i="33" s="1"/>
  <c r="H23" i="33"/>
  <c r="U23" i="33" s="1"/>
  <c r="F81" i="33"/>
  <c r="G81" i="33" s="1"/>
  <c r="F19" i="33"/>
  <c r="S19" i="33" s="1"/>
  <c r="W19" i="33"/>
  <c r="J17" i="33"/>
  <c r="W17" i="33" s="1"/>
  <c r="F79" i="33"/>
  <c r="G79" i="33" s="1"/>
  <c r="S15" i="33"/>
  <c r="W15" i="33"/>
  <c r="U9" i="33"/>
  <c r="J10" i="33"/>
  <c r="W10" i="33" s="1"/>
  <c r="H10" i="33"/>
  <c r="U10" i="33" s="1"/>
  <c r="AC11" i="33"/>
  <c r="AB14" i="33"/>
  <c r="W36" i="21"/>
  <c r="W41" i="21"/>
  <c r="S39" i="21"/>
  <c r="J15" i="21"/>
  <c r="W15" i="21" s="1"/>
  <c r="F77" i="21"/>
  <c r="G77" i="21" s="1"/>
  <c r="D120" i="9"/>
  <c r="D121" i="9" s="1"/>
  <c r="D7" i="52" s="1"/>
  <c r="C18" i="9"/>
  <c r="D18" i="9" s="1"/>
  <c r="F34" i="67"/>
  <c r="F62" i="67" s="1"/>
  <c r="M20" i="67"/>
  <c r="F34" i="15"/>
  <c r="F62" i="15" s="1"/>
  <c r="G13" i="3"/>
  <c r="BA13" i="3"/>
  <c r="BL17" i="3"/>
  <c r="BL13" i="3"/>
  <c r="J56" i="9"/>
  <c r="J57" i="9" s="1"/>
  <c r="J59" i="9" s="1"/>
  <c r="J61" i="9" s="1"/>
  <c r="A24" i="51"/>
  <c r="B18" i="72"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AA14" i="39"/>
  <c r="U43" i="39"/>
  <c r="AB43" i="39"/>
  <c r="AA45" i="39"/>
  <c r="W34" i="39"/>
  <c r="S8" i="39"/>
  <c r="AC25" i="36"/>
  <c r="W29" i="36"/>
  <c r="U25" i="36"/>
  <c r="AA13" i="36"/>
  <c r="W22" i="36"/>
  <c r="AC25" i="35"/>
  <c r="U25" i="35"/>
  <c r="S24" i="35"/>
  <c r="U24" i="35"/>
  <c r="S35" i="35"/>
  <c r="W35" i="35"/>
  <c r="AA35" i="37"/>
  <c r="W36"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U28" i="21"/>
  <c r="F33" i="21"/>
  <c r="AA33" i="21" s="1"/>
  <c r="J33" i="21"/>
  <c r="AC33" i="21" s="1"/>
  <c r="H33" i="21"/>
  <c r="AB33" i="21" s="1"/>
  <c r="F37" i="21"/>
  <c r="AA37" i="21" s="1"/>
  <c r="AA26" i="21"/>
  <c r="AB14" i="21"/>
  <c r="AB46" i="21"/>
  <c r="U40" i="21"/>
  <c r="AB13" i="21"/>
  <c r="J37" i="21"/>
  <c r="W37" i="21" s="1"/>
  <c r="H15" i="21"/>
  <c r="U15" i="21" s="1"/>
  <c r="AC14" i="21"/>
  <c r="W30" i="21"/>
  <c r="S46" i="21"/>
  <c r="H45" i="21"/>
  <c r="U45" i="21" s="1"/>
  <c r="F29" i="21"/>
  <c r="AA29" i="21" s="1"/>
  <c r="F13" i="21"/>
  <c r="H32" i="21"/>
  <c r="AB32" i="21" s="1"/>
  <c r="H9" i="21"/>
  <c r="AB9" i="21" s="1"/>
  <c r="J9" i="21"/>
  <c r="W9" i="21" s="1"/>
  <c r="J32" i="21"/>
  <c r="W32" i="21" s="1"/>
  <c r="F32" i="21"/>
  <c r="AA32" i="21" s="1"/>
  <c r="AA31" i="21"/>
  <c r="K141" i="21"/>
  <c r="K144" i="21"/>
  <c r="K143" i="21"/>
  <c r="U27" i="21"/>
  <c r="AB25" i="21"/>
  <c r="AA30" i="21"/>
  <c r="W13" i="21"/>
  <c r="AC45" i="21"/>
  <c r="F10" i="21"/>
  <c r="AA10" i="21" s="1"/>
  <c r="K145" i="21"/>
  <c r="S27" i="21"/>
  <c r="AB29" i="21"/>
  <c r="S28"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S17" i="37"/>
  <c r="J19" i="37"/>
  <c r="W19" i="37" s="1"/>
  <c r="J23" i="37"/>
  <c r="W23" i="37" s="1"/>
  <c r="G79" i="37"/>
  <c r="J10" i="37"/>
  <c r="W10" i="37" s="1"/>
  <c r="H11" i="37"/>
  <c r="AB11" i="37" s="1"/>
  <c r="G70" i="34"/>
  <c r="H70" i="34" s="1"/>
  <c r="I70" i="34" s="1"/>
  <c r="J70" i="34" s="1"/>
  <c r="K70" i="34" s="1"/>
  <c r="L70" i="34" s="1"/>
  <c r="M70" i="34" s="1"/>
  <c r="H11" i="34"/>
  <c r="U11" i="34" s="1"/>
  <c r="J10" i="34"/>
  <c r="AC10" i="34" s="1"/>
  <c r="AB41" i="33"/>
  <c r="U41" i="33"/>
  <c r="J36" i="33"/>
  <c r="W36" i="33" s="1"/>
  <c r="H36" i="33"/>
  <c r="U36" i="33" s="1"/>
  <c r="S36" i="33"/>
  <c r="AC32" i="33"/>
  <c r="AB27" i="33"/>
  <c r="J27" i="33"/>
  <c r="W27" i="33" s="1"/>
  <c r="U25" i="33"/>
  <c r="S25" i="33"/>
  <c r="J25" i="33"/>
  <c r="AC25" i="33" s="1"/>
  <c r="AB23" i="33"/>
  <c r="F23" i="33"/>
  <c r="H19" i="33"/>
  <c r="AB19" i="33" s="1"/>
  <c r="H17" i="33"/>
  <c r="U17" i="33" s="1"/>
  <c r="F17" i="33"/>
  <c r="S17" i="33" s="1"/>
  <c r="S37" i="21"/>
  <c r="D6" i="52"/>
  <c r="AP7" i="1"/>
  <c r="U32" i="21"/>
  <c r="U32" i="39"/>
  <c r="J11" i="37"/>
  <c r="AC11" i="37" s="1"/>
  <c r="J11" i="34"/>
  <c r="W11" i="34" s="1"/>
  <c r="W25" i="33"/>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Y20" i="71"/>
  <c r="Z20" i="71" s="1"/>
  <c r="X3" i="71"/>
  <c r="C21" i="71"/>
  <c r="D21" i="71" s="1"/>
  <c r="F3" i="73"/>
  <c r="F4" i="73"/>
  <c r="E11" i="76"/>
  <c r="B13" i="76"/>
  <c r="B7" i="76"/>
  <c r="B12" i="76"/>
  <c r="E2" i="69"/>
  <c r="E2" i="68"/>
  <c r="B10" i="76"/>
  <c r="AO13" i="1"/>
  <c r="E8" i="76"/>
  <c r="E9" i="76"/>
  <c r="F7" i="73"/>
  <c r="E13" i="76"/>
  <c r="B9" i="76"/>
  <c r="F20" i="31"/>
  <c r="B11" i="76"/>
  <c r="D6" i="73"/>
  <c r="F6" i="73"/>
  <c r="E12" i="76"/>
  <c r="E10" i="76"/>
  <c r="B8" i="76"/>
  <c r="E7" i="76"/>
  <c r="F5" i="73"/>
  <c r="AC11" i="39" l="1"/>
  <c r="AZ345" i="3"/>
  <c r="AZ334" i="3"/>
  <c r="AA28" i="34"/>
  <c r="S28" i="34"/>
  <c r="H27" i="39"/>
  <c r="U27" i="39" s="1"/>
  <c r="F100" i="39"/>
  <c r="G100" i="39" s="1"/>
  <c r="J39" i="37"/>
  <c r="F39" i="37"/>
  <c r="S39" i="37" s="1"/>
  <c r="AZ318" i="3"/>
  <c r="AZ381" i="3"/>
  <c r="AZ344" i="3"/>
  <c r="AZ511" i="3"/>
  <c r="AZ527" i="3"/>
  <c r="AB26" i="33"/>
  <c r="U26" i="33"/>
  <c r="J43" i="39"/>
  <c r="F43" i="39"/>
  <c r="AA43" i="39" s="1"/>
  <c r="AC31" i="40"/>
  <c r="W31" i="40"/>
  <c r="H87" i="35"/>
  <c r="I87" i="35" s="1"/>
  <c r="J87" i="35" s="1"/>
  <c r="K87" i="35" s="1"/>
  <c r="L87" i="35" s="1"/>
  <c r="M87" i="35" s="1"/>
  <c r="J29" i="35"/>
  <c r="F29" i="35"/>
  <c r="F36" i="39"/>
  <c r="J36" i="39"/>
  <c r="AC36" i="39" s="1"/>
  <c r="BL574" i="3"/>
  <c r="AZ574" i="3" s="1"/>
  <c r="BL572" i="3"/>
  <c r="AZ538" i="3"/>
  <c r="AZ563" i="3"/>
  <c r="J12" i="34"/>
  <c r="H12" i="34"/>
  <c r="J12" i="36"/>
  <c r="H12" i="36"/>
  <c r="H34" i="36"/>
  <c r="F34" i="36"/>
  <c r="H27" i="37"/>
  <c r="F27" i="37"/>
  <c r="H44" i="39"/>
  <c r="J44" i="39"/>
  <c r="AB45" i="21"/>
  <c r="AC17" i="33"/>
  <c r="AA19" i="33"/>
  <c r="AZ17" i="3"/>
  <c r="W43" i="33"/>
  <c r="AC39" i="34"/>
  <c r="S37" i="37"/>
  <c r="U21" i="40"/>
  <c r="S15" i="37"/>
  <c r="AC5" i="3"/>
  <c r="AZ310" i="3"/>
  <c r="AZ376" i="3"/>
  <c r="AC13" i="40"/>
  <c r="AZ573" i="3"/>
  <c r="AZ557" i="3"/>
  <c r="AZ510" i="3"/>
  <c r="AC11" i="35"/>
  <c r="F32" i="36"/>
  <c r="J32" i="36"/>
  <c r="W32" i="36" s="1"/>
  <c r="BA583" i="3"/>
  <c r="BA580" i="3"/>
  <c r="BA575" i="3"/>
  <c r="AZ575" i="3" s="1"/>
  <c r="BA572" i="3"/>
  <c r="AZ572" i="3" s="1"/>
  <c r="AZ497" i="3"/>
  <c r="AZ505" i="3"/>
  <c r="AZ515" i="3"/>
  <c r="BL543" i="3"/>
  <c r="AZ543" i="3" s="1"/>
  <c r="BL553" i="3"/>
  <c r="AZ553" i="3" s="1"/>
  <c r="BL565" i="3"/>
  <c r="AZ565" i="3" s="1"/>
  <c r="BL571" i="3"/>
  <c r="BL579" i="3"/>
  <c r="AZ579" i="3" s="1"/>
  <c r="AZ503" i="3"/>
  <c r="AZ496" i="3"/>
  <c r="F12" i="35"/>
  <c r="J12" i="35"/>
  <c r="G585" i="3"/>
  <c r="G14" i="3"/>
  <c r="BB5" i="3"/>
  <c r="E5" i="6" s="1"/>
  <c r="G401" i="3"/>
  <c r="G416" i="3"/>
  <c r="BL423" i="3"/>
  <c r="BL443" i="3"/>
  <c r="G459" i="3"/>
  <c r="G464" i="3"/>
  <c r="G485" i="3"/>
  <c r="BA487" i="3"/>
  <c r="AZ487" i="3" s="1"/>
  <c r="BA488" i="3"/>
  <c r="AZ488" i="3" s="1"/>
  <c r="G329" i="3"/>
  <c r="G349" i="3"/>
  <c r="BL381" i="3"/>
  <c r="G387" i="3"/>
  <c r="G209" i="3"/>
  <c r="BA220" i="3"/>
  <c r="G223" i="3"/>
  <c r="BA223" i="3"/>
  <c r="G226" i="3"/>
  <c r="BA255" i="3"/>
  <c r="G261" i="3"/>
  <c r="G271" i="3"/>
  <c r="G279" i="3"/>
  <c r="G292" i="3"/>
  <c r="BA293" i="3"/>
  <c r="G295" i="3"/>
  <c r="BA301" i="3"/>
  <c r="G158" i="3"/>
  <c r="G164" i="3"/>
  <c r="G195" i="3"/>
  <c r="BA207" i="3"/>
  <c r="G24" i="3"/>
  <c r="G32" i="3"/>
  <c r="BL35" i="3"/>
  <c r="G36" i="3"/>
  <c r="G37" i="3"/>
  <c r="G40" i="3"/>
  <c r="G48" i="3"/>
  <c r="G56" i="3"/>
  <c r="BL56" i="3"/>
  <c r="BA58" i="3"/>
  <c r="BL59" i="3"/>
  <c r="BL60" i="3"/>
  <c r="BA61" i="3"/>
  <c r="G68" i="3"/>
  <c r="G80" i="3"/>
  <c r="G81" i="3"/>
  <c r="G84" i="3"/>
  <c r="G112" i="3"/>
  <c r="W25" i="40"/>
  <c r="P27" i="6"/>
  <c r="D76" i="71"/>
  <c r="AB32" i="71"/>
  <c r="AA35" i="71"/>
  <c r="C63" i="71"/>
  <c r="B67" i="71"/>
  <c r="B71" i="71"/>
  <c r="B70" i="71" s="1"/>
  <c r="F23" i="71"/>
  <c r="F22" i="71" s="1"/>
  <c r="F21" i="71" s="1"/>
  <c r="F20" i="71" s="1"/>
  <c r="F19" i="71" s="1"/>
  <c r="F18" i="71" s="1"/>
  <c r="F17" i="71" s="1"/>
  <c r="BA419" i="3"/>
  <c r="BA431" i="3"/>
  <c r="BA442" i="3"/>
  <c r="BL447" i="3"/>
  <c r="BL465" i="3"/>
  <c r="BA473" i="3"/>
  <c r="BA476" i="3"/>
  <c r="BA480" i="3"/>
  <c r="BA354" i="3"/>
  <c r="BA214" i="3"/>
  <c r="BA218" i="3"/>
  <c r="BL218" i="3"/>
  <c r="BA231" i="3"/>
  <c r="BA235" i="3"/>
  <c r="BL237" i="3"/>
  <c r="BL238" i="3"/>
  <c r="BA245" i="3"/>
  <c r="BA249" i="3"/>
  <c r="BL249" i="3"/>
  <c r="BA253" i="3"/>
  <c r="BL259" i="3"/>
  <c r="BL269" i="3"/>
  <c r="G270" i="3"/>
  <c r="BL289" i="3"/>
  <c r="G290" i="3"/>
  <c r="G294" i="3"/>
  <c r="G128" i="3"/>
  <c r="G136" i="3"/>
  <c r="BA137" i="3"/>
  <c r="G144" i="3"/>
  <c r="BL169" i="3"/>
  <c r="BL170" i="3"/>
  <c r="G171" i="3"/>
  <c r="G179" i="3"/>
  <c r="BL186" i="3"/>
  <c r="G187" i="3"/>
  <c r="G31" i="3"/>
  <c r="BL66" i="3"/>
  <c r="G71" i="3"/>
  <c r="G95" i="3"/>
  <c r="BL100" i="3"/>
  <c r="Q68" i="71"/>
  <c r="N68" i="71"/>
  <c r="AB34" i="71"/>
  <c r="V68" i="71"/>
  <c r="B23" i="71"/>
  <c r="B22" i="71" s="1"/>
  <c r="B21" i="71" s="1"/>
  <c r="B20" i="71" s="1"/>
  <c r="BA402" i="3"/>
  <c r="AZ402" i="3" s="1"/>
  <c r="G404" i="3"/>
  <c r="G410" i="3"/>
  <c r="BA410" i="3"/>
  <c r="G413" i="3"/>
  <c r="G421" i="3"/>
  <c r="G425" i="3"/>
  <c r="BL433" i="3"/>
  <c r="G438" i="3"/>
  <c r="BA439" i="3"/>
  <c r="BA440" i="3"/>
  <c r="AZ440" i="3" s="1"/>
  <c r="BA448" i="3"/>
  <c r="G452" i="3"/>
  <c r="BA462" i="3"/>
  <c r="G465" i="3"/>
  <c r="G466" i="3"/>
  <c r="BA466" i="3"/>
  <c r="G470" i="3"/>
  <c r="G486" i="3"/>
  <c r="G323" i="3"/>
  <c r="BL340" i="3"/>
  <c r="AZ340" i="3" s="1"/>
  <c r="G343" i="3"/>
  <c r="G347" i="3"/>
  <c r="BA350" i="3"/>
  <c r="AZ350" i="3" s="1"/>
  <c r="G380" i="3"/>
  <c r="BA392" i="3"/>
  <c r="AZ392" i="3" s="1"/>
  <c r="G212" i="3"/>
  <c r="G224" i="3"/>
  <c r="BA227" i="3"/>
  <c r="AZ227" i="3" s="1"/>
  <c r="BL262" i="3"/>
  <c r="BL263" i="3"/>
  <c r="G264" i="3"/>
  <c r="BL266" i="3"/>
  <c r="G273" i="3"/>
  <c r="G281" i="3"/>
  <c r="G289" i="3"/>
  <c r="G297" i="3"/>
  <c r="G115" i="3"/>
  <c r="BA125" i="3"/>
  <c r="G127" i="3"/>
  <c r="BL146" i="3"/>
  <c r="G147" i="3"/>
  <c r="BL154" i="3"/>
  <c r="G155" i="3"/>
  <c r="BL162" i="3"/>
  <c r="G18" i="3"/>
  <c r="BA19" i="3"/>
  <c r="G22" i="3"/>
  <c r="G26" i="3"/>
  <c r="BA27" i="3"/>
  <c r="G30" i="3"/>
  <c r="G42" i="3"/>
  <c r="BA47" i="3"/>
  <c r="BA55" i="3"/>
  <c r="G62" i="3"/>
  <c r="BA72" i="3"/>
  <c r="G78" i="3"/>
  <c r="BA87" i="3"/>
  <c r="BL91" i="3"/>
  <c r="BL99" i="3"/>
  <c r="BL103" i="3"/>
  <c r="G104" i="3"/>
  <c r="P67" i="71"/>
  <c r="D80" i="71"/>
  <c r="D68" i="71"/>
  <c r="X26" i="71"/>
  <c r="Y29" i="71"/>
  <c r="Z29" i="71" s="1"/>
  <c r="C43" i="71"/>
  <c r="D3" i="35"/>
  <c r="E7" i="12"/>
  <c r="AB34" i="35"/>
  <c r="U34" i="35"/>
  <c r="AB31" i="21"/>
  <c r="U31" i="21"/>
  <c r="W12" i="40"/>
  <c r="AC12" i="40"/>
  <c r="AB26" i="37"/>
  <c r="U26" i="37"/>
  <c r="S43" i="33"/>
  <c r="AB41" i="34"/>
  <c r="U12" i="39"/>
  <c r="AA30" i="40"/>
  <c r="AA12" i="40"/>
  <c r="AZ389" i="3"/>
  <c r="AZ329" i="3"/>
  <c r="W40" i="37"/>
  <c r="AA13" i="33"/>
  <c r="AC28" i="34"/>
  <c r="AZ521" i="3"/>
  <c r="AZ525" i="3"/>
  <c r="AZ577" i="3"/>
  <c r="AZ504" i="3"/>
  <c r="AZ520" i="3"/>
  <c r="AZ528" i="3"/>
  <c r="AZ544" i="3"/>
  <c r="AZ554" i="3"/>
  <c r="W31" i="34"/>
  <c r="U46" i="33"/>
  <c r="F27" i="39"/>
  <c r="S27" i="39" s="1"/>
  <c r="W33" i="33"/>
  <c r="F35" i="21"/>
  <c r="AA35" i="21" s="1"/>
  <c r="H43" i="21"/>
  <c r="AB43" i="21" s="1"/>
  <c r="BL586" i="3"/>
  <c r="AZ586" i="3" s="1"/>
  <c r="BA585" i="3"/>
  <c r="H39" i="40"/>
  <c r="G570" i="3"/>
  <c r="J9" i="36"/>
  <c r="H5" i="3"/>
  <c r="BC5" i="3"/>
  <c r="U19" i="33"/>
  <c r="AB36" i="33"/>
  <c r="AC23" i="37"/>
  <c r="AC35" i="33"/>
  <c r="AA23" i="37"/>
  <c r="AA35" i="33"/>
  <c r="AA19" i="40"/>
  <c r="AC34" i="33"/>
  <c r="AZ373" i="3"/>
  <c r="AZ364" i="3"/>
  <c r="AZ342" i="3"/>
  <c r="AZ535" i="3"/>
  <c r="AZ516" i="3"/>
  <c r="AZ524" i="3"/>
  <c r="AZ558" i="3"/>
  <c r="AZ566" i="3"/>
  <c r="AZ582" i="3"/>
  <c r="AZ540" i="3"/>
  <c r="AZ502" i="3"/>
  <c r="AZ522" i="3"/>
  <c r="AZ560" i="3"/>
  <c r="U35" i="33"/>
  <c r="U34" i="34"/>
  <c r="J35" i="21"/>
  <c r="W35" i="21" s="1"/>
  <c r="J9" i="33"/>
  <c r="F12" i="34"/>
  <c r="S12" i="34" s="1"/>
  <c r="H12" i="35"/>
  <c r="H23" i="35"/>
  <c r="G574" i="3"/>
  <c r="G566" i="3"/>
  <c r="G558" i="3"/>
  <c r="G552" i="3"/>
  <c r="G551" i="3"/>
  <c r="G542" i="3"/>
  <c r="A15" i="62"/>
  <c r="B61" i="72" s="1"/>
  <c r="BL399" i="3"/>
  <c r="BA406" i="3"/>
  <c r="AZ406" i="3" s="1"/>
  <c r="BA413" i="3"/>
  <c r="BL413" i="3"/>
  <c r="G415" i="3"/>
  <c r="BL419" i="3"/>
  <c r="AZ419" i="3" s="1"/>
  <c r="G424" i="3"/>
  <c r="BL430" i="3"/>
  <c r="G434" i="3"/>
  <c r="BA443" i="3"/>
  <c r="AZ443" i="3" s="1"/>
  <c r="G446" i="3"/>
  <c r="BA449" i="3"/>
  <c r="G453" i="3"/>
  <c r="BL453" i="3"/>
  <c r="BL454" i="3"/>
  <c r="BL458" i="3"/>
  <c r="AZ458" i="3" s="1"/>
  <c r="BL459" i="3"/>
  <c r="G461" i="3"/>
  <c r="G462" i="3"/>
  <c r="G467" i="3"/>
  <c r="BA467" i="3"/>
  <c r="BA468" i="3"/>
  <c r="AZ468" i="3" s="1"/>
  <c r="G471" i="3"/>
  <c r="BL471" i="3"/>
  <c r="G477" i="3"/>
  <c r="BA477" i="3"/>
  <c r="G480" i="3"/>
  <c r="G481" i="3"/>
  <c r="BA481" i="3"/>
  <c r="G484" i="3"/>
  <c r="BA489" i="3"/>
  <c r="BL316" i="3"/>
  <c r="G358" i="3"/>
  <c r="G362" i="3"/>
  <c r="G366" i="3"/>
  <c r="G374" i="3"/>
  <c r="BL383" i="3"/>
  <c r="AZ383" i="3" s="1"/>
  <c r="BL208" i="3"/>
  <c r="G213" i="3"/>
  <c r="BA228" i="3"/>
  <c r="G231" i="3"/>
  <c r="G232" i="3"/>
  <c r="BL232" i="3"/>
  <c r="G235" i="3"/>
  <c r="G236" i="3"/>
  <c r="BA236" i="3"/>
  <c r="AZ236" i="3" s="1"/>
  <c r="G241" i="3"/>
  <c r="BA250" i="3"/>
  <c r="BL254" i="3"/>
  <c r="G258" i="3"/>
  <c r="BL267" i="3"/>
  <c r="BA269" i="3"/>
  <c r="AZ269" i="3" s="1"/>
  <c r="BA270" i="3"/>
  <c r="BL270" i="3"/>
  <c r="G274" i="3"/>
  <c r="BL278" i="3"/>
  <c r="G280" i="3"/>
  <c r="BA348" i="3"/>
  <c r="BA400" i="3"/>
  <c r="BL400" i="3"/>
  <c r="G405" i="3"/>
  <c r="G408" i="3"/>
  <c r="BL408" i="3"/>
  <c r="BL412" i="3"/>
  <c r="G417" i="3"/>
  <c r="BL417" i="3"/>
  <c r="BL418" i="3"/>
  <c r="BA420" i="3"/>
  <c r="BL420" i="3"/>
  <c r="G422" i="3"/>
  <c r="G423" i="3"/>
  <c r="BL427" i="3"/>
  <c r="G432" i="3"/>
  <c r="BL432" i="3"/>
  <c r="BA437" i="3"/>
  <c r="G442" i="3"/>
  <c r="G445" i="3"/>
  <c r="BA445" i="3"/>
  <c r="AZ445" i="3" s="1"/>
  <c r="BA447" i="3"/>
  <c r="G450" i="3"/>
  <c r="BL451" i="3"/>
  <c r="G456" i="3"/>
  <c r="BA463" i="3"/>
  <c r="BA465" i="3"/>
  <c r="AZ465" i="3" s="1"/>
  <c r="G468" i="3"/>
  <c r="BL469" i="3"/>
  <c r="G474" i="3"/>
  <c r="BL475" i="3"/>
  <c r="BL479" i="3"/>
  <c r="G482" i="3"/>
  <c r="BA485" i="3"/>
  <c r="G488" i="3"/>
  <c r="BL490" i="3"/>
  <c r="BA491" i="3"/>
  <c r="BA331" i="3"/>
  <c r="AZ331" i="3" s="1"/>
  <c r="BA335" i="3"/>
  <c r="AZ335" i="3" s="1"/>
  <c r="BA339" i="3"/>
  <c r="AZ339" i="3" s="1"/>
  <c r="BL367" i="3"/>
  <c r="BL375" i="3"/>
  <c r="AZ375" i="3" s="1"/>
  <c r="BL386" i="3"/>
  <c r="G392" i="3"/>
  <c r="G396" i="3"/>
  <c r="BA397" i="3"/>
  <c r="BL397" i="3"/>
  <c r="BL216" i="3"/>
  <c r="BA217" i="3"/>
  <c r="AZ217" i="3" s="1"/>
  <c r="G221" i="3"/>
  <c r="BL224" i="3"/>
  <c r="G227" i="3"/>
  <c r="BL230" i="3"/>
  <c r="G233" i="3"/>
  <c r="G234" i="3"/>
  <c r="BL234" i="3"/>
  <c r="G237" i="3"/>
  <c r="G243" i="3"/>
  <c r="BA244" i="3"/>
  <c r="BL244" i="3"/>
  <c r="BA248" i="3"/>
  <c r="BL252" i="3"/>
  <c r="BA257" i="3"/>
  <c r="BA259" i="3"/>
  <c r="AZ259" i="3" s="1"/>
  <c r="BA260" i="3"/>
  <c r="BL260" i="3"/>
  <c r="G262" i="3"/>
  <c r="G268" i="3"/>
  <c r="BA275" i="3"/>
  <c r="AZ275" i="3" s="1"/>
  <c r="BL275" i="3"/>
  <c r="G277" i="3"/>
  <c r="G400" i="3"/>
  <c r="BA407" i="3"/>
  <c r="G411" i="3"/>
  <c r="BL411" i="3"/>
  <c r="BL416" i="3"/>
  <c r="G420" i="3"/>
  <c r="BA424" i="3"/>
  <c r="BL424" i="3"/>
  <c r="G426" i="3"/>
  <c r="G435" i="3"/>
  <c r="BL435" i="3"/>
  <c r="BL436" i="3"/>
  <c r="G439" i="3"/>
  <c r="BA444" i="3"/>
  <c r="BA451" i="3"/>
  <c r="BL455" i="3"/>
  <c r="BL462" i="3"/>
  <c r="BA469" i="3"/>
  <c r="BL472" i="3"/>
  <c r="BA478" i="3"/>
  <c r="BL484" i="3"/>
  <c r="BA319" i="3"/>
  <c r="AZ319" i="3" s="1"/>
  <c r="BL324" i="3"/>
  <c r="AZ324" i="3" s="1"/>
  <c r="BL328" i="3"/>
  <c r="AZ328" i="3" s="1"/>
  <c r="BL359" i="3"/>
  <c r="AZ359" i="3" s="1"/>
  <c r="BA366" i="3"/>
  <c r="AZ366" i="3" s="1"/>
  <c r="BA385" i="3"/>
  <c r="BL385" i="3"/>
  <c r="BL395" i="3"/>
  <c r="BA210" i="3"/>
  <c r="BL210" i="3"/>
  <c r="BL219" i="3"/>
  <c r="BA229" i="3"/>
  <c r="BL229" i="3"/>
  <c r="BA233" i="3"/>
  <c r="BA251" i="3"/>
  <c r="BL251" i="3"/>
  <c r="BA256" i="3"/>
  <c r="BL256" i="3"/>
  <c r="BA272" i="3"/>
  <c r="AZ272" i="3" s="1"/>
  <c r="BA282" i="3"/>
  <c r="BL282" i="3"/>
  <c r="BA286" i="3"/>
  <c r="C44" i="71"/>
  <c r="D43" i="71"/>
  <c r="BL298" i="3"/>
  <c r="BL299" i="3"/>
  <c r="BA302" i="3"/>
  <c r="BL122" i="3"/>
  <c r="BA148" i="3"/>
  <c r="AZ148" i="3" s="1"/>
  <c r="BA160" i="3"/>
  <c r="AZ160" i="3" s="1"/>
  <c r="BL166" i="3"/>
  <c r="BA174" i="3"/>
  <c r="BA182" i="3"/>
  <c r="BL194" i="3"/>
  <c r="BA198" i="3"/>
  <c r="BA22" i="3"/>
  <c r="BL23" i="3"/>
  <c r="BA30" i="3"/>
  <c r="BA65" i="3"/>
  <c r="BL65" i="3"/>
  <c r="BA75" i="3"/>
  <c r="BL110" i="3"/>
  <c r="AA3" i="71"/>
  <c r="D72" i="71"/>
  <c r="AB25" i="71"/>
  <c r="Y27" i="71"/>
  <c r="Z27" i="71" s="1"/>
  <c r="Y35" i="71"/>
  <c r="Z35" i="71" s="1"/>
  <c r="B59" i="71"/>
  <c r="B60" i="71" s="1"/>
  <c r="S60" i="71" s="1"/>
  <c r="BA283" i="3"/>
  <c r="G286" i="3"/>
  <c r="G287" i="3"/>
  <c r="BL287" i="3"/>
  <c r="BL290" i="3"/>
  <c r="BA120" i="3"/>
  <c r="AZ120" i="3" s="1"/>
  <c r="BL127" i="3"/>
  <c r="AZ127" i="3" s="1"/>
  <c r="BA130" i="3"/>
  <c r="BL130" i="3"/>
  <c r="BA134" i="3"/>
  <c r="BL138" i="3"/>
  <c r="BA140" i="3"/>
  <c r="AZ140" i="3" s="1"/>
  <c r="BA142" i="3"/>
  <c r="BL149" i="3"/>
  <c r="BL150" i="3"/>
  <c r="G151" i="3"/>
  <c r="BA152" i="3"/>
  <c r="AZ152" i="3" s="1"/>
  <c r="BA154" i="3"/>
  <c r="AZ154" i="3" s="1"/>
  <c r="G156" i="3"/>
  <c r="BA157" i="3"/>
  <c r="G160" i="3"/>
  <c r="BA162" i="3"/>
  <c r="AZ162" i="3" s="1"/>
  <c r="BL165" i="3"/>
  <c r="G166" i="3"/>
  <c r="G172" i="3"/>
  <c r="BA173" i="3"/>
  <c r="BL179" i="3"/>
  <c r="AZ179" i="3" s="1"/>
  <c r="G180" i="3"/>
  <c r="BA181" i="3"/>
  <c r="G190" i="3"/>
  <c r="BL193" i="3"/>
  <c r="G194" i="3"/>
  <c r="G196" i="3"/>
  <c r="G204" i="3"/>
  <c r="G205" i="3"/>
  <c r="BL30" i="3"/>
  <c r="BL31" i="3"/>
  <c r="G38" i="3"/>
  <c r="BL40" i="3"/>
  <c r="BL41" i="3"/>
  <c r="BA48" i="3"/>
  <c r="AZ48" i="3" s="1"/>
  <c r="BA49" i="3"/>
  <c r="G51" i="3"/>
  <c r="G52" i="3"/>
  <c r="BA62" i="3"/>
  <c r="BL64" i="3"/>
  <c r="G65" i="3"/>
  <c r="BA67" i="3"/>
  <c r="AZ67" i="3" s="1"/>
  <c r="G73" i="3"/>
  <c r="BL73" i="3"/>
  <c r="BA74" i="3"/>
  <c r="G85" i="3"/>
  <c r="BL85" i="3"/>
  <c r="BA86" i="3"/>
  <c r="G89" i="3"/>
  <c r="BA90" i="3"/>
  <c r="BL101" i="3"/>
  <c r="BL102" i="3"/>
  <c r="BA109" i="3"/>
  <c r="C40" i="68"/>
  <c r="C21" i="68"/>
  <c r="AB27" i="71"/>
  <c r="E71" i="71"/>
  <c r="E70" i="71" s="1"/>
  <c r="Y25" i="71"/>
  <c r="Z25" i="71" s="1"/>
  <c r="E38" i="71"/>
  <c r="E39" i="71" s="1"/>
  <c r="E40" i="71" s="1"/>
  <c r="U40" i="71" s="1"/>
  <c r="Y37" i="71"/>
  <c r="Z37" i="71" s="1"/>
  <c r="F79" i="71"/>
  <c r="F78" i="71" s="1"/>
  <c r="BL76" i="3"/>
  <c r="BA77" i="3"/>
  <c r="BA95" i="3"/>
  <c r="K13" i="1"/>
  <c r="M13" i="1" s="1"/>
  <c r="O13" i="1" s="1"/>
  <c r="P13" i="1" s="1"/>
  <c r="C31" i="71"/>
  <c r="D31" i="71" s="1"/>
  <c r="G284" i="3"/>
  <c r="BL285" i="3"/>
  <c r="BA291" i="3"/>
  <c r="G116" i="3"/>
  <c r="BA117" i="3"/>
  <c r="G126" i="3"/>
  <c r="BA132" i="3"/>
  <c r="AZ132" i="3" s="1"/>
  <c r="G135" i="3"/>
  <c r="BA149" i="3"/>
  <c r="AZ149" i="3" s="1"/>
  <c r="BL158" i="3"/>
  <c r="BL161" i="3"/>
  <c r="G162" i="3"/>
  <c r="BL173" i="3"/>
  <c r="BL181" i="3"/>
  <c r="BL185" i="3"/>
  <c r="G186" i="3"/>
  <c r="BA194" i="3"/>
  <c r="AZ194" i="3" s="1"/>
  <c r="G199" i="3"/>
  <c r="BL205" i="3"/>
  <c r="G206" i="3"/>
  <c r="BL206" i="3"/>
  <c r="G21" i="3"/>
  <c r="BL24" i="3"/>
  <c r="G25" i="3"/>
  <c r="G29" i="3"/>
  <c r="BA33" i="3"/>
  <c r="BL34" i="3"/>
  <c r="G35" i="3"/>
  <c r="G39" i="3"/>
  <c r="BA40" i="3"/>
  <c r="BL44" i="3"/>
  <c r="G45" i="3"/>
  <c r="BL45" i="3"/>
  <c r="G50" i="3"/>
  <c r="BA50" i="3"/>
  <c r="BA51" i="3"/>
  <c r="G54" i="3"/>
  <c r="G55" i="3"/>
  <c r="BL67" i="3"/>
  <c r="G69" i="3"/>
  <c r="BA78" i="3"/>
  <c r="G79" i="3"/>
  <c r="G88" i="3"/>
  <c r="BA88" i="3"/>
  <c r="G92" i="3"/>
  <c r="BA92" i="3"/>
  <c r="G96" i="3"/>
  <c r="G106" i="3"/>
  <c r="BL106" i="3"/>
  <c r="BA108" i="3"/>
  <c r="G110" i="3"/>
  <c r="G111" i="3"/>
  <c r="BA111" i="3"/>
  <c r="F8" i="1"/>
  <c r="G8" i="1" s="1"/>
  <c r="C40" i="69"/>
  <c r="AC21" i="37"/>
  <c r="U25" i="40"/>
  <c r="AA28" i="71"/>
  <c r="E75" i="71"/>
  <c r="E74" i="71" s="1"/>
  <c r="C38" i="71"/>
  <c r="D38" i="71" s="1"/>
  <c r="Y26" i="71"/>
  <c r="Z26" i="71" s="1"/>
  <c r="X33" i="71"/>
  <c r="X36" i="71"/>
  <c r="C59" i="71"/>
  <c r="B63" i="71"/>
  <c r="B64" i="71" s="1"/>
  <c r="S64" i="71" s="1"/>
  <c r="X25" i="71"/>
  <c r="AB31" i="35"/>
  <c r="S31" i="35"/>
  <c r="AC31" i="35"/>
  <c r="W30" i="36"/>
  <c r="AB30" i="36"/>
  <c r="W16" i="35"/>
  <c r="F16" i="35"/>
  <c r="S16" i="35" s="1"/>
  <c r="H16" i="35"/>
  <c r="F64" i="35"/>
  <c r="G64" i="35" s="1"/>
  <c r="J14" i="35"/>
  <c r="W14" i="35" s="1"/>
  <c r="F14" i="35"/>
  <c r="AA14" i="35" s="1"/>
  <c r="H14" i="35"/>
  <c r="AB14" i="35" s="1"/>
  <c r="AC18" i="35"/>
  <c r="AC9" i="35"/>
  <c r="AC20" i="35"/>
  <c r="AB20" i="35"/>
  <c r="S20" i="35"/>
  <c r="AA18" i="35"/>
  <c r="AA16" i="35"/>
  <c r="AC30" i="35"/>
  <c r="U28" i="35"/>
  <c r="AC27" i="35"/>
  <c r="W22" i="35"/>
  <c r="S27" i="35"/>
  <c r="S32" i="35"/>
  <c r="AB27" i="35"/>
  <c r="W28" i="35"/>
  <c r="AB20" i="36"/>
  <c r="H16" i="36"/>
  <c r="AB16" i="36" s="1"/>
  <c r="F16" i="36"/>
  <c r="J16" i="36"/>
  <c r="W16" i="36" s="1"/>
  <c r="J14" i="36"/>
  <c r="AC14" i="36" s="1"/>
  <c r="AB14" i="36"/>
  <c r="S14" i="36"/>
  <c r="F11" i="21"/>
  <c r="S11" i="21" s="1"/>
  <c r="J11" i="21"/>
  <c r="W11" i="21" s="1"/>
  <c r="H11" i="21"/>
  <c r="U11" i="21" s="1"/>
  <c r="AC20" i="36"/>
  <c r="S20" i="36"/>
  <c r="AC26" i="36"/>
  <c r="AB28" i="36"/>
  <c r="U31" i="36"/>
  <c r="U26" i="36"/>
  <c r="U32" i="36"/>
  <c r="AA26" i="36"/>
  <c r="AA22" i="36"/>
  <c r="S18" i="36"/>
  <c r="W18" i="36"/>
  <c r="U16" i="36"/>
  <c r="F43" i="21"/>
  <c r="J43" i="21"/>
  <c r="AC43" i="21" s="1"/>
  <c r="AA36" i="21"/>
  <c r="F85" i="21"/>
  <c r="G85" i="21" s="1"/>
  <c r="H23" i="21"/>
  <c r="AB23" i="21" s="1"/>
  <c r="F23" i="21"/>
  <c r="S23" i="21" s="1"/>
  <c r="J23" i="21"/>
  <c r="W23" i="21" s="1"/>
  <c r="H19" i="21"/>
  <c r="F19" i="21"/>
  <c r="AA19" i="21" s="1"/>
  <c r="J19" i="21"/>
  <c r="W19" i="21" s="1"/>
  <c r="F81" i="21"/>
  <c r="G81" i="21" s="1"/>
  <c r="J17" i="21"/>
  <c r="W17" i="21" s="1"/>
  <c r="H17" i="21"/>
  <c r="AB17" i="21" s="1"/>
  <c r="F17" i="21"/>
  <c r="AA17" i="21" s="1"/>
  <c r="AA15" i="21"/>
  <c r="AC9" i="21"/>
  <c r="S40" i="21"/>
  <c r="AC40" i="21"/>
  <c r="AB42" i="21"/>
  <c r="AC42" i="21"/>
  <c r="AB36" i="21"/>
  <c r="S32" i="21"/>
  <c r="W26" i="21"/>
  <c r="W27" i="21"/>
  <c r="AC29" i="21"/>
  <c r="W31" i="21"/>
  <c r="W39" i="21"/>
  <c r="AC34" i="21"/>
  <c r="W25" i="21"/>
  <c r="AC38" i="21"/>
  <c r="W43" i="21"/>
  <c r="AC28" i="21"/>
  <c r="AC21" i="21"/>
  <c r="AB44" i="21"/>
  <c r="U35" i="21"/>
  <c r="U38" i="21"/>
  <c r="U34" i="21"/>
  <c r="AB39" i="21"/>
  <c r="AC15" i="21"/>
  <c r="AB15" i="21"/>
  <c r="AA9" i="21"/>
  <c r="S45" i="21"/>
  <c r="AA25" i="21"/>
  <c r="AA41" i="21"/>
  <c r="AA14" i="21"/>
  <c r="AA38" i="21"/>
  <c r="S42" i="21"/>
  <c r="AC17" i="39"/>
  <c r="S17" i="39"/>
  <c r="U31" i="39"/>
  <c r="AC25" i="39"/>
  <c r="S32" i="39"/>
  <c r="J31" i="39"/>
  <c r="W31" i="39" s="1"/>
  <c r="S21" i="39"/>
  <c r="U42" i="39"/>
  <c r="W40" i="39"/>
  <c r="U9" i="39"/>
  <c r="AA41" i="39"/>
  <c r="AB11" i="39"/>
  <c r="AB13" i="39"/>
  <c r="AC32" i="39"/>
  <c r="AC13" i="39"/>
  <c r="U38" i="39"/>
  <c r="U19" i="39"/>
  <c r="U17" i="39"/>
  <c r="AB34" i="39"/>
  <c r="AB36" i="39"/>
  <c r="U25" i="39"/>
  <c r="U37" i="39"/>
  <c r="AB39" i="39"/>
  <c r="AC38" i="39"/>
  <c r="U35" i="39"/>
  <c r="S31" i="39"/>
  <c r="W29" i="39"/>
  <c r="AB27" i="39"/>
  <c r="W27" i="39"/>
  <c r="S23" i="39"/>
  <c r="W23" i="39"/>
  <c r="W19" i="39"/>
  <c r="S19" i="39"/>
  <c r="U21" i="39"/>
  <c r="C29" i="39"/>
  <c r="AC41" i="39"/>
  <c r="U41" i="39"/>
  <c r="U40" i="39"/>
  <c r="S40" i="39"/>
  <c r="AA39" i="39"/>
  <c r="S38" i="39"/>
  <c r="S13" i="39"/>
  <c r="AA11" i="39"/>
  <c r="B57" i="43"/>
  <c r="B77" i="43"/>
  <c r="B79" i="43"/>
  <c r="B68" i="43"/>
  <c r="B41" i="1"/>
  <c r="F53" i="9" s="1"/>
  <c r="K6" i="1"/>
  <c r="AP6" i="1" s="1"/>
  <c r="G1" i="67"/>
  <c r="K7" i="1"/>
  <c r="M7" i="1" s="1"/>
  <c r="O7" i="1" s="1"/>
  <c r="P7" i="1" s="1"/>
  <c r="K1" i="12"/>
  <c r="G1" i="15"/>
  <c r="B6" i="1"/>
  <c r="E6" i="1" s="1"/>
  <c r="G1" i="69"/>
  <c r="G1" i="68"/>
  <c r="B16" i="53"/>
  <c r="B33" i="72" s="1"/>
  <c r="AA13" i="21"/>
  <c r="S13" i="21"/>
  <c r="S19" i="37"/>
  <c r="AA19" i="37"/>
  <c r="AA17" i="33"/>
  <c r="W17" i="37"/>
  <c r="AC17" i="37"/>
  <c r="AC27" i="33"/>
  <c r="U9" i="21"/>
  <c r="W30" i="40"/>
  <c r="AB34" i="33"/>
  <c r="AB35" i="37"/>
  <c r="S43" i="34"/>
  <c r="U32" i="37"/>
  <c r="AZ14" i="3"/>
  <c r="F29" i="6"/>
  <c r="AZ357" i="3"/>
  <c r="AZ355" i="3"/>
  <c r="AZ313" i="3"/>
  <c r="AZ394" i="3"/>
  <c r="U33" i="40"/>
  <c r="AB33" i="40"/>
  <c r="U30" i="21"/>
  <c r="AB30" i="21"/>
  <c r="U17" i="34"/>
  <c r="AB17" i="34"/>
  <c r="AZ327" i="3"/>
  <c r="U46" i="34"/>
  <c r="AB46" i="34"/>
  <c r="W31" i="33"/>
  <c r="AC31" i="33"/>
  <c r="W36" i="34"/>
  <c r="AC36" i="34"/>
  <c r="S29" i="35"/>
  <c r="AA29" i="35"/>
  <c r="AZ337" i="3"/>
  <c r="AZ513" i="3"/>
  <c r="S14" i="37"/>
  <c r="AA14" i="37"/>
  <c r="U45" i="33"/>
  <c r="AB45" i="33"/>
  <c r="AA44" i="34"/>
  <c r="S44" i="34"/>
  <c r="AA41" i="33"/>
  <c r="S41" i="33"/>
  <c r="AZ372" i="3"/>
  <c r="AZ304" i="3"/>
  <c r="AZ306" i="3"/>
  <c r="U23" i="34"/>
  <c r="AB23" i="34"/>
  <c r="AZ531" i="3"/>
  <c r="AZ583" i="3"/>
  <c r="AZ568" i="3"/>
  <c r="AZ576" i="3"/>
  <c r="AA14" i="34"/>
  <c r="F26" i="33"/>
  <c r="W9" i="34"/>
  <c r="G587" i="3"/>
  <c r="B97" i="43"/>
  <c r="B75" i="43"/>
  <c r="F23" i="36"/>
  <c r="J24" i="36"/>
  <c r="H24" i="36"/>
  <c r="H25" i="37"/>
  <c r="J25" i="37"/>
  <c r="AZ523" i="3"/>
  <c r="AZ547" i="3"/>
  <c r="AZ571" i="3"/>
  <c r="W28" i="36"/>
  <c r="BL585" i="3"/>
  <c r="AZ585" i="3" s="1"/>
  <c r="J36" i="35"/>
  <c r="AC36" i="35" s="1"/>
  <c r="J12" i="33"/>
  <c r="J23" i="36"/>
  <c r="F25" i="37"/>
  <c r="H38" i="40"/>
  <c r="F38" i="40"/>
  <c r="J38" i="40"/>
  <c r="AZ362" i="3"/>
  <c r="AZ338" i="3"/>
  <c r="AZ390" i="3"/>
  <c r="AZ371" i="3"/>
  <c r="AZ351" i="3"/>
  <c r="AZ336" i="3"/>
  <c r="AZ305" i="3"/>
  <c r="AZ360" i="3"/>
  <c r="AZ539" i="3"/>
  <c r="AZ529" i="3"/>
  <c r="AZ537" i="3"/>
  <c r="AZ518" i="3"/>
  <c r="AZ526" i="3"/>
  <c r="AZ546" i="3"/>
  <c r="AZ564" i="3"/>
  <c r="AZ580" i="3"/>
  <c r="S11" i="36"/>
  <c r="W40" i="33"/>
  <c r="S35" i="34"/>
  <c r="F9" i="33"/>
  <c r="AA9" i="33" s="1"/>
  <c r="BL550" i="3"/>
  <c r="BL587" i="3"/>
  <c r="AZ587" i="3" s="1"/>
  <c r="F44" i="39"/>
  <c r="AZ476" i="3"/>
  <c r="BL398" i="3"/>
  <c r="G402" i="3"/>
  <c r="BL403" i="3"/>
  <c r="G406" i="3"/>
  <c r="BA408" i="3"/>
  <c r="AZ408" i="3" s="1"/>
  <c r="BA409" i="3"/>
  <c r="AZ409" i="3" s="1"/>
  <c r="BA411" i="3"/>
  <c r="AZ411" i="3" s="1"/>
  <c r="BL414" i="3"/>
  <c r="BL415" i="3"/>
  <c r="BA417" i="3"/>
  <c r="BL421" i="3"/>
  <c r="BL422" i="3"/>
  <c r="BL425" i="3"/>
  <c r="BL426" i="3"/>
  <c r="BA428" i="3"/>
  <c r="AZ428" i="3" s="1"/>
  <c r="BA429" i="3"/>
  <c r="AZ429" i="3" s="1"/>
  <c r="BA430" i="3"/>
  <c r="AZ430" i="3" s="1"/>
  <c r="BA432" i="3"/>
  <c r="BA434" i="3"/>
  <c r="BA436" i="3"/>
  <c r="BA438" i="3"/>
  <c r="AZ438" i="3" s="1"/>
  <c r="G443" i="3"/>
  <c r="BA446" i="3"/>
  <c r="BA450" i="3"/>
  <c r="BA453" i="3"/>
  <c r="BA455" i="3"/>
  <c r="AZ455" i="3" s="1"/>
  <c r="BL457" i="3"/>
  <c r="BL460" i="3"/>
  <c r="BL461" i="3"/>
  <c r="BL463" i="3"/>
  <c r="BA471" i="3"/>
  <c r="BL317" i="3"/>
  <c r="BA349" i="3"/>
  <c r="AZ349" i="3" s="1"/>
  <c r="BA353" i="3"/>
  <c r="BL353" i="3"/>
  <c r="BA358" i="3"/>
  <c r="AZ358" i="3" s="1"/>
  <c r="BL365" i="3"/>
  <c r="AZ365" i="3" s="1"/>
  <c r="BA368" i="3"/>
  <c r="BL368" i="3"/>
  <c r="BA374" i="3"/>
  <c r="AZ374" i="3" s="1"/>
  <c r="BA388" i="3"/>
  <c r="AZ388" i="3" s="1"/>
  <c r="BA396" i="3"/>
  <c r="BA209" i="3"/>
  <c r="BA221" i="3"/>
  <c r="AZ221" i="3" s="1"/>
  <c r="BA230" i="3"/>
  <c r="BA241" i="3"/>
  <c r="BL241" i="3"/>
  <c r="BA243" i="3"/>
  <c r="BA252" i="3"/>
  <c r="AZ252" i="3" s="1"/>
  <c r="BA254" i="3"/>
  <c r="AZ254" i="3" s="1"/>
  <c r="BL264" i="3"/>
  <c r="BA267" i="3"/>
  <c r="AZ267" i="3" s="1"/>
  <c r="BL300" i="3"/>
  <c r="BL15" i="3"/>
  <c r="AZ15" i="3" s="1"/>
  <c r="BA398" i="3"/>
  <c r="BA399" i="3"/>
  <c r="AZ399" i="3" s="1"/>
  <c r="BL401" i="3"/>
  <c r="BL404" i="3"/>
  <c r="BL405" i="3"/>
  <c r="BL407" i="3"/>
  <c r="AZ407" i="3" s="1"/>
  <c r="BA412" i="3"/>
  <c r="AZ412" i="3" s="1"/>
  <c r="BA414" i="3"/>
  <c r="BA415" i="3"/>
  <c r="BA416" i="3"/>
  <c r="AZ416" i="3" s="1"/>
  <c r="BA418" i="3"/>
  <c r="AZ418" i="3" s="1"/>
  <c r="BA421" i="3"/>
  <c r="BA423" i="3"/>
  <c r="AZ423" i="3" s="1"/>
  <c r="BA425" i="3"/>
  <c r="BA426" i="3"/>
  <c r="AZ426" i="3" s="1"/>
  <c r="BA427" i="3"/>
  <c r="AZ427" i="3" s="1"/>
  <c r="BA433" i="3"/>
  <c r="AZ433" i="3" s="1"/>
  <c r="BA435" i="3"/>
  <c r="AZ435" i="3" s="1"/>
  <c r="BL437" i="3"/>
  <c r="AZ437" i="3" s="1"/>
  <c r="G440" i="3"/>
  <c r="BL441" i="3"/>
  <c r="BL442" i="3"/>
  <c r="AZ442" i="3" s="1"/>
  <c r="BL444" i="3"/>
  <c r="G447" i="3"/>
  <c r="BL448" i="3"/>
  <c r="AZ448" i="3" s="1"/>
  <c r="G451" i="3"/>
  <c r="BA454" i="3"/>
  <c r="AZ454" i="3" s="1"/>
  <c r="BA457" i="3"/>
  <c r="BA459" i="3"/>
  <c r="AZ459" i="3" s="1"/>
  <c r="BA460" i="3"/>
  <c r="BA461" i="3"/>
  <c r="BL464" i="3"/>
  <c r="BL466" i="3"/>
  <c r="AZ466" i="3" s="1"/>
  <c r="G469" i="3"/>
  <c r="BL476" i="3"/>
  <c r="BL477" i="3"/>
  <c r="BL478" i="3"/>
  <c r="BL480" i="3"/>
  <c r="AZ480" i="3" s="1"/>
  <c r="BA483" i="3"/>
  <c r="BL483" i="3"/>
  <c r="BA486" i="3"/>
  <c r="BL489" i="3"/>
  <c r="AZ489" i="3" s="1"/>
  <c r="BL491" i="3"/>
  <c r="BL492" i="3"/>
  <c r="BA315" i="3"/>
  <c r="AZ315" i="3" s="1"/>
  <c r="BA333" i="3"/>
  <c r="BL346" i="3"/>
  <c r="AZ346" i="3" s="1"/>
  <c r="BA384" i="3"/>
  <c r="AZ384" i="3" s="1"/>
  <c r="BA395" i="3"/>
  <c r="BA208" i="3"/>
  <c r="AZ208" i="3" s="1"/>
  <c r="BL211" i="3"/>
  <c r="BA216" i="3"/>
  <c r="AZ216" i="3" s="1"/>
  <c r="BA219" i="3"/>
  <c r="AZ219" i="3" s="1"/>
  <c r="BL222" i="3"/>
  <c r="BL223" i="3"/>
  <c r="BL225" i="3"/>
  <c r="BL226" i="3"/>
  <c r="BL228" i="3"/>
  <c r="AZ228" i="3" s="1"/>
  <c r="BL231" i="3"/>
  <c r="BL233" i="3"/>
  <c r="AZ233" i="3" s="1"/>
  <c r="BL235" i="3"/>
  <c r="AZ235" i="3" s="1"/>
  <c r="BL236" i="3"/>
  <c r="BA239" i="3"/>
  <c r="BL239" i="3"/>
  <c r="BA247" i="3"/>
  <c r="BL247" i="3"/>
  <c r="BL250" i="3"/>
  <c r="AZ250" i="3" s="1"/>
  <c r="BA263" i="3"/>
  <c r="AZ263" i="3" s="1"/>
  <c r="BL273" i="3"/>
  <c r="BA277" i="3"/>
  <c r="BL277" i="3"/>
  <c r="BA279" i="3"/>
  <c r="BL293" i="3"/>
  <c r="BL294" i="3"/>
  <c r="BA297" i="3"/>
  <c r="BL297" i="3"/>
  <c r="BA177" i="3"/>
  <c r="BA201" i="3"/>
  <c r="BA551" i="3"/>
  <c r="AZ551" i="3" s="1"/>
  <c r="BA550" i="3"/>
  <c r="BL548" i="3"/>
  <c r="AZ548" i="3" s="1"/>
  <c r="BL16" i="3"/>
  <c r="AZ16" i="3" s="1"/>
  <c r="BA401" i="3"/>
  <c r="AZ401" i="3" s="1"/>
  <c r="BA403" i="3"/>
  <c r="BA404" i="3"/>
  <c r="BA405" i="3"/>
  <c r="G409" i="3"/>
  <c r="BL410" i="3"/>
  <c r="G412" i="3"/>
  <c r="G418" i="3"/>
  <c r="G419" i="3"/>
  <c r="BA422" i="3"/>
  <c r="G429" i="3"/>
  <c r="G430" i="3"/>
  <c r="BL431" i="3"/>
  <c r="AZ431" i="3" s="1"/>
  <c r="G433" i="3"/>
  <c r="BL434" i="3"/>
  <c r="G436" i="3"/>
  <c r="G437" i="3"/>
  <c r="BL438" i="3"/>
  <c r="BL439" i="3"/>
  <c r="BA441" i="3"/>
  <c r="BL445" i="3"/>
  <c r="BL446" i="3"/>
  <c r="BL449" i="3"/>
  <c r="AZ449" i="3" s="1"/>
  <c r="BL450" i="3"/>
  <c r="AZ450" i="3" s="1"/>
  <c r="BL452" i="3"/>
  <c r="AZ452" i="3" s="1"/>
  <c r="G454" i="3"/>
  <c r="G455" i="3"/>
  <c r="BL456" i="3"/>
  <c r="AZ456" i="3" s="1"/>
  <c r="BA464" i="3"/>
  <c r="AZ464" i="3" s="1"/>
  <c r="BL467" i="3"/>
  <c r="BL468" i="3"/>
  <c r="BL470" i="3"/>
  <c r="AZ470" i="3" s="1"/>
  <c r="G472" i="3"/>
  <c r="G473" i="3"/>
  <c r="BL473" i="3"/>
  <c r="AZ473" i="3" s="1"/>
  <c r="BL474" i="3"/>
  <c r="G475" i="3"/>
  <c r="BA482" i="3"/>
  <c r="BA484" i="3"/>
  <c r="G491" i="3"/>
  <c r="BA303" i="3"/>
  <c r="AZ303" i="3" s="1"/>
  <c r="BA307" i="3"/>
  <c r="AZ307" i="3" s="1"/>
  <c r="G311" i="3"/>
  <c r="BL314" i="3"/>
  <c r="AZ314" i="3" s="1"/>
  <c r="G315" i="3"/>
  <c r="BA332" i="3"/>
  <c r="BL332" i="3"/>
  <c r="G339" i="3"/>
  <c r="G364" i="3"/>
  <c r="BA367" i="3"/>
  <c r="BA370" i="3"/>
  <c r="AZ370" i="3" s="1"/>
  <c r="BA386" i="3"/>
  <c r="AZ386" i="3" s="1"/>
  <c r="G397" i="3"/>
  <c r="G210" i="3"/>
  <c r="BL212" i="3"/>
  <c r="G214" i="3"/>
  <c r="BL214" i="3"/>
  <c r="AZ214" i="3" s="1"/>
  <c r="G216" i="3"/>
  <c r="BL217" i="3"/>
  <c r="G220" i="3"/>
  <c r="BL220" i="3"/>
  <c r="AZ220" i="3" s="1"/>
  <c r="BL221" i="3"/>
  <c r="G222" i="3"/>
  <c r="BA238" i="3"/>
  <c r="AZ238" i="3" s="1"/>
  <c r="BL242" i="3"/>
  <c r="BL243" i="3"/>
  <c r="G244" i="3"/>
  <c r="BA246" i="3"/>
  <c r="BL248" i="3"/>
  <c r="G256" i="3"/>
  <c r="BA258" i="3"/>
  <c r="BL261" i="3"/>
  <c r="G266" i="3"/>
  <c r="BA268" i="3"/>
  <c r="BA271" i="3"/>
  <c r="BL271" i="3"/>
  <c r="BA274" i="3"/>
  <c r="BL274" i="3"/>
  <c r="BA276" i="3"/>
  <c r="BL280" i="3"/>
  <c r="G282" i="3"/>
  <c r="BA284" i="3"/>
  <c r="BA288" i="3"/>
  <c r="BA290" i="3"/>
  <c r="AZ290" i="3" s="1"/>
  <c r="BL291" i="3"/>
  <c r="AZ291" i="3" s="1"/>
  <c r="G302" i="3"/>
  <c r="BA133" i="3"/>
  <c r="BL135" i="3"/>
  <c r="AZ135" i="3" s="1"/>
  <c r="BA145" i="3"/>
  <c r="BA156" i="3"/>
  <c r="AZ156" i="3" s="1"/>
  <c r="BA168" i="3"/>
  <c r="AZ168" i="3" s="1"/>
  <c r="BL175" i="3"/>
  <c r="AZ175" i="3" s="1"/>
  <c r="BL198" i="3"/>
  <c r="AZ198" i="3" s="1"/>
  <c r="BA43" i="3"/>
  <c r="AA21" i="33"/>
  <c r="S21" i="33"/>
  <c r="D44" i="71"/>
  <c r="T44" i="71"/>
  <c r="C55" i="71"/>
  <c r="D54" i="71"/>
  <c r="D67" i="71"/>
  <c r="C66" i="71"/>
  <c r="O67" i="71"/>
  <c r="BA281" i="3"/>
  <c r="BL286" i="3"/>
  <c r="AZ286" i="3" s="1"/>
  <c r="G291" i="3"/>
  <c r="BA296" i="3"/>
  <c r="BA116" i="3"/>
  <c r="AZ116" i="3" s="1"/>
  <c r="BA121" i="3"/>
  <c r="BL121" i="3"/>
  <c r="BA124" i="3"/>
  <c r="AZ124" i="3" s="1"/>
  <c r="BA126" i="3"/>
  <c r="BA129" i="3"/>
  <c r="BL133" i="3"/>
  <c r="BL139" i="3"/>
  <c r="AZ139" i="3" s="1"/>
  <c r="G140" i="3"/>
  <c r="BL141" i="3"/>
  <c r="BL143" i="3"/>
  <c r="AZ143" i="3" s="1"/>
  <c r="G154" i="3"/>
  <c r="BL157" i="3"/>
  <c r="AZ157" i="3" s="1"/>
  <c r="BL159" i="3"/>
  <c r="AZ159" i="3" s="1"/>
  <c r="BL177" i="3"/>
  <c r="BL183" i="3"/>
  <c r="AZ183" i="3" s="1"/>
  <c r="BA186" i="3"/>
  <c r="AZ186" i="3" s="1"/>
  <c r="BA190" i="3"/>
  <c r="BA197" i="3"/>
  <c r="BL201" i="3"/>
  <c r="BL203" i="3"/>
  <c r="AZ203" i="3" s="1"/>
  <c r="BA204" i="3"/>
  <c r="AZ204" i="3" s="1"/>
  <c r="BA18" i="3"/>
  <c r="BL21" i="3"/>
  <c r="G23" i="3"/>
  <c r="BL29" i="3"/>
  <c r="G33" i="3"/>
  <c r="G34" i="3"/>
  <c r="BA37" i="3"/>
  <c r="BL39" i="3"/>
  <c r="G43" i="3"/>
  <c r="G44" i="3"/>
  <c r="BA52" i="3"/>
  <c r="AZ52" i="3" s="1"/>
  <c r="BA53" i="3"/>
  <c r="BA54" i="3"/>
  <c r="BL57" i="3"/>
  <c r="BL62" i="3"/>
  <c r="AZ62" i="3" s="1"/>
  <c r="BL63" i="3"/>
  <c r="G67" i="3"/>
  <c r="BL68" i="3"/>
  <c r="BA69" i="3"/>
  <c r="BL86" i="3"/>
  <c r="AZ86" i="3" s="1"/>
  <c r="G87" i="3"/>
  <c r="BA91" i="3"/>
  <c r="AZ91" i="3" s="1"/>
  <c r="BL93" i="3"/>
  <c r="BL94" i="3"/>
  <c r="AZ94" i="3" s="1"/>
  <c r="C64" i="71"/>
  <c r="D63" i="71"/>
  <c r="BA211" i="3"/>
  <c r="AZ211" i="3" s="1"/>
  <c r="BL213" i="3"/>
  <c r="BL215" i="3"/>
  <c r="BA222" i="3"/>
  <c r="BA224" i="3"/>
  <c r="AZ224" i="3" s="1"/>
  <c r="BA226" i="3"/>
  <c r="BA237" i="3"/>
  <c r="AZ237" i="3" s="1"/>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BA280" i="3"/>
  <c r="G283" i="3"/>
  <c r="BL283" i="3"/>
  <c r="BL284" i="3"/>
  <c r="G285" i="3"/>
  <c r="G288" i="3"/>
  <c r="BL292" i="3"/>
  <c r="BA294" i="3"/>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BA25" i="3"/>
  <c r="BA26" i="3"/>
  <c r="G28" i="3"/>
  <c r="BL28" i="3"/>
  <c r="BA29" i="3"/>
  <c r="AZ29" i="3" s="1"/>
  <c r="BA36" i="3"/>
  <c r="BL38" i="3"/>
  <c r="BA39" i="3"/>
  <c r="AZ39" i="3" s="1"/>
  <c r="BL47" i="3"/>
  <c r="AZ47" i="3" s="1"/>
  <c r="G49" i="3"/>
  <c r="BL54" i="3"/>
  <c r="AZ54" i="3" s="1"/>
  <c r="BL55" i="3"/>
  <c r="AZ55" i="3" s="1"/>
  <c r="G57" i="3"/>
  <c r="G58" i="3"/>
  <c r="BA59" i="3"/>
  <c r="G61" i="3"/>
  <c r="BL61" i="3"/>
  <c r="AZ61" i="3" s="1"/>
  <c r="G64" i="3"/>
  <c r="BA64" i="3"/>
  <c r="AZ64" i="3" s="1"/>
  <c r="BA68" i="3"/>
  <c r="AZ68" i="3" s="1"/>
  <c r="BL74" i="3"/>
  <c r="AZ74" i="3" s="1"/>
  <c r="G75" i="3"/>
  <c r="BL75" i="3"/>
  <c r="BL82" i="3"/>
  <c r="BL83" i="3"/>
  <c r="G86" i="3"/>
  <c r="G93" i="3"/>
  <c r="BA98" i="3"/>
  <c r="BA100" i="3"/>
  <c r="AZ100" i="3" s="1"/>
  <c r="BA102" i="3"/>
  <c r="AZ102" i="3" s="1"/>
  <c r="BL105" i="3"/>
  <c r="AZ105" i="3" s="1"/>
  <c r="G107" i="3"/>
  <c r="BL107" i="3"/>
  <c r="BA110" i="3"/>
  <c r="AZ110" i="3" s="1"/>
  <c r="C32" i="71"/>
  <c r="D50" i="71"/>
  <c r="C51" i="71"/>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BL25" i="3"/>
  <c r="BL27" i="3"/>
  <c r="AZ27" i="3" s="1"/>
  <c r="BA28" i="3"/>
  <c r="BA31" i="3"/>
  <c r="BA32" i="3"/>
  <c r="BA38" i="3"/>
  <c r="BA41" i="3"/>
  <c r="BA42" i="3"/>
  <c r="G46" i="3"/>
  <c r="BL48" i="3"/>
  <c r="BL69" i="3"/>
  <c r="G70" i="3"/>
  <c r="BL70" i="3"/>
  <c r="AZ70" i="3" s="1"/>
  <c r="BL71" i="3"/>
  <c r="BL72" i="3"/>
  <c r="AZ72" i="3" s="1"/>
  <c r="G74" i="3"/>
  <c r="BL79" i="3"/>
  <c r="BL81" i="3"/>
  <c r="BA82" i="3"/>
  <c r="BA97" i="3"/>
  <c r="AZ97" i="3" s="1"/>
  <c r="C60" i="71"/>
  <c r="D59" i="71"/>
  <c r="F66" i="71"/>
  <c r="Q65" i="71" s="1"/>
  <c r="Q67" i="71"/>
  <c r="V24" i="71"/>
  <c r="E23" i="71"/>
  <c r="E22" i="71" s="1"/>
  <c r="E21" i="71" s="1"/>
  <c r="E20" i="71" s="1"/>
  <c r="E19" i="71" s="1"/>
  <c r="E18" i="71" s="1"/>
  <c r="E17" i="71" s="1"/>
  <c r="E16" i="71" s="1"/>
  <c r="F3" i="35"/>
  <c r="S21" i="37"/>
  <c r="S25" i="40"/>
  <c r="BA73" i="3"/>
  <c r="AZ73" i="3" s="1"/>
  <c r="BA80" i="3"/>
  <c r="BL84" i="3"/>
  <c r="BA89" i="3"/>
  <c r="G103" i="3"/>
  <c r="BA103" i="3"/>
  <c r="AZ103" i="3" s="1"/>
  <c r="BA104" i="3"/>
  <c r="BA106" i="3"/>
  <c r="AZ106" i="3" s="1"/>
  <c r="BL108" i="3"/>
  <c r="AZ108" i="3" s="1"/>
  <c r="BL111" i="3"/>
  <c r="U21" i="37"/>
  <c r="U29" i="39"/>
  <c r="P66" i="71"/>
  <c r="AA27" i="71"/>
  <c r="AB26" i="71"/>
  <c r="S28" i="71"/>
  <c r="C83" i="71"/>
  <c r="C79" i="71"/>
  <c r="C75" i="71"/>
  <c r="C71" i="71"/>
  <c r="O68" i="71"/>
  <c r="D46" i="71"/>
  <c r="Y28" i="71"/>
  <c r="Z28" i="71" s="1"/>
  <c r="C28" i="71"/>
  <c r="X35" i="71"/>
  <c r="C34" i="71"/>
  <c r="Y30" i="71"/>
  <c r="Z30" i="71" s="1"/>
  <c r="X28" i="71"/>
  <c r="X32" i="71"/>
  <c r="F38" i="71"/>
  <c r="F39" i="71" s="1"/>
  <c r="F40" i="71" s="1"/>
  <c r="V40" i="71" s="1"/>
  <c r="AB38" i="71"/>
  <c r="F75" i="71"/>
  <c r="F74" i="71" s="1"/>
  <c r="B79" i="71"/>
  <c r="B78" i="71" s="1"/>
  <c r="BA45" i="3"/>
  <c r="BA46" i="3"/>
  <c r="BL49" i="3"/>
  <c r="AZ49" i="3" s="1"/>
  <c r="BL50" i="3"/>
  <c r="AZ50" i="3" s="1"/>
  <c r="BL51" i="3"/>
  <c r="G53" i="3"/>
  <c r="BL53" i="3"/>
  <c r="BA56" i="3"/>
  <c r="AZ56" i="3" s="1"/>
  <c r="BA57" i="3"/>
  <c r="AZ57" i="3" s="1"/>
  <c r="BL58" i="3"/>
  <c r="AZ58" i="3" s="1"/>
  <c r="G60" i="3"/>
  <c r="BA60" i="3"/>
  <c r="BA63" i="3"/>
  <c r="BA66" i="3"/>
  <c r="AZ66" i="3" s="1"/>
  <c r="BA71" i="3"/>
  <c r="G76" i="3"/>
  <c r="BL77" i="3"/>
  <c r="BA79" i="3"/>
  <c r="G82" i="3"/>
  <c r="G83" i="3"/>
  <c r="BA84" i="3"/>
  <c r="AZ84" i="3" s="1"/>
  <c r="BL88" i="3"/>
  <c r="AZ88" i="3" s="1"/>
  <c r="G90" i="3"/>
  <c r="BL90" i="3"/>
  <c r="AZ90" i="3" s="1"/>
  <c r="BL92" i="3"/>
  <c r="G101" i="3"/>
  <c r="BA101" i="3"/>
  <c r="G108" i="3"/>
  <c r="G109" i="3"/>
  <c r="BL112" i="3"/>
  <c r="AB21" i="33"/>
  <c r="S21" i="34"/>
  <c r="B88" i="43"/>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F30" i="6" s="1"/>
  <c r="AB35" i="35"/>
  <c r="U35" i="35"/>
  <c r="S13" i="35"/>
  <c r="AA13" i="35"/>
  <c r="AB31" i="34"/>
  <c r="U31" i="34"/>
  <c r="S12" i="21"/>
  <c r="AA12" i="21"/>
  <c r="S12" i="35"/>
  <c r="AA12" i="35"/>
  <c r="AC45" i="39"/>
  <c r="S34" i="21"/>
  <c r="J34" i="35"/>
  <c r="F34" i="35"/>
  <c r="J26" i="37"/>
  <c r="F26" i="37"/>
  <c r="F40" i="40"/>
  <c r="G578" i="3"/>
  <c r="AZ410" i="3"/>
  <c r="AZ439" i="3"/>
  <c r="AZ467" i="3"/>
  <c r="W35" i="39"/>
  <c r="F27" i="34"/>
  <c r="C21" i="39"/>
  <c r="U9" i="36"/>
  <c r="U14" i="37"/>
  <c r="H12" i="21"/>
  <c r="G526" i="3"/>
  <c r="AZ420" i="3"/>
  <c r="AZ424" i="3"/>
  <c r="AZ434" i="3"/>
  <c r="AZ436" i="3"/>
  <c r="AZ446" i="3"/>
  <c r="G28" i="6"/>
  <c r="G30" i="6" s="1"/>
  <c r="G31" i="6" s="1"/>
  <c r="U26" i="21"/>
  <c r="W36" i="39"/>
  <c r="U23" i="40"/>
  <c r="AA39" i="37"/>
  <c r="AB12" i="33"/>
  <c r="C27" i="39"/>
  <c r="U40" i="40"/>
  <c r="AC9" i="40"/>
  <c r="W36" i="35"/>
  <c r="J12" i="21"/>
  <c r="B73" i="43"/>
  <c r="B76" i="43"/>
  <c r="F9" i="36"/>
  <c r="J40" i="40"/>
  <c r="G562" i="3"/>
  <c r="AZ463" i="3"/>
  <c r="AZ385" i="3"/>
  <c r="AZ212"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BA352" i="3"/>
  <c r="AZ352" i="3" s="1"/>
  <c r="BL354" i="3"/>
  <c r="AZ354" i="3" s="1"/>
  <c r="G378" i="3"/>
  <c r="G395" i="3"/>
  <c r="G208" i="3"/>
  <c r="G211" i="3"/>
  <c r="BA213" i="3"/>
  <c r="BA215" i="3"/>
  <c r="AZ215" i="3" s="1"/>
  <c r="G219" i="3"/>
  <c r="AZ225" i="3"/>
  <c r="G230" i="3"/>
  <c r="BA232" i="3"/>
  <c r="AZ232" i="3" s="1"/>
  <c r="BA234" i="3"/>
  <c r="AZ234" i="3" s="1"/>
  <c r="G248" i="3"/>
  <c r="AZ25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BL253" i="3"/>
  <c r="BA261" i="3"/>
  <c r="BA264" i="3"/>
  <c r="AZ264" i="3" s="1"/>
  <c r="BA266" i="3"/>
  <c r="AZ266" i="3" s="1"/>
  <c r="G272" i="3"/>
  <c r="G275" i="3"/>
  <c r="BL276" i="3"/>
  <c r="AZ276" i="3" s="1"/>
  <c r="BL279" i="3"/>
  <c r="AZ279" i="3" s="1"/>
  <c r="BL281" i="3"/>
  <c r="BA285" i="3"/>
  <c r="AZ285" i="3" s="1"/>
  <c r="BA287" i="3"/>
  <c r="AZ287" i="3" s="1"/>
  <c r="AZ134" i="3"/>
  <c r="AZ207" i="3"/>
  <c r="BA289" i="3"/>
  <c r="AZ289" i="3" s="1"/>
  <c r="G293" i="3"/>
  <c r="G296" i="3"/>
  <c r="BL296" i="3"/>
  <c r="AZ296" i="3" s="1"/>
  <c r="G301" i="3"/>
  <c r="G114" i="3"/>
  <c r="BL114" i="3"/>
  <c r="BL117" i="3"/>
  <c r="G118" i="3"/>
  <c r="BL119" i="3"/>
  <c r="AZ119" i="3" s="1"/>
  <c r="G120" i="3"/>
  <c r="G124" i="3"/>
  <c r="BL129" i="3"/>
  <c r="BL131" i="3"/>
  <c r="AZ131" i="3" s="1"/>
  <c r="G132" i="3"/>
  <c r="G139" i="3"/>
  <c r="G142" i="3"/>
  <c r="BL142" i="3"/>
  <c r="BL153" i="3"/>
  <c r="BA158" i="3"/>
  <c r="AZ158" i="3" s="1"/>
  <c r="BA161" i="3"/>
  <c r="AZ161" i="3" s="1"/>
  <c r="BA172" i="3"/>
  <c r="AZ172" i="3" s="1"/>
  <c r="BL288" i="3"/>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AZ165" i="3" s="1"/>
  <c r="G168" i="3"/>
  <c r="BA170" i="3"/>
  <c r="BL174" i="3"/>
  <c r="AZ174" i="3" s="1"/>
  <c r="AZ185" i="3"/>
  <c r="AZ193" i="3"/>
  <c r="BL202" i="3"/>
  <c r="AZ202" i="3" s="1"/>
  <c r="AZ30" i="3"/>
  <c r="BL36" i="3"/>
  <c r="AZ36" i="3" s="1"/>
  <c r="AZ40" i="3"/>
  <c r="G200" i="3"/>
  <c r="G207" i="3"/>
  <c r="BA23" i="3"/>
  <c r="BA24" i="3"/>
  <c r="AZ24" i="3" s="1"/>
  <c r="BL26" i="3"/>
  <c r="AZ26" i="3" s="1"/>
  <c r="BL32" i="3"/>
  <c r="BA34" i="3"/>
  <c r="AZ34" i="3" s="1"/>
  <c r="BA35" i="3"/>
  <c r="BL37" i="3"/>
  <c r="BL42" i="3"/>
  <c r="AZ42" i="3" s="1"/>
  <c r="BA44" i="3"/>
  <c r="AZ44" i="3" s="1"/>
  <c r="AZ60" i="3"/>
  <c r="BA206" i="3"/>
  <c r="BL22" i="3"/>
  <c r="AZ22" i="3" s="1"/>
  <c r="BL33" i="3"/>
  <c r="AZ33" i="3" s="1"/>
  <c r="BL43" i="3"/>
  <c r="AZ43" i="3" s="1"/>
  <c r="BL46" i="3"/>
  <c r="AZ46" i="3" s="1"/>
  <c r="AZ92" i="3"/>
  <c r="BL78" i="3"/>
  <c r="BA83" i="3"/>
  <c r="G91" i="3"/>
  <c r="BL95" i="3"/>
  <c r="AZ95" i="3" s="1"/>
  <c r="BL98" i="3"/>
  <c r="BL109" i="3"/>
  <c r="AZ109" i="3" s="1"/>
  <c r="AB21" i="21"/>
  <c r="AZ78" i="3"/>
  <c r="G77" i="3"/>
  <c r="BA81" i="3"/>
  <c r="BA85" i="3"/>
  <c r="BL89" i="3"/>
  <c r="G94" i="3"/>
  <c r="G97" i="3"/>
  <c r="G100" i="3"/>
  <c r="BA107" i="3"/>
  <c r="BA112" i="3"/>
  <c r="AC21" i="34"/>
  <c r="E27" i="71"/>
  <c r="E26" i="71" s="1"/>
  <c r="V28" i="71"/>
  <c r="BA76" i="3"/>
  <c r="AZ76" i="3" s="1"/>
  <c r="BL80" i="3"/>
  <c r="BL87" i="3"/>
  <c r="BA93" i="3"/>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C11" i="21"/>
  <c r="AB11" i="21"/>
  <c r="C5" i="11"/>
  <c r="E14" i="6"/>
  <c r="E63" i="39" s="1"/>
  <c r="I4" i="6"/>
  <c r="G3" i="43" s="1"/>
  <c r="J26" i="43" s="1"/>
  <c r="E29" i="6"/>
  <c r="K15" i="1"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D9" i="68"/>
  <c r="F38" i="15"/>
  <c r="F7" i="15"/>
  <c r="F40" i="15"/>
  <c r="M8" i="15"/>
  <c r="F37" i="15"/>
  <c r="F43" i="67"/>
  <c r="M24" i="15"/>
  <c r="M28" i="67"/>
  <c r="M9" i="67"/>
  <c r="C76" i="15"/>
  <c r="F40" i="67"/>
  <c r="F6" i="67"/>
  <c r="F6" i="15"/>
  <c r="M23" i="67"/>
  <c r="M29" i="15"/>
  <c r="M6" i="67"/>
  <c r="M22" i="67"/>
  <c r="M28" i="15"/>
  <c r="D3" i="73"/>
  <c r="F8" i="67"/>
  <c r="F7" i="67"/>
  <c r="F9" i="15"/>
  <c r="F36" i="15"/>
  <c r="F8" i="15"/>
  <c r="F16" i="15"/>
  <c r="F38" i="67"/>
  <c r="J15" i="67"/>
  <c r="M23" i="15"/>
  <c r="F9" i="67"/>
  <c r="L47" i="67"/>
  <c r="L47" i="15"/>
  <c r="F43" i="15"/>
  <c r="M24" i="67"/>
  <c r="D4" i="73"/>
  <c r="M29" i="67"/>
  <c r="F16" i="67"/>
  <c r="D5" i="73"/>
  <c r="F13" i="15"/>
  <c r="L48" i="15"/>
  <c r="F36" i="67"/>
  <c r="F42" i="15"/>
  <c r="M9" i="15"/>
  <c r="F37" i="67"/>
  <c r="F26" i="15"/>
  <c r="J15" i="15"/>
  <c r="C76" i="67"/>
  <c r="F26" i="67"/>
  <c r="D7" i="73"/>
  <c r="M8" i="67"/>
  <c r="M26" i="15"/>
  <c r="F42" i="67"/>
  <c r="M6" i="15"/>
  <c r="M22" i="15"/>
  <c r="M26" i="67"/>
  <c r="F13" i="67"/>
  <c r="L48" i="67"/>
  <c r="S35" i="21" l="1"/>
  <c r="W12" i="35"/>
  <c r="AC12" i="35"/>
  <c r="AB44" i="39"/>
  <c r="U44" i="39"/>
  <c r="AB34" i="36"/>
  <c r="U34" i="36"/>
  <c r="AA11" i="21"/>
  <c r="AZ87" i="3"/>
  <c r="AZ85" i="3"/>
  <c r="AZ117" i="3"/>
  <c r="AZ348" i="3"/>
  <c r="AZ317" i="3"/>
  <c r="AC16" i="36"/>
  <c r="AA12" i="34"/>
  <c r="V20" i="71"/>
  <c r="AZ101" i="3"/>
  <c r="AZ71" i="3"/>
  <c r="AZ75" i="3"/>
  <c r="AZ59" i="3"/>
  <c r="U43" i="21"/>
  <c r="AZ130" i="3"/>
  <c r="AZ282" i="3"/>
  <c r="AZ229" i="3"/>
  <c r="AZ462" i="3"/>
  <c r="AZ270" i="3"/>
  <c r="AZ218" i="3"/>
  <c r="AA32" i="36"/>
  <c r="S32" i="36"/>
  <c r="AA27" i="37"/>
  <c r="S27" i="37"/>
  <c r="U12" i="36"/>
  <c r="AB12" i="36"/>
  <c r="AC43" i="39"/>
  <c r="W43" i="39"/>
  <c r="W12" i="34"/>
  <c r="AC12" i="34"/>
  <c r="AC29" i="35"/>
  <c r="W29" i="35"/>
  <c r="L19" i="6"/>
  <c r="L27" i="6" s="1"/>
  <c r="AZ80" i="3"/>
  <c r="AZ81" i="3"/>
  <c r="AZ83" i="3"/>
  <c r="AZ35" i="3"/>
  <c r="AZ288" i="3"/>
  <c r="AZ153" i="3"/>
  <c r="AZ114" i="3"/>
  <c r="AZ253" i="3"/>
  <c r="AZ213" i="3"/>
  <c r="AZ79" i="3"/>
  <c r="AZ31" i="3"/>
  <c r="AZ20" i="3"/>
  <c r="AZ422" i="3"/>
  <c r="AZ403" i="3"/>
  <c r="AZ457" i="3"/>
  <c r="AZ421" i="3"/>
  <c r="AZ368" i="3"/>
  <c r="AZ353" i="3"/>
  <c r="AZ432" i="3"/>
  <c r="AZ417" i="3"/>
  <c r="S43" i="39"/>
  <c r="AZ244" i="3"/>
  <c r="B19" i="71"/>
  <c r="B18" i="71" s="1"/>
  <c r="B17" i="71" s="1"/>
  <c r="B16" i="71" s="1"/>
  <c r="S20" i="71"/>
  <c r="AZ249" i="3"/>
  <c r="N67" i="71"/>
  <c r="B66" i="71"/>
  <c r="U27" i="37"/>
  <c r="AB27" i="37"/>
  <c r="W12" i="36"/>
  <c r="AC12" i="36"/>
  <c r="S36" i="39"/>
  <c r="AA36" i="39"/>
  <c r="AC32" i="36"/>
  <c r="AZ206" i="3"/>
  <c r="AZ23" i="3"/>
  <c r="AZ170" i="3"/>
  <c r="AZ142" i="3"/>
  <c r="AZ246" i="3"/>
  <c r="AZ77" i="3"/>
  <c r="AZ45" i="3"/>
  <c r="AZ111" i="3"/>
  <c r="AZ182" i="3"/>
  <c r="AZ283" i="3"/>
  <c r="AZ248" i="3"/>
  <c r="AZ223" i="3"/>
  <c r="AZ491" i="3"/>
  <c r="AZ444" i="3"/>
  <c r="AZ230" i="3"/>
  <c r="AZ453" i="3"/>
  <c r="AZ451" i="3"/>
  <c r="AZ447" i="3"/>
  <c r="AC44" i="39"/>
  <c r="W44" i="39"/>
  <c r="S34" i="36"/>
  <c r="AA34" i="36"/>
  <c r="U12" i="34"/>
  <c r="AB12" i="34"/>
  <c r="AC39" i="37"/>
  <c r="W39" i="37"/>
  <c r="G16" i="1"/>
  <c r="F10" i="39" s="1"/>
  <c r="AZ37" i="3"/>
  <c r="AZ281" i="3"/>
  <c r="U23" i="35"/>
  <c r="AB23" i="35"/>
  <c r="AZ65" i="3"/>
  <c r="AZ251" i="3"/>
  <c r="AZ413" i="3"/>
  <c r="U12" i="35"/>
  <c r="AB12" i="35"/>
  <c r="AC9" i="36"/>
  <c r="W9" i="36"/>
  <c r="E28" i="6"/>
  <c r="K14" i="1" s="1"/>
  <c r="AZ112" i="3"/>
  <c r="AZ98" i="3"/>
  <c r="AZ145" i="3"/>
  <c r="AZ300" i="3"/>
  <c r="AZ292" i="3"/>
  <c r="AZ129" i="3"/>
  <c r="AZ63" i="3"/>
  <c r="AZ51" i="3"/>
  <c r="C39" i="71"/>
  <c r="AZ122" i="3"/>
  <c r="AZ38" i="3"/>
  <c r="AZ280" i="3"/>
  <c r="AZ222" i="3"/>
  <c r="AZ271" i="3"/>
  <c r="AZ484" i="3"/>
  <c r="AZ247" i="3"/>
  <c r="AZ395" i="3"/>
  <c r="AZ415" i="3"/>
  <c r="AZ398" i="3"/>
  <c r="AA27" i="39"/>
  <c r="AZ173" i="3"/>
  <c r="U39" i="40"/>
  <c r="AB39" i="40"/>
  <c r="AZ93" i="3"/>
  <c r="AZ107" i="3"/>
  <c r="AZ89" i="3"/>
  <c r="AZ32" i="3"/>
  <c r="AZ141" i="3"/>
  <c r="AZ261" i="3"/>
  <c r="AZ396" i="3"/>
  <c r="AZ474" i="3"/>
  <c r="AZ333" i="3"/>
  <c r="AZ82" i="3"/>
  <c r="AZ41" i="3"/>
  <c r="AZ28" i="3"/>
  <c r="AZ294" i="3"/>
  <c r="AZ278" i="3"/>
  <c r="AZ367" i="3"/>
  <c r="AZ332" i="3"/>
  <c r="AZ550" i="3"/>
  <c r="AZ483" i="3"/>
  <c r="AZ414" i="3"/>
  <c r="AZ471" i="3"/>
  <c r="AC35" i="21"/>
  <c r="AZ181" i="3"/>
  <c r="AZ256" i="3"/>
  <c r="AZ210" i="3"/>
  <c r="AZ469" i="3"/>
  <c r="AZ397" i="3"/>
  <c r="AZ400" i="3"/>
  <c r="AC9" i="33"/>
  <c r="W9" i="33"/>
  <c r="U16" i="35"/>
  <c r="AB16" i="35"/>
  <c r="U14" i="35"/>
  <c r="AC14" i="35"/>
  <c r="S14" i="35"/>
  <c r="AA16" i="36"/>
  <c r="S16" i="36"/>
  <c r="W14" i="36"/>
  <c r="AC17" i="21"/>
  <c r="S19" i="21"/>
  <c r="S17" i="21"/>
  <c r="U17" i="21"/>
  <c r="S43" i="21"/>
  <c r="AA43" i="21"/>
  <c r="AA23" i="21"/>
  <c r="U23" i="21"/>
  <c r="AC23" i="21"/>
  <c r="AC19" i="21"/>
  <c r="AB19" i="21"/>
  <c r="U19" i="21"/>
  <c r="AC31" i="39"/>
  <c r="F48" i="9"/>
  <c r="O52" i="9" s="1"/>
  <c r="F30" i="68"/>
  <c r="F52" i="9"/>
  <c r="F32" i="15"/>
  <c r="F60" i="15" s="1"/>
  <c r="F54" i="9"/>
  <c r="M18" i="67"/>
  <c r="M18" i="15"/>
  <c r="F30" i="11"/>
  <c r="F28" i="67"/>
  <c r="C28" i="67" s="1"/>
  <c r="F32" i="67"/>
  <c r="F60" i="67" s="1"/>
  <c r="F28" i="15"/>
  <c r="C28" i="15" s="1"/>
  <c r="F31" i="12"/>
  <c r="F30" i="69"/>
  <c r="D68" i="9"/>
  <c r="G26" i="43"/>
  <c r="Q16" i="1"/>
  <c r="F27" i="69" s="1"/>
  <c r="C47" i="69" s="1"/>
  <c r="D45" i="69" s="1"/>
  <c r="M7" i="67"/>
  <c r="J6" i="67" s="1"/>
  <c r="F50" i="67"/>
  <c r="F65" i="67"/>
  <c r="F68" i="67"/>
  <c r="Q71" i="67"/>
  <c r="F51" i="67"/>
  <c r="I54" i="67"/>
  <c r="J53" i="67"/>
  <c r="F1" i="67" s="1"/>
  <c r="L56" i="67"/>
  <c r="J57" i="67"/>
  <c r="J55" i="67" s="1"/>
  <c r="J58" i="67" s="1"/>
  <c r="Q50" i="67" s="1"/>
  <c r="F66" i="67"/>
  <c r="F64" i="67"/>
  <c r="C27" i="67"/>
  <c r="N59" i="67"/>
  <c r="L59" i="67"/>
  <c r="Q61" i="67" s="1"/>
  <c r="L58" i="67"/>
  <c r="Q73" i="67" s="1"/>
  <c r="C6" i="67"/>
  <c r="F71" i="67"/>
  <c r="Q71" i="15"/>
  <c r="F71" i="15"/>
  <c r="J57" i="15"/>
  <c r="J55" i="15" s="1"/>
  <c r="J58" i="15" s="1"/>
  <c r="Q50" i="15" s="1"/>
  <c r="I54" i="15"/>
  <c r="J53" i="15"/>
  <c r="L56" i="15" s="1"/>
  <c r="L59" i="15"/>
  <c r="Q74" i="15" s="1"/>
  <c r="N59" i="15"/>
  <c r="L58" i="15"/>
  <c r="Q60" i="15" s="1"/>
  <c r="C27" i="15"/>
  <c r="F65" i="15"/>
  <c r="F66" i="15"/>
  <c r="F64" i="15"/>
  <c r="K16" i="1"/>
  <c r="N370" i="46"/>
  <c r="F26" i="43"/>
  <c r="E26" i="43"/>
  <c r="H26" i="43"/>
  <c r="N94" i="46"/>
  <c r="P6" i="1"/>
  <c r="C13" i="12" s="1"/>
  <c r="F50" i="15"/>
  <c r="F31" i="15"/>
  <c r="M7" i="15"/>
  <c r="J6" i="15" s="1"/>
  <c r="J18" i="15" s="1"/>
  <c r="C6" i="15"/>
  <c r="F51" i="15"/>
  <c r="F68" i="15"/>
  <c r="J7" i="37"/>
  <c r="W7" i="37" s="1"/>
  <c r="G5" i="3"/>
  <c r="B3" i="3" s="1"/>
  <c r="E451" i="3" s="1"/>
  <c r="C70" i="71"/>
  <c r="D70" i="71" s="1"/>
  <c r="D71" i="71"/>
  <c r="D60" i="71"/>
  <c r="T60" i="71"/>
  <c r="AZ178" i="3"/>
  <c r="AZ118" i="3"/>
  <c r="AZ25" i="3"/>
  <c r="AZ5" i="3" s="1"/>
  <c r="AZ53" i="3"/>
  <c r="AZ190" i="3"/>
  <c r="AZ121" i="3"/>
  <c r="AZ441" i="3"/>
  <c r="AZ405" i="3"/>
  <c r="AZ297" i="3"/>
  <c r="AZ239" i="3"/>
  <c r="AZ461" i="3"/>
  <c r="AZ241" i="3"/>
  <c r="AA25" i="37"/>
  <c r="S25" i="37"/>
  <c r="AB24" i="36"/>
  <c r="U24" i="36"/>
  <c r="D34" i="71"/>
  <c r="C35" i="71"/>
  <c r="C40" i="71"/>
  <c r="D39" i="71"/>
  <c r="D75" i="71"/>
  <c r="C74" i="71"/>
  <c r="D74" i="71" s="1"/>
  <c r="T32" i="71"/>
  <c r="D32" i="71"/>
  <c r="AZ21" i="3"/>
  <c r="AZ242" i="3"/>
  <c r="AZ69" i="3"/>
  <c r="AZ126" i="3"/>
  <c r="AZ133" i="3"/>
  <c r="AZ404" i="3"/>
  <c r="AZ201" i="3"/>
  <c r="AZ277" i="3"/>
  <c r="AZ460" i="3"/>
  <c r="AZ425" i="3"/>
  <c r="AC38" i="40"/>
  <c r="W38" i="40"/>
  <c r="AC23" i="36"/>
  <c r="W23" i="36"/>
  <c r="AC24" i="36"/>
  <c r="W24" i="36"/>
  <c r="D79" i="71"/>
  <c r="C78" i="71"/>
  <c r="D78" i="71" s="1"/>
  <c r="C56" i="71"/>
  <c r="D55" i="71"/>
  <c r="AZ284" i="3"/>
  <c r="AZ177" i="3"/>
  <c r="AZ243" i="3"/>
  <c r="S38" i="40"/>
  <c r="AA38" i="40"/>
  <c r="AC12" i="33"/>
  <c r="W12" i="33"/>
  <c r="AC25" i="37"/>
  <c r="W25" i="37"/>
  <c r="AA23" i="36"/>
  <c r="S23" i="36"/>
  <c r="J7" i="36"/>
  <c r="AC7" i="36" s="1"/>
  <c r="T28" i="71"/>
  <c r="D28" i="71"/>
  <c r="U28" i="71" s="1"/>
  <c r="C27" i="71"/>
  <c r="D83" i="71"/>
  <c r="C82" i="71"/>
  <c r="D82" i="71" s="1"/>
  <c r="C52" i="71"/>
  <c r="D51" i="71"/>
  <c r="AZ197" i="3"/>
  <c r="O65" i="71"/>
  <c r="D66" i="71"/>
  <c r="O66" i="71"/>
  <c r="AZ274" i="3"/>
  <c r="AA44" i="39"/>
  <c r="S44" i="39"/>
  <c r="AB38" i="40"/>
  <c r="U38" i="40"/>
  <c r="U25" i="37"/>
  <c r="AB25" i="37"/>
  <c r="AA26" i="33"/>
  <c r="S26" i="33"/>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F28" i="12"/>
  <c r="E60" i="40"/>
  <c r="F31" i="6"/>
  <c r="E51" i="40"/>
  <c r="E16" i="6"/>
  <c r="E58" i="40"/>
  <c r="E62" i="39"/>
  <c r="M14" i="1"/>
  <c r="D5" i="43"/>
  <c r="J10" i="40"/>
  <c r="AC10" i="40" s="1"/>
  <c r="H10" i="39"/>
  <c r="U10" i="39" s="1"/>
  <c r="F10" i="40"/>
  <c r="S10" i="40" s="1"/>
  <c r="J10" i="39"/>
  <c r="W10" i="39" s="1"/>
  <c r="H10" i="40"/>
  <c r="AB10" i="40" s="1"/>
  <c r="C7" i="43"/>
  <c r="C5" i="43" s="1"/>
  <c r="B7" i="74"/>
  <c r="E69" i="39"/>
  <c r="F59" i="67"/>
  <c r="H7" i="37"/>
  <c r="AB7" i="37" s="1"/>
  <c r="T42" i="37" s="1"/>
  <c r="G42" i="37" s="1"/>
  <c r="S10" i="39"/>
  <c r="AA10" i="39"/>
  <c r="H7" i="33"/>
  <c r="J7" i="33"/>
  <c r="D65" i="40"/>
  <c r="E63" i="40"/>
  <c r="F48" i="35"/>
  <c r="F7" i="33"/>
  <c r="E58" i="21"/>
  <c r="F7" i="37"/>
  <c r="M17" i="67"/>
  <c r="F59" i="15"/>
  <c r="P28" i="43"/>
  <c r="B66" i="40" s="1"/>
  <c r="P25" i="43"/>
  <c r="P29" i="43"/>
  <c r="P27" i="43"/>
  <c r="B70" i="39" s="1"/>
  <c r="M11" i="67"/>
  <c r="J10" i="67" s="1"/>
  <c r="F11" i="15"/>
  <c r="M11" i="15"/>
  <c r="J10" i="15" s="1"/>
  <c r="F11" i="67"/>
  <c r="AE11" i="1"/>
  <c r="AE6" i="1"/>
  <c r="AE9" i="1"/>
  <c r="F27" i="68"/>
  <c r="AE7" i="1"/>
  <c r="AE8" i="1"/>
  <c r="AE12" i="1"/>
  <c r="AE10" i="1"/>
  <c r="F41" i="67"/>
  <c r="C16" i="67"/>
  <c r="C16" i="15"/>
  <c r="G1" i="73"/>
  <c r="AC7" i="37" l="1"/>
  <c r="N65" i="71"/>
  <c r="N66" i="71"/>
  <c r="E246" i="3"/>
  <c r="AY6" i="3"/>
  <c r="M6" i="3"/>
  <c r="E45" i="3"/>
  <c r="E156" i="3"/>
  <c r="C49" i="67"/>
  <c r="E139" i="3"/>
  <c r="E142" i="3"/>
  <c r="E240" i="3"/>
  <c r="E483" i="3"/>
  <c r="E185" i="3"/>
  <c r="V36" i="36"/>
  <c r="I36" i="36" s="1"/>
  <c r="I40" i="36" s="1"/>
  <c r="J40" i="36" s="1"/>
  <c r="C32" i="67"/>
  <c r="J18" i="67"/>
  <c r="E369" i="3"/>
  <c r="E204" i="3"/>
  <c r="E464" i="3"/>
  <c r="C49" i="15"/>
  <c r="AB7" i="36"/>
  <c r="T36" i="36" s="1"/>
  <c r="G36" i="36" s="1"/>
  <c r="Q60" i="67"/>
  <c r="J5" i="67"/>
  <c r="J24" i="67" s="1"/>
  <c r="Q61" i="15"/>
  <c r="Q74" i="67"/>
  <c r="F45" i="69"/>
  <c r="C32" i="15"/>
  <c r="C29" i="69"/>
  <c r="D27" i="69" s="1"/>
  <c r="F48" i="68"/>
  <c r="C48" i="68"/>
  <c r="C30" i="68"/>
  <c r="C48" i="11"/>
  <c r="C30" i="11"/>
  <c r="F48" i="69"/>
  <c r="C30" i="69"/>
  <c r="C48" i="69"/>
  <c r="D26" i="43"/>
  <c r="C25" i="43" s="1"/>
  <c r="Q52" i="15"/>
  <c r="F1" i="15"/>
  <c r="Q52" i="67"/>
  <c r="Q73" i="15"/>
  <c r="E275" i="3"/>
  <c r="E378" i="3"/>
  <c r="E248" i="3"/>
  <c r="E94" i="3"/>
  <c r="E219" i="3"/>
  <c r="E100" i="3"/>
  <c r="E189" i="3"/>
  <c r="E28" i="3"/>
  <c r="E586" i="3"/>
  <c r="E107" i="3"/>
  <c r="E580" i="3"/>
  <c r="E504" i="3"/>
  <c r="E423" i="3"/>
  <c r="E247" i="3"/>
  <c r="E454" i="3"/>
  <c r="E337" i="3"/>
  <c r="E114" i="3"/>
  <c r="E574" i="3"/>
  <c r="E364" i="3"/>
  <c r="E131" i="3"/>
  <c r="E119" i="3"/>
  <c r="E535" i="3"/>
  <c r="E526" i="3"/>
  <c r="E228" i="3"/>
  <c r="E44" i="3"/>
  <c r="E480" i="3"/>
  <c r="E93" i="3"/>
  <c r="E34" i="3"/>
  <c r="E135" i="3"/>
  <c r="E563" i="3"/>
  <c r="E335" i="3"/>
  <c r="E311" i="3"/>
  <c r="E509" i="3"/>
  <c r="E377" i="3"/>
  <c r="E400" i="3"/>
  <c r="E315" i="3"/>
  <c r="E406" i="3"/>
  <c r="E77" i="3"/>
  <c r="E503" i="3"/>
  <c r="E538" i="3"/>
  <c r="E305" i="3"/>
  <c r="E447" i="3"/>
  <c r="E72" i="3"/>
  <c r="E518" i="3"/>
  <c r="E229" i="3"/>
  <c r="E558" i="3"/>
  <c r="E344" i="3"/>
  <c r="E304" i="3"/>
  <c r="E92" i="3"/>
  <c r="E474" i="3"/>
  <c r="E259" i="3"/>
  <c r="E312" i="3"/>
  <c r="E493" i="3"/>
  <c r="E37" i="3"/>
  <c r="E242" i="3"/>
  <c r="E148" i="3"/>
  <c r="AI6" i="3"/>
  <c r="E161" i="3"/>
  <c r="E278" i="3"/>
  <c r="AB6" i="3"/>
  <c r="E201" i="3"/>
  <c r="E268" i="3"/>
  <c r="E182" i="3"/>
  <c r="E327" i="3"/>
  <c r="E106" i="3"/>
  <c r="E133" i="3"/>
  <c r="E495" i="3"/>
  <c r="E261" i="3"/>
  <c r="E270" i="3"/>
  <c r="E441" i="3"/>
  <c r="E414" i="3"/>
  <c r="E458" i="3"/>
  <c r="E550" i="3"/>
  <c r="E282" i="3"/>
  <c r="E252" i="3"/>
  <c r="E120" i="3"/>
  <c r="E523" i="3"/>
  <c r="E379" i="3"/>
  <c r="E122" i="3"/>
  <c r="E47" i="3"/>
  <c r="E141" i="3"/>
  <c r="E409" i="3"/>
  <c r="E355" i="3"/>
  <c r="E452" i="3"/>
  <c r="E60" i="3"/>
  <c r="E90" i="3"/>
  <c r="E138" i="3"/>
  <c r="E584" i="3"/>
  <c r="E488" i="3"/>
  <c r="E136" i="3"/>
  <c r="E475" i="3"/>
  <c r="E548" i="3"/>
  <c r="E29" i="3"/>
  <c r="E506" i="3"/>
  <c r="E303" i="3"/>
  <c r="E177" i="3"/>
  <c r="E73" i="3"/>
  <c r="E576" i="3"/>
  <c r="E121" i="3"/>
  <c r="N6" i="3"/>
  <c r="E407" i="3"/>
  <c r="E117" i="3"/>
  <c r="E453" i="3"/>
  <c r="E457" i="3"/>
  <c r="E318" i="3"/>
  <c r="E477" i="3"/>
  <c r="E210" i="3"/>
  <c r="E175" i="3"/>
  <c r="E555" i="3"/>
  <c r="E533" i="3"/>
  <c r="E380" i="3"/>
  <c r="E183" i="3"/>
  <c r="E134" i="3"/>
  <c r="E124" i="3"/>
  <c r="E545" i="3"/>
  <c r="K6" i="3"/>
  <c r="E587" i="3"/>
  <c r="E171" i="3"/>
  <c r="E227" i="3"/>
  <c r="Z6" i="3"/>
  <c r="E531" i="3"/>
  <c r="E211" i="3"/>
  <c r="E109" i="3"/>
  <c r="E322" i="3"/>
  <c r="E431" i="3"/>
  <c r="E514" i="3"/>
  <c r="E387" i="3"/>
  <c r="E69" i="3"/>
  <c r="E445" i="3"/>
  <c r="E191" i="3"/>
  <c r="E385" i="3"/>
  <c r="E200" i="3"/>
  <c r="E296" i="3"/>
  <c r="E487" i="3"/>
  <c r="E118" i="3"/>
  <c r="AP6" i="3"/>
  <c r="E129" i="3"/>
  <c r="E158" i="3"/>
  <c r="E244" i="3"/>
  <c r="E19" i="3"/>
  <c r="E39" i="3"/>
  <c r="E187" i="3"/>
  <c r="E313" i="3"/>
  <c r="E14" i="3"/>
  <c r="E546" i="3"/>
  <c r="E328" i="3"/>
  <c r="E169" i="3"/>
  <c r="E481" i="3"/>
  <c r="E394" i="3"/>
  <c r="E443" i="3"/>
  <c r="E396" i="3"/>
  <c r="E130" i="3"/>
  <c r="E382" i="3"/>
  <c r="E433" i="3"/>
  <c r="E269" i="3"/>
  <c r="E331" i="3"/>
  <c r="E410" i="3"/>
  <c r="AR6" i="3"/>
  <c r="E361" i="3"/>
  <c r="E301" i="3"/>
  <c r="AK6" i="3"/>
  <c r="E560" i="3"/>
  <c r="E214" i="3"/>
  <c r="E368" i="3"/>
  <c r="E489" i="3"/>
  <c r="E217" i="3"/>
  <c r="AJ6" i="3"/>
  <c r="E147" i="3"/>
  <c r="AA6" i="3"/>
  <c r="E334" i="3"/>
  <c r="E99" i="3"/>
  <c r="E476" i="3"/>
  <c r="E343" i="3"/>
  <c r="E216" i="3"/>
  <c r="E347" i="3"/>
  <c r="E468" i="3"/>
  <c r="E485" i="3"/>
  <c r="E273" i="3"/>
  <c r="E132" i="3"/>
  <c r="X6" i="3"/>
  <c r="E263" i="3"/>
  <c r="E172" i="3"/>
  <c r="E215" i="3"/>
  <c r="E570" i="3"/>
  <c r="E579" i="3"/>
  <c r="E572" i="3"/>
  <c r="E345" i="3"/>
  <c r="E74" i="3"/>
  <c r="E465" i="3"/>
  <c r="E568" i="3"/>
  <c r="E91" i="3"/>
  <c r="E439" i="3"/>
  <c r="E508" i="3"/>
  <c r="E27" i="3"/>
  <c r="E351" i="3"/>
  <c r="E253" i="3"/>
  <c r="E551" i="3"/>
  <c r="E88" i="3"/>
  <c r="E55" i="3"/>
  <c r="E221" i="3"/>
  <c r="AM6" i="3"/>
  <c r="E471" i="3"/>
  <c r="AD6" i="3"/>
  <c r="E446" i="3"/>
  <c r="E276" i="3"/>
  <c r="E300" i="3"/>
  <c r="E515" i="3"/>
  <c r="E549" i="3"/>
  <c r="E279" i="3"/>
  <c r="E571" i="3"/>
  <c r="E573" i="3"/>
  <c r="E511" i="3"/>
  <c r="E336" i="3"/>
  <c r="E245" i="3"/>
  <c r="E260" i="3"/>
  <c r="E294" i="3"/>
  <c r="E559" i="3"/>
  <c r="E569" i="3"/>
  <c r="E366" i="3"/>
  <c r="E316" i="3"/>
  <c r="E404" i="3"/>
  <c r="E448" i="3"/>
  <c r="E236" i="3"/>
  <c r="E274" i="3"/>
  <c r="E429" i="3"/>
  <c r="E437" i="3"/>
  <c r="E262" i="3"/>
  <c r="AN6" i="3"/>
  <c r="E302" i="3"/>
  <c r="E298" i="3"/>
  <c r="E97" i="3"/>
  <c r="E153" i="3"/>
  <c r="E317" i="3"/>
  <c r="E547" i="3"/>
  <c r="E145" i="3"/>
  <c r="E257" i="3"/>
  <c r="E288" i="3"/>
  <c r="E224" i="3"/>
  <c r="E82" i="3"/>
  <c r="E154" i="3"/>
  <c r="Y6" i="3"/>
  <c r="E374" i="3"/>
  <c r="E297" i="3"/>
  <c r="E284" i="3"/>
  <c r="E57" i="3"/>
  <c r="E65" i="3"/>
  <c r="E524" i="3"/>
  <c r="AQ6" i="3"/>
  <c r="J6" i="3"/>
  <c r="E342" i="3"/>
  <c r="E405" i="3"/>
  <c r="E198" i="3"/>
  <c r="E46" i="3"/>
  <c r="E286" i="3"/>
  <c r="E186" i="3"/>
  <c r="E505" i="3"/>
  <c r="E585" i="3"/>
  <c r="E567" i="3"/>
  <c r="E111" i="3"/>
  <c r="E562" i="3"/>
  <c r="E519" i="3"/>
  <c r="E85" i="3"/>
  <c r="E293" i="3"/>
  <c r="E61" i="3"/>
  <c r="E415" i="3"/>
  <c r="E320" i="3"/>
  <c r="E358" i="3"/>
  <c r="E239" i="3"/>
  <c r="E125" i="3"/>
  <c r="E295" i="3"/>
  <c r="E581" i="3"/>
  <c r="AG6" i="3"/>
  <c r="I6" i="3"/>
  <c r="E203" i="3"/>
  <c r="AE6" i="3"/>
  <c r="Q6" i="3"/>
  <c r="E434" i="3"/>
  <c r="E402" i="3"/>
  <c r="E213" i="3"/>
  <c r="E418" i="3"/>
  <c r="E285" i="3"/>
  <c r="E501" i="3"/>
  <c r="E126" i="3"/>
  <c r="E432" i="3"/>
  <c r="E207" i="3"/>
  <c r="E168" i="3"/>
  <c r="E438" i="3"/>
  <c r="E306" i="3"/>
  <c r="E98" i="3"/>
  <c r="E87" i="3"/>
  <c r="E66" i="3"/>
  <c r="E341" i="3"/>
  <c r="E582" i="3"/>
  <c r="E48" i="3"/>
  <c r="E421" i="3"/>
  <c r="E58" i="3"/>
  <c r="E218" i="3"/>
  <c r="E455" i="3"/>
  <c r="E422" i="3"/>
  <c r="E412" i="3"/>
  <c r="E113" i="3"/>
  <c r="E264" i="3"/>
  <c r="E502" i="3"/>
  <c r="E292" i="3"/>
  <c r="E67" i="3"/>
  <c r="E42" i="3"/>
  <c r="E140" i="3"/>
  <c r="E115" i="3"/>
  <c r="E188" i="3"/>
  <c r="E40" i="3"/>
  <c r="E234" i="3"/>
  <c r="E62" i="3"/>
  <c r="E398" i="3"/>
  <c r="E250"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112" i="3"/>
  <c r="E339" i="3"/>
  <c r="E170" i="3"/>
  <c r="E473" i="3"/>
  <c r="E333" i="3"/>
  <c r="E178" i="3"/>
  <c r="E401" i="3"/>
  <c r="E490" i="3"/>
  <c r="E427" i="3"/>
  <c r="E105" i="3"/>
  <c r="E83" i="3"/>
  <c r="E232" i="3"/>
  <c r="E220" i="3"/>
  <c r="E243" i="3"/>
  <c r="E26" i="3"/>
  <c r="E497" i="3"/>
  <c r="E469" i="3"/>
  <c r="E525" i="3"/>
  <c r="E22" i="3"/>
  <c r="E251" i="3"/>
  <c r="E383" i="3"/>
  <c r="E18" i="3"/>
  <c r="E332" i="3"/>
  <c r="E513" i="3"/>
  <c r="E63" i="3"/>
  <c r="E144" i="3"/>
  <c r="E492" i="3"/>
  <c r="E267" i="3"/>
  <c r="E425" i="3"/>
  <c r="E544" i="3"/>
  <c r="E258" i="3"/>
  <c r="E491" i="3"/>
  <c r="E442" i="3"/>
  <c r="E539" i="3"/>
  <c r="E500" i="3"/>
  <c r="E51" i="3"/>
  <c r="E521" i="3"/>
  <c r="E460" i="3"/>
  <c r="E101" i="3"/>
  <c r="E176" i="3"/>
  <c r="E340" i="3"/>
  <c r="E52" i="3"/>
  <c r="E299" i="3"/>
  <c r="E38" i="3"/>
  <c r="E43" i="3"/>
  <c r="E346" i="3"/>
  <c r="E108" i="3"/>
  <c r="E498" i="3"/>
  <c r="E440" i="3"/>
  <c r="E543" i="3"/>
  <c r="E223" i="3"/>
  <c r="E326" i="3"/>
  <c r="E49" i="3"/>
  <c r="E78" i="3"/>
  <c r="E225" i="3"/>
  <c r="E420" i="3"/>
  <c r="E360" i="3"/>
  <c r="E456" i="3"/>
  <c r="E173" i="3"/>
  <c r="E287" i="3"/>
  <c r="E206" i="3"/>
  <c r="E235" i="3"/>
  <c r="E75" i="3"/>
  <c r="E281" i="3"/>
  <c r="E309" i="3"/>
  <c r="E381" i="3"/>
  <c r="E33" i="3"/>
  <c r="E310" i="3"/>
  <c r="E103" i="3"/>
  <c r="E484" i="3"/>
  <c r="E389" i="3"/>
  <c r="E95" i="3"/>
  <c r="E554" i="3"/>
  <c r="E212" i="3"/>
  <c r="E575" i="3"/>
  <c r="E449" i="3"/>
  <c r="E417" i="3"/>
  <c r="E152"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3" i="6"/>
  <c r="E6" i="6" s="1"/>
  <c r="E24" i="3"/>
  <c r="E155" i="3"/>
  <c r="E552" i="3"/>
  <c r="E365" i="3"/>
  <c r="E50" i="3"/>
  <c r="E123" i="3"/>
  <c r="E392" i="3"/>
  <c r="E137" i="3"/>
  <c r="E15" i="3"/>
  <c r="L6" i="3"/>
  <c r="E202" i="3"/>
  <c r="E463" i="3"/>
  <c r="AH6" i="3"/>
  <c r="E486" i="3"/>
  <c r="E393" i="3"/>
  <c r="E16" i="3"/>
  <c r="E370" i="3"/>
  <c r="E324" i="3"/>
  <c r="E428" i="3"/>
  <c r="E104" i="3"/>
  <c r="E13" i="3"/>
  <c r="E408" i="3"/>
  <c r="E534" i="3"/>
  <c r="E205" i="3"/>
  <c r="E102" i="3"/>
  <c r="E522" i="3"/>
  <c r="E96" i="3"/>
  <c r="AL6" i="3"/>
  <c r="E21" i="3"/>
  <c r="E81" i="3"/>
  <c r="E233" i="3"/>
  <c r="E23" i="3"/>
  <c r="E249" i="3"/>
  <c r="E64" i="3"/>
  <c r="E76" i="3"/>
  <c r="E241" i="3"/>
  <c r="E479" i="3"/>
  <c r="E430" i="3"/>
  <c r="E536" i="3"/>
  <c r="J5" i="15"/>
  <c r="J24" i="15" s="1"/>
  <c r="W7" i="36"/>
  <c r="AA7" i="36"/>
  <c r="R36" i="36" s="1"/>
  <c r="R37" i="36" s="1"/>
  <c r="M17" i="15"/>
  <c r="C26" i="71"/>
  <c r="D26" i="71" s="1"/>
  <c r="D27" i="71"/>
  <c r="D56" i="71"/>
  <c r="T56" i="71"/>
  <c r="T40" i="71"/>
  <c r="D40" i="71"/>
  <c r="E363" i="3"/>
  <c r="E192" i="3"/>
  <c r="E56" i="3"/>
  <c r="E435" i="3"/>
  <c r="I3" i="6"/>
  <c r="E541" i="3"/>
  <c r="R6" i="3"/>
  <c r="E199" i="3"/>
  <c r="E510" i="3"/>
  <c r="T52" i="71"/>
  <c r="D52" i="71"/>
  <c r="C36" i="71"/>
  <c r="D35" i="71"/>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C39" i="43"/>
  <c r="C42" i="43"/>
  <c r="E42" i="43" s="1"/>
  <c r="C38" i="43"/>
  <c r="AB10" i="39"/>
  <c r="AA10" i="40"/>
  <c r="U10" i="40"/>
  <c r="W10" i="40"/>
  <c r="AC10" i="39"/>
  <c r="U7" i="37"/>
  <c r="G67" i="39"/>
  <c r="F69" i="39"/>
  <c r="F58" i="21"/>
  <c r="F63" i="40"/>
  <c r="E65" i="40"/>
  <c r="W7" i="33"/>
  <c r="AC7" i="33"/>
  <c r="V48" i="33" s="1"/>
  <c r="I48" i="33" s="1"/>
  <c r="AA7" i="37"/>
  <c r="R42" i="37" s="1"/>
  <c r="S7" i="37"/>
  <c r="S7" i="33"/>
  <c r="AA7" i="33"/>
  <c r="R48" i="33" s="1"/>
  <c r="R50" i="34"/>
  <c r="G53" i="34"/>
  <c r="H53" i="34" s="1"/>
  <c r="G40" i="36"/>
  <c r="H40" i="36" s="1"/>
  <c r="G41" i="36"/>
  <c r="H41" i="36" s="1"/>
  <c r="G46" i="37"/>
  <c r="H46" i="37" s="1"/>
  <c r="I46" i="37"/>
  <c r="J46" i="37" s="1"/>
  <c r="G48" i="35"/>
  <c r="U7" i="33"/>
  <c r="AB7" i="33"/>
  <c r="T48" i="33" s="1"/>
  <c r="G48" i="33" s="1"/>
  <c r="C53" i="67"/>
  <c r="C48" i="67" s="1"/>
  <c r="C10" i="67"/>
  <c r="C5" i="67" s="1"/>
  <c r="C38" i="67" s="1"/>
  <c r="C53" i="15"/>
  <c r="C10" i="15"/>
  <c r="C5" i="15" s="1"/>
  <c r="C38" i="15" s="1"/>
  <c r="F41" i="15"/>
  <c r="M27" i="67"/>
  <c r="M27" i="15"/>
  <c r="B14" i="74" l="1"/>
  <c r="B1" i="74" s="1"/>
  <c r="C48" i="15"/>
  <c r="C66" i="15" s="1"/>
  <c r="E36" i="36"/>
  <c r="E41" i="36" s="1"/>
  <c r="F41" i="36" s="1"/>
  <c r="L18" i="9"/>
  <c r="D14" i="12"/>
  <c r="D17" i="12" s="1"/>
  <c r="C17" i="12" s="1"/>
  <c r="D37" i="11"/>
  <c r="D3" i="37"/>
  <c r="D19" i="11"/>
  <c r="C19" i="11" s="1"/>
  <c r="C20" i="11" s="1"/>
  <c r="D3" i="33"/>
  <c r="D3" i="34"/>
  <c r="AC6" i="3"/>
  <c r="H6" i="3"/>
  <c r="D116" i="43"/>
  <c r="F24" i="67"/>
  <c r="C24" i="67" s="1"/>
  <c r="F24" i="15"/>
  <c r="C24" i="15" s="1"/>
  <c r="F22" i="68"/>
  <c r="F41" i="68" s="1"/>
  <c r="F25" i="12"/>
  <c r="F22" i="69"/>
  <c r="F41" i="69" s="1"/>
  <c r="F22" i="11"/>
  <c r="G54" i="34"/>
  <c r="H54" i="34" s="1"/>
  <c r="T36" i="71"/>
  <c r="D36" i="7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M19" i="9"/>
  <c r="C118" i="9" s="1"/>
  <c r="D26" i="6"/>
  <c r="D8" i="6"/>
  <c r="D14" i="6"/>
  <c r="D6" i="6"/>
  <c r="D9" i="6"/>
  <c r="D10" i="6"/>
  <c r="L19" i="9"/>
  <c r="D29" i="6"/>
  <c r="H24" i="6"/>
  <c r="D19" i="6"/>
  <c r="C18" i="4"/>
  <c r="D23" i="6"/>
  <c r="D5" i="6"/>
  <c r="D12" i="6"/>
  <c r="D11" i="6"/>
  <c r="D13" i="6"/>
  <c r="D28" i="6"/>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I54" i="34"/>
  <c r="J54" i="34" s="1"/>
  <c r="G52" i="33"/>
  <c r="H52" i="33" s="1"/>
  <c r="G53" i="33"/>
  <c r="H53" i="33" s="1"/>
  <c r="H48" i="35"/>
  <c r="C49" i="34"/>
  <c r="C50" i="34"/>
  <c r="I41" i="36"/>
  <c r="J41" i="36" s="1"/>
  <c r="R43" i="37"/>
  <c r="E42" i="37"/>
  <c r="G63" i="40"/>
  <c r="F65" i="40"/>
  <c r="C37" i="36"/>
  <c r="G607" i="80" s="1"/>
  <c r="C36" i="36"/>
  <c r="G58" i="21"/>
  <c r="C66" i="67"/>
  <c r="C60" i="67"/>
  <c r="D10" i="69"/>
  <c r="C34" i="69"/>
  <c r="D10" i="68"/>
  <c r="C14" i="67"/>
  <c r="C17" i="15"/>
  <c r="C17" i="67"/>
  <c r="G608" i="80" l="1"/>
  <c r="H607" i="80"/>
  <c r="D30" i="6"/>
  <c r="C60" i="15"/>
  <c r="C44" i="68"/>
  <c r="D41" i="68" s="1"/>
  <c r="C28" i="11"/>
  <c r="C27" i="11" s="1"/>
  <c r="C14" i="74"/>
  <c r="B2" i="74" s="1"/>
  <c r="H22" i="6"/>
  <c r="R22" i="6" s="1"/>
  <c r="R9" i="1" s="1"/>
  <c r="C26" i="69"/>
  <c r="D22" i="69" s="1"/>
  <c r="H21" i="6"/>
  <c r="R21" i="6" s="1"/>
  <c r="R8" i="1" s="1"/>
  <c r="E6" i="3"/>
  <c r="H25" i="6"/>
  <c r="R25" i="6" s="1"/>
  <c r="R12" i="1" s="1"/>
  <c r="C24" i="11"/>
  <c r="C44" i="69"/>
  <c r="D41" i="69" s="1"/>
  <c r="C16" i="71"/>
  <c r="D17"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C14" i="15"/>
  <c r="B6" i="76"/>
  <c r="G609" i="80" l="1"/>
  <c r="H608" i="80"/>
  <c r="D31" i="6"/>
  <c r="C44" i="11"/>
  <c r="D41" i="11" s="1"/>
  <c r="B23" i="1"/>
  <c r="B24" i="1"/>
  <c r="C29" i="11"/>
  <c r="D27" i="11" s="1"/>
  <c r="C29" i="68"/>
  <c r="D27" i="68" s="1"/>
  <c r="D8" i="74"/>
  <c r="D7" i="74"/>
  <c r="E2" i="70"/>
  <c r="C15" i="71"/>
  <c r="T16" i="71"/>
  <c r="D16" i="71"/>
  <c r="U16" i="71" s="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G610" i="80" l="1"/>
  <c r="H609" i="80"/>
  <c r="M59" i="67"/>
  <c r="M59" i="15"/>
  <c r="C29" i="12"/>
  <c r="D28" i="12" s="1"/>
  <c r="C26" i="12"/>
  <c r="D25" i="12" s="1"/>
  <c r="F34" i="11"/>
  <c r="F11" i="12"/>
  <c r="C14" i="12" s="1"/>
  <c r="C16" i="12" s="1"/>
  <c r="C21" i="12" s="1"/>
  <c r="C22" i="12" s="1"/>
  <c r="F50" i="69"/>
  <c r="F34" i="68"/>
  <c r="F50" i="11"/>
  <c r="F50" i="68"/>
  <c r="C26" i="68"/>
  <c r="D22" i="68" s="1"/>
  <c r="C25" i="11"/>
  <c r="C26" i="11"/>
  <c r="D22" i="11" s="1"/>
  <c r="C23" i="11"/>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H610" i="80" l="1"/>
  <c r="G611" i="80"/>
  <c r="C22" i="11"/>
  <c r="C31" i="11" s="1"/>
  <c r="C36" i="11"/>
  <c r="C37" i="11"/>
  <c r="C34" i="11"/>
  <c r="C36" i="68"/>
  <c r="C34" i="68"/>
  <c r="C37" i="68"/>
  <c r="D14" i="71"/>
  <c r="C13" i="71"/>
  <c r="W7" i="21"/>
  <c r="AA7" i="21"/>
  <c r="R48" i="21" s="1"/>
  <c r="R49" i="21" s="1"/>
  <c r="J7" i="35"/>
  <c r="W7" i="35" s="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15"/>
  <c r="M21" i="15"/>
  <c r="F35" i="67"/>
  <c r="H611" i="80" l="1"/>
  <c r="G612" i="80"/>
  <c r="C35" i="68"/>
  <c r="C38" i="68"/>
  <c r="C38" i="11"/>
  <c r="C35" i="11"/>
  <c r="E48" i="21"/>
  <c r="AC7" i="35"/>
  <c r="V38" i="35" s="1"/>
  <c r="I38" i="35" s="1"/>
  <c r="G43" i="35" s="1"/>
  <c r="H43" i="35" s="1"/>
  <c r="C12" i="71"/>
  <c r="D13" i="7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613" i="80" l="1"/>
  <c r="H612" i="80"/>
  <c r="C33" i="68"/>
  <c r="C39" i="68" s="1"/>
  <c r="C43" i="68" s="1"/>
  <c r="C33" i="11"/>
  <c r="I42" i="35"/>
  <c r="J42" i="35" s="1"/>
  <c r="C11" i="71"/>
  <c r="T12" i="71"/>
  <c r="D12" i="71"/>
  <c r="U12" i="71"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G614" i="80" l="1"/>
  <c r="H613" i="80"/>
  <c r="C42" i="68"/>
  <c r="C41" i="68" s="1"/>
  <c r="C46" i="68"/>
  <c r="C45" i="68" s="1"/>
  <c r="C39" i="11"/>
  <c r="C43" i="11" s="1"/>
  <c r="C42" i="11"/>
  <c r="C10" i="71"/>
  <c r="D11" i="71"/>
  <c r="C80" i="67"/>
  <c r="C79" i="67" s="1"/>
  <c r="C40" i="67"/>
  <c r="C45" i="67"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G615" i="80" l="1"/>
  <c r="H614" i="80"/>
  <c r="C49" i="68"/>
  <c r="C51" i="68" s="1"/>
  <c r="C46" i="11"/>
  <c r="C45" i="11" s="1"/>
  <c r="C41" i="1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G616" i="80" l="1"/>
  <c r="H615" i="80"/>
  <c r="C49" i="11"/>
  <c r="C51" i="11" s="1"/>
  <c r="C52" i="11" s="1"/>
  <c r="B2" i="11" s="1"/>
  <c r="B3" i="11" s="1"/>
  <c r="C8" i="71"/>
  <c r="D9" i="71"/>
  <c r="Q57" i="67"/>
  <c r="Q62" i="67" s="1"/>
  <c r="Q66" i="67"/>
  <c r="Q75" i="67" s="1"/>
  <c r="B3" i="67"/>
  <c r="L57" i="15"/>
  <c r="L60" i="15" s="1"/>
  <c r="Q57" i="15" s="1"/>
  <c r="Q67" i="15"/>
  <c r="B2" i="36"/>
  <c r="B2" i="35"/>
  <c r="M6" i="35" s="1"/>
  <c r="G679" i="80" s="1"/>
  <c r="G680" i="80" s="1"/>
  <c r="G681" i="80" s="1"/>
  <c r="G682" i="80" s="1"/>
  <c r="G683" i="80" s="1"/>
  <c r="G684" i="80" s="1"/>
  <c r="G685" i="80" s="1"/>
  <c r="G686" i="80" s="1"/>
  <c r="G687" i="80" s="1"/>
  <c r="G688" i="80" s="1"/>
  <c r="G689" i="80" s="1"/>
  <c r="G690" i="80" s="1"/>
  <c r="G691" i="80" s="1"/>
  <c r="G692" i="80" s="1"/>
  <c r="G693" i="80" s="1"/>
  <c r="G694" i="80" s="1"/>
  <c r="G695" i="80" s="1"/>
  <c r="G696" i="80" s="1"/>
  <c r="G697" i="80" s="1"/>
  <c r="G698" i="80" s="1"/>
  <c r="G699" i="80" s="1"/>
  <c r="G700" i="80" s="1"/>
  <c r="G701" i="80" s="1"/>
  <c r="G702" i="80" s="1"/>
  <c r="G703" i="80" s="1"/>
  <c r="G704" i="80" s="1"/>
  <c r="G705" i="80" s="1"/>
  <c r="G706" i="80" s="1"/>
  <c r="G707" i="80" s="1"/>
  <c r="G708" i="80" s="1"/>
  <c r="G709" i="80" s="1"/>
  <c r="G710" i="80" s="1"/>
  <c r="G711" i="80" s="1"/>
  <c r="G712" i="80" s="1"/>
  <c r="G713" i="80" s="1"/>
  <c r="G714" i="80" s="1"/>
  <c r="G715" i="80" s="1"/>
  <c r="G716" i="80" s="1"/>
  <c r="G717" i="80" s="1"/>
  <c r="G718" i="80" s="1"/>
  <c r="G719" i="80" s="1"/>
  <c r="G720" i="80" s="1"/>
  <c r="G721" i="80" s="1"/>
  <c r="G722" i="80" s="1"/>
  <c r="G723" i="80" s="1"/>
  <c r="G724" i="80" s="1"/>
  <c r="G725" i="80" s="1"/>
  <c r="G726" i="80" s="1"/>
  <c r="G727" i="80" s="1"/>
  <c r="G728" i="80" s="1"/>
  <c r="G729" i="80" s="1"/>
  <c r="G730" i="80" s="1"/>
  <c r="G731" i="80" s="1"/>
  <c r="G732" i="80" s="1"/>
  <c r="G733" i="80" s="1"/>
  <c r="G734" i="80" s="1"/>
  <c r="G735" i="80" s="1"/>
  <c r="G736" i="80" s="1"/>
  <c r="G737" i="80" s="1"/>
  <c r="G738" i="80" s="1"/>
  <c r="G739" i="80" s="1"/>
  <c r="G740" i="80" s="1"/>
  <c r="G741" i="80" s="1"/>
  <c r="G742" i="80" s="1"/>
  <c r="G743" i="80" s="1"/>
  <c r="G744" i="80" s="1"/>
  <c r="G745" i="80" s="1"/>
  <c r="G746" i="80" s="1"/>
  <c r="G747" i="80" s="1"/>
  <c r="G748" i="80" s="1"/>
  <c r="G749" i="80" s="1"/>
  <c r="G750" i="80" s="1"/>
  <c r="G751" i="80" s="1"/>
  <c r="G752" i="80" s="1"/>
  <c r="G753" i="80" s="1"/>
  <c r="G754" i="80" s="1"/>
  <c r="G755" i="80" s="1"/>
  <c r="G756" i="80" s="1"/>
  <c r="G757" i="80" s="1"/>
  <c r="G758" i="80" s="1"/>
  <c r="G759" i="80" s="1"/>
  <c r="G760" i="80" s="1"/>
  <c r="G761" i="80" s="1"/>
  <c r="G762" i="80" s="1"/>
  <c r="G763" i="80" s="1"/>
  <c r="G764" i="80" s="1"/>
  <c r="G765" i="80" s="1"/>
  <c r="G766" i="80" s="1"/>
  <c r="G767" i="80" s="1"/>
  <c r="G768" i="80" s="1"/>
  <c r="G769" i="80" s="1"/>
  <c r="G770" i="80" s="1"/>
  <c r="G771" i="80" s="1"/>
  <c r="G772" i="80" s="1"/>
  <c r="G773" i="80" s="1"/>
  <c r="G774" i="80" s="1"/>
  <c r="G775" i="80" s="1"/>
  <c r="G776" i="80" s="1"/>
  <c r="G777" i="80" s="1"/>
  <c r="G778" i="80" s="1"/>
  <c r="G779" i="80" s="1"/>
  <c r="G780" i="80" s="1"/>
  <c r="G781" i="80" s="1"/>
  <c r="G782" i="80" s="1"/>
  <c r="G783" i="80" s="1"/>
  <c r="G784" i="80" s="1"/>
  <c r="G785" i="80" s="1"/>
  <c r="G786" i="80" s="1"/>
  <c r="G787" i="80" s="1"/>
  <c r="G788" i="80" s="1"/>
  <c r="G789" i="80" s="1"/>
  <c r="G790" i="80" s="1"/>
  <c r="G791" i="80" s="1"/>
  <c r="G792" i="80" s="1"/>
  <c r="G793" i="80" s="1"/>
  <c r="G794" i="80" s="1"/>
  <c r="G795" i="80" s="1"/>
  <c r="G796" i="80" s="1"/>
  <c r="G797" i="80" s="1"/>
  <c r="G798" i="80" s="1"/>
  <c r="G799" i="80" s="1"/>
  <c r="G800" i="80" s="1"/>
  <c r="G801" i="80" s="1"/>
  <c r="G802" i="80" s="1"/>
  <c r="G803" i="80" s="1"/>
  <c r="G804" i="80" s="1"/>
  <c r="G805" i="80" s="1"/>
  <c r="G806" i="80" s="1"/>
  <c r="G807" i="80" s="1"/>
  <c r="G808" i="80" s="1"/>
  <c r="G809" i="80" s="1"/>
  <c r="G810" i="80" s="1"/>
  <c r="G811" i="80" s="1"/>
  <c r="G812" i="80" s="1"/>
  <c r="G813" i="80" s="1"/>
  <c r="G814" i="80" s="1"/>
  <c r="G815" i="80" s="1"/>
  <c r="G816" i="80" s="1"/>
  <c r="G817" i="80" s="1"/>
  <c r="G818" i="80" s="1"/>
  <c r="G819" i="80" s="1"/>
  <c r="G820" i="80" s="1"/>
  <c r="G821" i="80" s="1"/>
  <c r="G822" i="80" s="1"/>
  <c r="G823" i="80" s="1"/>
  <c r="G824" i="80" s="1"/>
  <c r="G825" i="80" s="1"/>
  <c r="G826" i="80" s="1"/>
  <c r="G827" i="80" s="1"/>
  <c r="G828" i="80" s="1"/>
  <c r="G829" i="80" s="1"/>
  <c r="G830" i="80" s="1"/>
  <c r="G831" i="80" s="1"/>
  <c r="G832" i="80" s="1"/>
  <c r="G833" i="80" s="1"/>
  <c r="G834" i="80" s="1"/>
  <c r="G835" i="80" s="1"/>
  <c r="G836" i="80" s="1"/>
  <c r="G837" i="80" s="1"/>
  <c r="G838" i="80" s="1"/>
  <c r="G839" i="80" s="1"/>
  <c r="G840" i="80" s="1"/>
  <c r="G841" i="80" s="1"/>
  <c r="G842" i="80" s="1"/>
  <c r="G843" i="80" s="1"/>
  <c r="G844" i="80" s="1"/>
  <c r="G845" i="80" s="1"/>
  <c r="G846" i="80" s="1"/>
  <c r="G847" i="80" s="1"/>
  <c r="G848" i="80" s="1"/>
  <c r="G849" i="80" s="1"/>
  <c r="G850" i="80" s="1"/>
  <c r="G851" i="80" s="1"/>
  <c r="G852" i="80" s="1"/>
  <c r="G853" i="80" s="1"/>
  <c r="G854" i="80" s="1"/>
  <c r="G855" i="80" s="1"/>
  <c r="G856" i="80" s="1"/>
  <c r="G857" i="80" s="1"/>
  <c r="G858" i="80" s="1"/>
  <c r="G859" i="80" s="1"/>
  <c r="G860" i="80" s="1"/>
  <c r="G861" i="80" s="1"/>
  <c r="G862" i="80" s="1"/>
  <c r="G863" i="80" s="1"/>
  <c r="G864" i="80" s="1"/>
  <c r="G865" i="80" s="1"/>
  <c r="G866" i="80" s="1"/>
  <c r="G867" i="80" s="1"/>
  <c r="G868" i="80" s="1"/>
  <c r="G869" i="80" s="1"/>
  <c r="G870" i="80" s="1"/>
  <c r="G871" i="80" s="1"/>
  <c r="G872" i="80" s="1"/>
  <c r="G873" i="80" s="1"/>
  <c r="G874" i="80" s="1"/>
  <c r="G875" i="80" s="1"/>
  <c r="G876" i="80" s="1"/>
  <c r="G877" i="80" s="1"/>
  <c r="G878" i="80" s="1"/>
  <c r="G879" i="80" s="1"/>
  <c r="G880" i="80" s="1"/>
  <c r="G881" i="80" s="1"/>
  <c r="G882" i="80" s="1"/>
  <c r="G883" i="80" s="1"/>
  <c r="G884" i="80" s="1"/>
  <c r="G885" i="80" s="1"/>
  <c r="G886" i="80" s="1"/>
  <c r="G887" i="80" s="1"/>
  <c r="G888" i="80" s="1"/>
  <c r="G889" i="80" s="1"/>
  <c r="G890" i="80" s="1"/>
  <c r="G891" i="80" s="1"/>
  <c r="G892" i="80" s="1"/>
  <c r="G893" i="80" s="1"/>
  <c r="G894" i="80" s="1"/>
  <c r="G895" i="80" s="1"/>
  <c r="G896" i="80" s="1"/>
  <c r="G897" i="80" s="1"/>
  <c r="G898" i="80" s="1"/>
  <c r="G899" i="80" s="1"/>
  <c r="G900" i="80" s="1"/>
  <c r="G901" i="80" s="1"/>
  <c r="G902" i="80" s="1"/>
  <c r="G903" i="80" s="1"/>
  <c r="G904" i="80" s="1"/>
  <c r="G905" i="80" s="1"/>
  <c r="G906" i="80" s="1"/>
  <c r="G907" i="80" s="1"/>
  <c r="G908" i="80" s="1"/>
  <c r="G909" i="80" s="1"/>
  <c r="G910" i="80" s="1"/>
  <c r="G911" i="80" s="1"/>
  <c r="G912" i="80" s="1"/>
  <c r="G913" i="80" s="1"/>
  <c r="G914" i="80" s="1"/>
  <c r="G915" i="80" s="1"/>
  <c r="G916" i="80" s="1"/>
  <c r="G917" i="80" s="1"/>
  <c r="G918" i="80" s="1"/>
  <c r="G919" i="80" s="1"/>
  <c r="G920" i="80" s="1"/>
  <c r="G921" i="80" s="1"/>
  <c r="G922" i="80" s="1"/>
  <c r="G923" i="80" s="1"/>
  <c r="G924" i="80" s="1"/>
  <c r="G925" i="80" s="1"/>
  <c r="G926" i="80" s="1"/>
  <c r="G927" i="80" s="1"/>
  <c r="G928" i="80" s="1"/>
  <c r="G929" i="80" s="1"/>
  <c r="G930" i="80" s="1"/>
  <c r="G931" i="80" s="1"/>
  <c r="G932" i="80" s="1"/>
  <c r="G933" i="80" s="1"/>
  <c r="G934" i="80" s="1"/>
  <c r="G935" i="80" s="1"/>
  <c r="G936" i="80" s="1"/>
  <c r="G937" i="80" s="1"/>
  <c r="G938" i="80" s="1"/>
  <c r="G939" i="80" s="1"/>
  <c r="G940" i="80" s="1"/>
  <c r="G941" i="80" s="1"/>
  <c r="G942" i="80" s="1"/>
  <c r="G943" i="80" s="1"/>
  <c r="G944" i="80" s="1"/>
  <c r="G945" i="80" s="1"/>
  <c r="G946" i="80" s="1"/>
  <c r="G947" i="80" s="1"/>
  <c r="G948" i="80" s="1"/>
  <c r="G949" i="80" s="1"/>
  <c r="G950" i="80" s="1"/>
  <c r="G951" i="80" s="1"/>
  <c r="G952" i="80" s="1"/>
  <c r="G953" i="80" s="1"/>
  <c r="G954" i="80" s="1"/>
  <c r="G955" i="80" s="1"/>
  <c r="G956" i="80" s="1"/>
  <c r="G957" i="80" s="1"/>
  <c r="G958" i="80" s="1"/>
  <c r="G959" i="80" s="1"/>
  <c r="G960" i="80" s="1"/>
  <c r="G961" i="80" s="1"/>
  <c r="G962" i="80" s="1"/>
  <c r="G963" i="80" s="1"/>
  <c r="G964" i="80" s="1"/>
  <c r="G965" i="80" s="1"/>
  <c r="G966" i="80" s="1"/>
  <c r="G967" i="80" s="1"/>
  <c r="G968" i="80" s="1"/>
  <c r="G969" i="80" s="1"/>
  <c r="G970" i="80" s="1"/>
  <c r="G971" i="80" s="1"/>
  <c r="G972" i="80" s="1"/>
  <c r="G973" i="80" s="1"/>
  <c r="G974" i="80" s="1"/>
  <c r="G975" i="80" s="1"/>
  <c r="G976" i="80" s="1"/>
  <c r="G977" i="80" s="1"/>
  <c r="G978" i="80" s="1"/>
  <c r="G979" i="80" s="1"/>
  <c r="G980" i="80" s="1"/>
  <c r="G981" i="80" s="1"/>
  <c r="G982" i="80" s="1"/>
  <c r="G983" i="80" s="1"/>
  <c r="G984" i="80" s="1"/>
  <c r="G985" i="80" s="1"/>
  <c r="G986" i="80" s="1"/>
  <c r="G987" i="80" s="1"/>
  <c r="G988" i="80" s="1"/>
  <c r="G989" i="80" s="1"/>
  <c r="G990" i="80" s="1"/>
  <c r="G991" i="80" s="1"/>
  <c r="G992" i="80" s="1"/>
  <c r="G993" i="80" s="1"/>
  <c r="G994" i="80" s="1"/>
  <c r="G995" i="80" s="1"/>
  <c r="G996" i="80" s="1"/>
  <c r="G997" i="80" s="1"/>
  <c r="G998" i="80" s="1"/>
  <c r="G999" i="80" s="1"/>
  <c r="G1000" i="80" s="1"/>
  <c r="G1001" i="80" s="1"/>
  <c r="G1002" i="80" s="1"/>
  <c r="G1003" i="80" s="1"/>
  <c r="G1004" i="80" s="1"/>
  <c r="G1005" i="80" s="1"/>
  <c r="G1006" i="80" s="1"/>
  <c r="G1007" i="80" s="1"/>
  <c r="G1008" i="80" s="1"/>
  <c r="G1009" i="80" s="1"/>
  <c r="G1010" i="80" s="1"/>
  <c r="G1011" i="80" s="1"/>
  <c r="G1012" i="80" s="1"/>
  <c r="G1013" i="80" s="1"/>
  <c r="G1014" i="80" s="1"/>
  <c r="G1015" i="80" s="1"/>
  <c r="G1016" i="80" s="1"/>
  <c r="G1017" i="80" s="1"/>
  <c r="G1018" i="80" s="1"/>
  <c r="G1019" i="80" s="1"/>
  <c r="G1020" i="80" s="1"/>
  <c r="G1021" i="80" s="1"/>
  <c r="G1022" i="80" s="1"/>
  <c r="G1023" i="80" s="1"/>
  <c r="G1024" i="80" s="1"/>
  <c r="G1025" i="80" s="1"/>
  <c r="G1026" i="80" s="1"/>
  <c r="G1027" i="80" s="1"/>
  <c r="G1028" i="80" s="1"/>
  <c r="G1029" i="80" s="1"/>
  <c r="G1030" i="80" s="1"/>
  <c r="G1031" i="80" s="1"/>
  <c r="G1032" i="80" s="1"/>
  <c r="G1033" i="80" s="1"/>
  <c r="G1034" i="80" s="1"/>
  <c r="G1035" i="80" s="1"/>
  <c r="G1036" i="80" s="1"/>
  <c r="G1037" i="80" s="1"/>
  <c r="G1038" i="80" s="1"/>
  <c r="G1039" i="80" s="1"/>
  <c r="G1040" i="80" s="1"/>
  <c r="G1041" i="80" s="1"/>
  <c r="G1042" i="80" s="1"/>
  <c r="G1043" i="80" s="1"/>
  <c r="G1044" i="80" s="1"/>
  <c r="G1045" i="80" s="1"/>
  <c r="G1046" i="80" s="1"/>
  <c r="G1047" i="80" s="1"/>
  <c r="G1048" i="80" s="1"/>
  <c r="G1049" i="80" s="1"/>
  <c r="G1050" i="80" s="1"/>
  <c r="G1051" i="80" s="1"/>
  <c r="G1052" i="80" s="1"/>
  <c r="G1053" i="80" s="1"/>
  <c r="G1054" i="80" s="1"/>
  <c r="G1055" i="80" s="1"/>
  <c r="G1056" i="80" s="1"/>
  <c r="G1057" i="80" s="1"/>
  <c r="G1058" i="80" s="1"/>
  <c r="G1059" i="80" s="1"/>
  <c r="G1060" i="80" s="1"/>
  <c r="G1061" i="80" s="1"/>
  <c r="G1062" i="80" s="1"/>
  <c r="G1063" i="80" s="1"/>
  <c r="G1064" i="80" s="1"/>
  <c r="G1065" i="80" s="1"/>
  <c r="G1066" i="80" s="1"/>
  <c r="G1067" i="80" s="1"/>
  <c r="G1068" i="80" s="1"/>
  <c r="G1069" i="80" s="1"/>
  <c r="G1070" i="80" s="1"/>
  <c r="G1071" i="80" s="1"/>
  <c r="G1072" i="80" s="1"/>
  <c r="G1073" i="80" s="1"/>
  <c r="G1074" i="80" s="1"/>
  <c r="G1075" i="80" s="1"/>
  <c r="G1076" i="80" s="1"/>
  <c r="G1077" i="80" s="1"/>
  <c r="G1078" i="80" s="1"/>
  <c r="G1079" i="80" s="1"/>
  <c r="G1080" i="80" s="1"/>
  <c r="G1081" i="80" s="1"/>
  <c r="G1082" i="80" s="1"/>
  <c r="G1083" i="80" s="1"/>
  <c r="G1084" i="80" s="1"/>
  <c r="G1085" i="80" s="1"/>
  <c r="G1086" i="80" s="1"/>
  <c r="G1087" i="80" s="1"/>
  <c r="G1088" i="80" s="1"/>
  <c r="G1089" i="80" s="1"/>
  <c r="G1090" i="80" s="1"/>
  <c r="G1091" i="80" s="1"/>
  <c r="G1092" i="80" s="1"/>
  <c r="G1093" i="80" s="1"/>
  <c r="G1094" i="80" s="1"/>
  <c r="G1095" i="80" s="1"/>
  <c r="G1096" i="80" s="1"/>
  <c r="G1097" i="80" s="1"/>
  <c r="G1098" i="80" s="1"/>
  <c r="G1099" i="80" s="1"/>
  <c r="G1100" i="80" s="1"/>
  <c r="G1101" i="80" s="1"/>
  <c r="G1102" i="80" s="1"/>
  <c r="G1103" i="80" s="1"/>
  <c r="G1104" i="80" s="1"/>
  <c r="G1105" i="80" s="1"/>
  <c r="G1106" i="80" s="1"/>
  <c r="G1107" i="80" s="1"/>
  <c r="G1108" i="80" s="1"/>
  <c r="G1109" i="80" s="1"/>
  <c r="G1110" i="80" s="1"/>
  <c r="G1111" i="80" s="1"/>
  <c r="G1112" i="80" s="1"/>
  <c r="G1113" i="80" s="1"/>
  <c r="G1114" i="80" s="1"/>
  <c r="G1115" i="80" s="1"/>
  <c r="G1116" i="80" s="1"/>
  <c r="G1117" i="80" s="1"/>
  <c r="G1118" i="80" s="1"/>
  <c r="G1119" i="80" s="1"/>
  <c r="G1120" i="80" s="1"/>
  <c r="G1121" i="80" s="1"/>
  <c r="G1122" i="80" s="1"/>
  <c r="G1123" i="80" s="1"/>
  <c r="G1124" i="80" s="1"/>
  <c r="G1125" i="80" s="1"/>
  <c r="G1126" i="80" s="1"/>
  <c r="G1127" i="80" s="1"/>
  <c r="G1128" i="80" s="1"/>
  <c r="G1129" i="80" s="1"/>
  <c r="G1130" i="80" s="1"/>
  <c r="G1131" i="80" s="1"/>
  <c r="G1132" i="80" s="1"/>
  <c r="G1133" i="80" s="1"/>
  <c r="G1134" i="80" s="1"/>
  <c r="G1135" i="80" s="1"/>
  <c r="G1136" i="80" s="1"/>
  <c r="G1137" i="80" s="1"/>
  <c r="G1138" i="80" s="1"/>
  <c r="G1139" i="80" s="1"/>
  <c r="G1140" i="80" s="1"/>
  <c r="G1141" i="80" s="1"/>
  <c r="G1142" i="80" s="1"/>
  <c r="G1143" i="80" s="1"/>
  <c r="G1144" i="80" s="1"/>
  <c r="G1145" i="80" s="1"/>
  <c r="G1146" i="80" s="1"/>
  <c r="G1147" i="80" s="1"/>
  <c r="G1148" i="80" s="1"/>
  <c r="G1149" i="80" s="1"/>
  <c r="G1150" i="80" s="1"/>
  <c r="G1151" i="80" s="1"/>
  <c r="G1152" i="80" s="1"/>
  <c r="G1153" i="80" s="1"/>
  <c r="G1154" i="80" s="1"/>
  <c r="G1155" i="80" s="1"/>
  <c r="G1156" i="80" s="1"/>
  <c r="G1157" i="80" s="1"/>
  <c r="G1158" i="80" s="1"/>
  <c r="G1159" i="80" s="1"/>
  <c r="G1160" i="80" s="1"/>
  <c r="G1161" i="80" s="1"/>
  <c r="G1162" i="80" s="1"/>
  <c r="G1163" i="80" s="1"/>
  <c r="G1164" i="80" s="1"/>
  <c r="G1165" i="80" s="1"/>
  <c r="G1166" i="80" s="1"/>
  <c r="G1167" i="80" s="1"/>
  <c r="G1168" i="80" s="1"/>
  <c r="G1169" i="80" s="1"/>
  <c r="G1170" i="80" s="1"/>
  <c r="G1171" i="80" s="1"/>
  <c r="G1172" i="80" s="1"/>
  <c r="G1173" i="80" s="1"/>
  <c r="G1174" i="80" s="1"/>
  <c r="G1175" i="80" s="1"/>
  <c r="G1176" i="80" s="1"/>
  <c r="G1177" i="80" s="1"/>
  <c r="G1178" i="80" s="1"/>
  <c r="G1179" i="80" s="1"/>
  <c r="G1180" i="80" s="1"/>
  <c r="G1181" i="80" s="1"/>
  <c r="G1182" i="80" s="1"/>
  <c r="G1183" i="80" s="1"/>
  <c r="G1184" i="80" s="1"/>
  <c r="G1185" i="80" s="1"/>
  <c r="G1186" i="80" s="1"/>
  <c r="G1187" i="80" s="1"/>
  <c r="G1188" i="80" s="1"/>
  <c r="G1189" i="80" s="1"/>
  <c r="G1190" i="80" s="1"/>
  <c r="G1191" i="80" s="1"/>
  <c r="G1192" i="80" s="1"/>
  <c r="G1193" i="80" s="1"/>
  <c r="G1194" i="80" s="1"/>
  <c r="G1195" i="80" s="1"/>
  <c r="G1196" i="80" s="1"/>
  <c r="G1197" i="80" s="1"/>
  <c r="G1198" i="80" s="1"/>
  <c r="G1199" i="80" s="1"/>
  <c r="G1200" i="80" s="1"/>
  <c r="G1201" i="80" s="1"/>
  <c r="G1202" i="80" s="1"/>
  <c r="G1203" i="80" s="1"/>
  <c r="G1204" i="80" s="1"/>
  <c r="G1205" i="80" s="1"/>
  <c r="G1206" i="80" s="1"/>
  <c r="G1207" i="80" s="1"/>
  <c r="G1208" i="80" s="1"/>
  <c r="G1209" i="80" s="1"/>
  <c r="G1210" i="80" s="1"/>
  <c r="G1211" i="80" s="1"/>
  <c r="G1212" i="80" s="1"/>
  <c r="G1213" i="80" s="1"/>
  <c r="G1214" i="80" s="1"/>
  <c r="G1215" i="80" s="1"/>
  <c r="G1216" i="80" s="1"/>
  <c r="G1217" i="80" s="1"/>
  <c r="G1218" i="80" s="1"/>
  <c r="G1219" i="80" s="1"/>
  <c r="G1220" i="80" s="1"/>
  <c r="G1221" i="80" s="1"/>
  <c r="G1222" i="80" s="1"/>
  <c r="G1223" i="80" s="1"/>
  <c r="G1224" i="80" s="1"/>
  <c r="G1225" i="80" s="1"/>
  <c r="G1226" i="80" s="1"/>
  <c r="G1227" i="80" s="1"/>
  <c r="G1228" i="80" s="1"/>
  <c r="G1229" i="80" s="1"/>
  <c r="G1230" i="80" s="1"/>
  <c r="G1231" i="80" s="1"/>
  <c r="G1232" i="80" s="1"/>
  <c r="G1233" i="80" s="1"/>
  <c r="G1234" i="80" s="1"/>
  <c r="G1235" i="80" s="1"/>
  <c r="G1236" i="80" s="1"/>
  <c r="G1237" i="80" s="1"/>
  <c r="G1238" i="80" s="1"/>
  <c r="G1239" i="80" s="1"/>
  <c r="G1240" i="80" s="1"/>
  <c r="G1241" i="80" s="1"/>
  <c r="G1242" i="80" s="1"/>
  <c r="G1243" i="80" s="1"/>
  <c r="G1244" i="80" s="1"/>
  <c r="G1245" i="80" s="1"/>
  <c r="G1246" i="80" s="1"/>
  <c r="G1247" i="80" s="1"/>
  <c r="G1248" i="80" s="1"/>
  <c r="G1249" i="80" s="1"/>
  <c r="G1250" i="80" s="1"/>
  <c r="G1251" i="80" s="1"/>
  <c r="G1252" i="80" s="1"/>
  <c r="G1253" i="80" s="1"/>
  <c r="G1254" i="80" s="1"/>
  <c r="G1255" i="80" s="1"/>
  <c r="G1256" i="80" s="1"/>
  <c r="G1257" i="80" s="1"/>
  <c r="G1258" i="80" s="1"/>
  <c r="G1259" i="80" s="1"/>
  <c r="G1260" i="80" s="1"/>
  <c r="G1261" i="80" s="1"/>
  <c r="G1262" i="80" s="1"/>
  <c r="G1263" i="80" s="1"/>
  <c r="G1264" i="80" s="1"/>
  <c r="G1265" i="80" s="1"/>
  <c r="G1266" i="80" s="1"/>
  <c r="G1267" i="80" s="1"/>
  <c r="G1268" i="80" s="1"/>
  <c r="G1269" i="80" s="1"/>
  <c r="G1270" i="80" s="1"/>
  <c r="G1271" i="80" s="1"/>
  <c r="G1272" i="80" s="1"/>
  <c r="G1273" i="80" s="1"/>
  <c r="G1274" i="80" s="1"/>
  <c r="G1275" i="80" s="1"/>
  <c r="G1276" i="80" s="1"/>
  <c r="G1277" i="80" s="1"/>
  <c r="G1278" i="80" s="1"/>
  <c r="G1279" i="80" s="1"/>
  <c r="G1280" i="80" s="1"/>
  <c r="G1281" i="80" s="1"/>
  <c r="G1282" i="80" s="1"/>
  <c r="G1283" i="80" s="1"/>
  <c r="G1284" i="80" s="1"/>
  <c r="G1285" i="80" s="1"/>
  <c r="G1286" i="80" s="1"/>
  <c r="G1287" i="80" s="1"/>
  <c r="G1288" i="80" s="1"/>
  <c r="G1289" i="80" s="1"/>
  <c r="G1290" i="80" s="1"/>
  <c r="G1291" i="80" s="1"/>
  <c r="G1292" i="80" s="1"/>
  <c r="G1293" i="80" s="1"/>
  <c r="G1294" i="80" s="1"/>
  <c r="G1295" i="80" s="1"/>
  <c r="G1296" i="80" s="1"/>
  <c r="G1297" i="80" s="1"/>
  <c r="G1298" i="80" s="1"/>
  <c r="G1299" i="80" s="1"/>
  <c r="G1300" i="80" s="1"/>
  <c r="G1301" i="80" s="1"/>
  <c r="G1302" i="80" s="1"/>
  <c r="G1303" i="80" s="1"/>
  <c r="G1304" i="80" s="1"/>
  <c r="G1305" i="80" s="1"/>
  <c r="G1306" i="80" s="1"/>
  <c r="G1307" i="80" s="1"/>
  <c r="G1308" i="80" s="1"/>
  <c r="G1309" i="80" s="1"/>
  <c r="G1310" i="80" s="1"/>
  <c r="G1311" i="80" s="1"/>
  <c r="G1312" i="80" s="1"/>
  <c r="G1313" i="80" s="1"/>
  <c r="G1314" i="80" s="1"/>
  <c r="G1315" i="80" s="1"/>
  <c r="G1316" i="80" s="1"/>
  <c r="G1317" i="80" s="1"/>
  <c r="G1318" i="80" s="1"/>
  <c r="G1319" i="80" s="1"/>
  <c r="G1320" i="80" s="1"/>
  <c r="G1321" i="80" s="1"/>
  <c r="G1322" i="80" s="1"/>
  <c r="G1323" i="80" s="1"/>
  <c r="G1324" i="80" s="1"/>
  <c r="G1325" i="80" s="1"/>
  <c r="G1326" i="80" s="1"/>
  <c r="G1327" i="80" s="1"/>
  <c r="G1328" i="80" s="1"/>
  <c r="G1329" i="80" s="1"/>
  <c r="G1330" i="80" s="1"/>
  <c r="G1331" i="80" s="1"/>
  <c r="G1332" i="80" s="1"/>
  <c r="G1333" i="80" s="1"/>
  <c r="G1334" i="80" s="1"/>
  <c r="G1335" i="80" s="1"/>
  <c r="G1336" i="80" s="1"/>
  <c r="G1337" i="80" s="1"/>
  <c r="G1338" i="80" s="1"/>
  <c r="G1339" i="80" s="1"/>
  <c r="G1340" i="80" s="1"/>
  <c r="G1341" i="80" s="1"/>
  <c r="G1342" i="80" s="1"/>
  <c r="G1343" i="80" s="1"/>
  <c r="G1344" i="80" s="1"/>
  <c r="G1345" i="80" s="1"/>
  <c r="G1346" i="80" s="1"/>
  <c r="G1347" i="80" s="1"/>
  <c r="G1348" i="80" s="1"/>
  <c r="G1349" i="80" s="1"/>
  <c r="G1350" i="80" s="1"/>
  <c r="G1351" i="80" s="1"/>
  <c r="G1352" i="80" s="1"/>
  <c r="G1353" i="80" s="1"/>
  <c r="G1354" i="80" s="1"/>
  <c r="G1355" i="80" s="1"/>
  <c r="G1356" i="80" s="1"/>
  <c r="G1357" i="80" s="1"/>
  <c r="G1358" i="80" s="1"/>
  <c r="G1359" i="80" s="1"/>
  <c r="G1360" i="80" s="1"/>
  <c r="G1361" i="80" s="1"/>
  <c r="G1362" i="80" s="1"/>
  <c r="G1363" i="80" s="1"/>
  <c r="G1364" i="80" s="1"/>
  <c r="G1365" i="80" s="1"/>
  <c r="G1366" i="80" s="1"/>
  <c r="G1367" i="80" s="1"/>
  <c r="G1368" i="80" s="1"/>
  <c r="G1369" i="80" s="1"/>
  <c r="G1370" i="80" s="1"/>
  <c r="G1371" i="80" s="1"/>
  <c r="G1372" i="80" s="1"/>
  <c r="G1373" i="80" s="1"/>
  <c r="G1374" i="80" s="1"/>
  <c r="G1375" i="80" s="1"/>
  <c r="G1376" i="80" s="1"/>
  <c r="G1377" i="80" s="1"/>
  <c r="G1378" i="80" s="1"/>
  <c r="G1379" i="80" s="1"/>
  <c r="G1380" i="80" s="1"/>
  <c r="G1381" i="80" s="1"/>
  <c r="G1382" i="80" s="1"/>
  <c r="G1383" i="80" s="1"/>
  <c r="G1384" i="80" s="1"/>
  <c r="G1385" i="80" s="1"/>
  <c r="G1386" i="80" s="1"/>
  <c r="G1387" i="80" s="1"/>
  <c r="G1388" i="80" s="1"/>
  <c r="G1389" i="80" s="1"/>
  <c r="G1390" i="80" s="1"/>
  <c r="G1391" i="80" s="1"/>
  <c r="G1392" i="80" s="1"/>
  <c r="G1393" i="80" s="1"/>
  <c r="G1394" i="80" s="1"/>
  <c r="G1395" i="80" s="1"/>
  <c r="G1396" i="80" s="1"/>
  <c r="G1397" i="80" s="1"/>
  <c r="G1398" i="80" s="1"/>
  <c r="G1399" i="80" s="1"/>
  <c r="G1400" i="80" s="1"/>
  <c r="G1401" i="80" s="1"/>
  <c r="G1402" i="80" s="1"/>
  <c r="G1403" i="80" s="1"/>
  <c r="G1404" i="80" s="1"/>
  <c r="G1405" i="80" s="1"/>
  <c r="G1406" i="80" s="1"/>
  <c r="G1407" i="80" s="1"/>
  <c r="G1408" i="80" s="1"/>
  <c r="G1409" i="80" s="1"/>
  <c r="G1410" i="80" s="1"/>
  <c r="G1411" i="80" s="1"/>
  <c r="G1412" i="80" s="1"/>
  <c r="G1413" i="80" s="1"/>
  <c r="G1414" i="80" s="1"/>
  <c r="G1415" i="80" s="1"/>
  <c r="G1416" i="80" s="1"/>
  <c r="G1417" i="80" s="1"/>
  <c r="G1418" i="80" s="1"/>
  <c r="G1419" i="80" s="1"/>
  <c r="G1420" i="80" s="1"/>
  <c r="G1421" i="80" s="1"/>
  <c r="G1422" i="80" s="1"/>
  <c r="G1423" i="80" s="1"/>
  <c r="G1424" i="80" s="1"/>
  <c r="G1425" i="80" s="1"/>
  <c r="G1426" i="80" s="1"/>
  <c r="G1427" i="80" s="1"/>
  <c r="G1428" i="80" s="1"/>
  <c r="G1429" i="80" s="1"/>
  <c r="G1430" i="80" s="1"/>
  <c r="G1431" i="80" s="1"/>
  <c r="G1432" i="80" s="1"/>
  <c r="G1433" i="80" s="1"/>
  <c r="G1434" i="80" s="1"/>
  <c r="G1435" i="80" s="1"/>
  <c r="G1436" i="80" s="1"/>
  <c r="G1437" i="80" s="1"/>
  <c r="G1438" i="80" s="1"/>
  <c r="G1439" i="80" s="1"/>
  <c r="G1440" i="80" s="1"/>
  <c r="G1441" i="80" s="1"/>
  <c r="G1442" i="80" s="1"/>
  <c r="G1443" i="80" s="1"/>
  <c r="G1444" i="80" s="1"/>
  <c r="G1445" i="80" s="1"/>
  <c r="G1446" i="80" s="1"/>
  <c r="G1447" i="80" s="1"/>
  <c r="G1448" i="80" s="1"/>
  <c r="G1449" i="80" s="1"/>
  <c r="G1450" i="80" s="1"/>
  <c r="G1451" i="80" s="1"/>
  <c r="G1452" i="80" s="1"/>
  <c r="G1453" i="80" s="1"/>
  <c r="G1454" i="80" s="1"/>
  <c r="G1455" i="80" s="1"/>
  <c r="G1456" i="80" s="1"/>
  <c r="G1457" i="80" s="1"/>
  <c r="G1458" i="80" s="1"/>
  <c r="G1459" i="80" s="1"/>
  <c r="G1460" i="80" s="1"/>
  <c r="G1461" i="80" s="1"/>
  <c r="G1462" i="80" s="1"/>
  <c r="G1463" i="80" s="1"/>
  <c r="G1464" i="80" s="1"/>
  <c r="G1465" i="80" s="1"/>
  <c r="G1466" i="80" s="1"/>
  <c r="G1467" i="80" s="1"/>
  <c r="G1468" i="80" s="1"/>
  <c r="G1469" i="80" s="1"/>
  <c r="G1470" i="80" s="1"/>
  <c r="G1471" i="80" s="1"/>
  <c r="G1472" i="80" s="1"/>
  <c r="G1473" i="80" s="1"/>
  <c r="G1474" i="80"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2" i="1"/>
  <c r="AO9" i="1"/>
  <c r="AO8" i="1"/>
  <c r="AO6" i="1"/>
  <c r="AO11" i="1"/>
  <c r="AO10" i="1"/>
  <c r="G617" i="80" l="1"/>
  <c r="H616" i="80"/>
  <c r="K609" i="80"/>
  <c r="L609" i="80" s="1"/>
  <c r="C56" i="11"/>
  <c r="C57" i="11" s="1"/>
  <c r="B3" i="36"/>
  <c r="D6" i="12" s="1"/>
  <c r="D8" i="12"/>
  <c r="B3" i="35"/>
  <c r="E679" i="80" s="1"/>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G618" i="80"/>
  <c r="H617" i="80"/>
  <c r="F679" i="80"/>
  <c r="E680" i="80"/>
  <c r="E6" i="12"/>
  <c r="U22" i="31"/>
  <c r="W22" i="31" s="1"/>
  <c r="R24" i="31" s="1"/>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619" i="80" l="1"/>
  <c r="H618" i="80"/>
  <c r="F680" i="80"/>
  <c r="E681" i="80"/>
  <c r="R739" i="31"/>
  <c r="S739" i="31" s="1"/>
  <c r="R816" i="31"/>
  <c r="S816" i="31" s="1"/>
  <c r="R803" i="31"/>
  <c r="S803" i="31" s="1"/>
  <c r="R799" i="31"/>
  <c r="S799" i="31" s="1"/>
  <c r="R795" i="31"/>
  <c r="S795" i="31" s="1"/>
  <c r="R714" i="31"/>
  <c r="S714" i="31" s="1"/>
  <c r="R698" i="31"/>
  <c r="S698" i="31" s="1"/>
  <c r="R775" i="31"/>
  <c r="S775" i="31" s="1"/>
  <c r="R767" i="31"/>
  <c r="S767" i="31" s="1"/>
  <c r="R759" i="31"/>
  <c r="S759" i="31" s="1"/>
  <c r="R745" i="31"/>
  <c r="S745" i="31" s="1"/>
  <c r="R713" i="31"/>
  <c r="S713" i="31" s="1"/>
  <c r="R716" i="31"/>
  <c r="S716" i="31" s="1"/>
  <c r="R700" i="31"/>
  <c r="S700" i="31" s="1"/>
  <c r="R812" i="31"/>
  <c r="S812" i="31" s="1"/>
  <c r="R808" i="31"/>
  <c r="S808" i="31" s="1"/>
  <c r="R793" i="31"/>
  <c r="S793" i="31" s="1"/>
  <c r="R788" i="31"/>
  <c r="S788" i="31" s="1"/>
  <c r="R784" i="31"/>
  <c r="S784" i="31" s="1"/>
  <c r="R778" i="31"/>
  <c r="S778" i="31" s="1"/>
  <c r="R770" i="31"/>
  <c r="S770" i="31" s="1"/>
  <c r="R762" i="31"/>
  <c r="S762" i="31" s="1"/>
  <c r="R751" i="31"/>
  <c r="S751" i="31" s="1"/>
  <c r="R711" i="31"/>
  <c r="S711" i="31" s="1"/>
  <c r="R693" i="31"/>
  <c r="S693" i="31" s="1"/>
  <c r="R587" i="31"/>
  <c r="S587" i="31" s="1"/>
  <c r="R559" i="31"/>
  <c r="S559" i="31" s="1"/>
  <c r="R699" i="31"/>
  <c r="S699" i="31" s="1"/>
  <c r="R653" i="31"/>
  <c r="S653" i="31" s="1"/>
  <c r="R637" i="31"/>
  <c r="S637" i="31" s="1"/>
  <c r="R621" i="31"/>
  <c r="S621" i="31" s="1"/>
  <c r="R605" i="31"/>
  <c r="S605" i="31" s="1"/>
  <c r="R573" i="31"/>
  <c r="S573" i="31" s="1"/>
  <c r="R557" i="31"/>
  <c r="S557" i="31" s="1"/>
  <c r="R553" i="31"/>
  <c r="S553" i="31" s="1"/>
  <c r="R549" i="31"/>
  <c r="S549" i="31" s="1"/>
  <c r="R545" i="31"/>
  <c r="S545" i="31" s="1"/>
  <c r="R541" i="31"/>
  <c r="S541" i="31" s="1"/>
  <c r="R537" i="31"/>
  <c r="S537" i="31" s="1"/>
  <c r="R533" i="31"/>
  <c r="S533" i="31" s="1"/>
  <c r="R529" i="31"/>
  <c r="S529" i="31" s="1"/>
  <c r="R525" i="31"/>
  <c r="S525" i="31" s="1"/>
  <c r="R729" i="31"/>
  <c r="S729" i="31" s="1"/>
  <c r="R752" i="31"/>
  <c r="S752" i="31" s="1"/>
  <c r="R727" i="31"/>
  <c r="S727" i="31" s="1"/>
  <c r="R746" i="31"/>
  <c r="S746" i="31" s="1"/>
  <c r="R722" i="31"/>
  <c r="S722" i="31" s="1"/>
  <c r="R731" i="31"/>
  <c r="S731" i="31" s="1"/>
  <c r="R694" i="31"/>
  <c r="S694" i="31" s="1"/>
  <c r="R669" i="31"/>
  <c r="S669" i="31" s="1"/>
  <c r="R646" i="31"/>
  <c r="S646" i="31" s="1"/>
  <c r="R614" i="31"/>
  <c r="S614" i="31" s="1"/>
  <c r="R582" i="31"/>
  <c r="S582" i="31" s="1"/>
  <c r="R689" i="31"/>
  <c r="S689" i="31" s="1"/>
  <c r="R819" i="31"/>
  <c r="S819" i="31" s="1"/>
  <c r="R815" i="31"/>
  <c r="S815" i="31" s="1"/>
  <c r="R802" i="31"/>
  <c r="S802" i="31" s="1"/>
  <c r="R798" i="31"/>
  <c r="S798" i="31" s="1"/>
  <c r="R794" i="31"/>
  <c r="S794" i="31" s="1"/>
  <c r="R710" i="31"/>
  <c r="S710" i="31" s="1"/>
  <c r="R781" i="31"/>
  <c r="S781" i="31" s="1"/>
  <c r="R773" i="31"/>
  <c r="S773" i="31" s="1"/>
  <c r="R765" i="31"/>
  <c r="S765" i="31" s="1"/>
  <c r="R757" i="31"/>
  <c r="S757" i="31" s="1"/>
  <c r="R743" i="31"/>
  <c r="S743" i="31" s="1"/>
  <c r="R709" i="31"/>
  <c r="S709" i="31" s="1"/>
  <c r="R712" i="31"/>
  <c r="S712" i="31" s="1"/>
  <c r="R696" i="31"/>
  <c r="S696" i="31" s="1"/>
  <c r="R811" i="31"/>
  <c r="S811" i="31" s="1"/>
  <c r="R807" i="31"/>
  <c r="S807" i="31" s="1"/>
  <c r="R791" i="31"/>
  <c r="S791" i="31" s="1"/>
  <c r="R787" i="31"/>
  <c r="S787" i="31" s="1"/>
  <c r="R783" i="31"/>
  <c r="S783" i="31" s="1"/>
  <c r="R776" i="31"/>
  <c r="S776" i="31" s="1"/>
  <c r="R768" i="31"/>
  <c r="S768" i="31" s="1"/>
  <c r="R760" i="31"/>
  <c r="S760" i="31" s="1"/>
  <c r="R747" i="31"/>
  <c r="S747" i="31" s="1"/>
  <c r="R707" i="31"/>
  <c r="S707" i="31" s="1"/>
  <c r="R691" i="31"/>
  <c r="S691" i="31" s="1"/>
  <c r="R579" i="31"/>
  <c r="S579" i="31" s="1"/>
  <c r="R685" i="31"/>
  <c r="S685" i="31" s="1"/>
  <c r="R697" i="31"/>
  <c r="S697" i="31" s="1"/>
  <c r="R651" i="31"/>
  <c r="S651" i="31" s="1"/>
  <c r="R635" i="31"/>
  <c r="S635" i="31" s="1"/>
  <c r="R619" i="31"/>
  <c r="S619" i="31" s="1"/>
  <c r="R597" i="31"/>
  <c r="S597" i="31" s="1"/>
  <c r="R565" i="31"/>
  <c r="S565" i="31" s="1"/>
  <c r="R556" i="31"/>
  <c r="S556" i="31" s="1"/>
  <c r="R552" i="31"/>
  <c r="S552" i="31" s="1"/>
  <c r="R548" i="31"/>
  <c r="S548" i="31" s="1"/>
  <c r="R544" i="31"/>
  <c r="S544" i="31" s="1"/>
  <c r="R540" i="31"/>
  <c r="S540" i="31" s="1"/>
  <c r="R536" i="31"/>
  <c r="S536" i="31" s="1"/>
  <c r="R532" i="31"/>
  <c r="S532" i="31" s="1"/>
  <c r="R528" i="31"/>
  <c r="S528" i="31" s="1"/>
  <c r="R726" i="31"/>
  <c r="S726" i="31" s="1"/>
  <c r="R744" i="31"/>
  <c r="S744" i="31" s="1"/>
  <c r="R724" i="31"/>
  <c r="S724" i="31" s="1"/>
  <c r="R738" i="31"/>
  <c r="S738" i="31" s="1"/>
  <c r="R748" i="31"/>
  <c r="S748" i="31" s="1"/>
  <c r="R728" i="31"/>
  <c r="S728" i="31" s="1"/>
  <c r="R686" i="31"/>
  <c r="S686" i="31" s="1"/>
  <c r="R665" i="31"/>
  <c r="S665" i="31" s="1"/>
  <c r="R638" i="31"/>
  <c r="S638" i="31" s="1"/>
  <c r="R606" i="31"/>
  <c r="S606" i="31" s="1"/>
  <c r="R574" i="31"/>
  <c r="S574" i="31" s="1"/>
  <c r="R676" i="31"/>
  <c r="S676" i="31" s="1"/>
  <c r="R660" i="31"/>
  <c r="S660" i="31" s="1"/>
  <c r="R628" i="31"/>
  <c r="S628" i="31" s="1"/>
  <c r="R596" i="31"/>
  <c r="S596" i="31" s="1"/>
  <c r="R564" i="31"/>
  <c r="S564" i="31" s="1"/>
  <c r="R675" i="31"/>
  <c r="S675" i="31" s="1"/>
  <c r="R658" i="31"/>
  <c r="S658" i="31" s="1"/>
  <c r="R642" i="31"/>
  <c r="S642" i="31" s="1"/>
  <c r="R626" i="31"/>
  <c r="S626" i="31" s="1"/>
  <c r="R610" i="31"/>
  <c r="S610" i="31" s="1"/>
  <c r="R594" i="31"/>
  <c r="S594" i="31" s="1"/>
  <c r="R578" i="31"/>
  <c r="S578" i="31" s="1"/>
  <c r="R562" i="31"/>
  <c r="S562" i="31" s="1"/>
  <c r="R674" i="31"/>
  <c r="S674" i="31" s="1"/>
  <c r="R656" i="31"/>
  <c r="S656" i="31" s="1"/>
  <c r="R640" i="31"/>
  <c r="S640" i="31" s="1"/>
  <c r="R624" i="31"/>
  <c r="S624" i="31" s="1"/>
  <c r="R608" i="31"/>
  <c r="S608" i="31" s="1"/>
  <c r="R592" i="31"/>
  <c r="S592" i="31" s="1"/>
  <c r="R576" i="31"/>
  <c r="S576" i="31" s="1"/>
  <c r="R695" i="31"/>
  <c r="S695" i="31" s="1"/>
  <c r="R555" i="31"/>
  <c r="S555" i="31" s="1"/>
  <c r="R543" i="31"/>
  <c r="S543" i="31" s="1"/>
  <c r="R535" i="31"/>
  <c r="S535" i="31" s="1"/>
  <c r="R527" i="31"/>
  <c r="S527" i="31" s="1"/>
  <c r="R721" i="31"/>
  <c r="S721" i="31" s="1"/>
  <c r="R719" i="31"/>
  <c r="S719" i="31" s="1"/>
  <c r="R730" i="31"/>
  <c r="S730" i="31" s="1"/>
  <c r="R723" i="31"/>
  <c r="S723" i="31" s="1"/>
  <c r="R661" i="31"/>
  <c r="S661" i="31" s="1"/>
  <c r="R749" i="31"/>
  <c r="S749" i="31" s="1"/>
  <c r="R681" i="31"/>
  <c r="S681" i="31" s="1"/>
  <c r="R818" i="31"/>
  <c r="S818" i="31" s="1"/>
  <c r="R814" i="31"/>
  <c r="S814" i="31" s="1"/>
  <c r="R801" i="31"/>
  <c r="S801" i="31" s="1"/>
  <c r="R797" i="31"/>
  <c r="S797" i="31" s="1"/>
  <c r="R792" i="31"/>
  <c r="S792" i="31" s="1"/>
  <c r="R706" i="31"/>
  <c r="S706" i="31" s="1"/>
  <c r="R779" i="31"/>
  <c r="S779" i="31" s="1"/>
  <c r="R771" i="31"/>
  <c r="S771" i="31" s="1"/>
  <c r="R763" i="31"/>
  <c r="S763" i="31" s="1"/>
  <c r="R755" i="31"/>
  <c r="S755" i="31" s="1"/>
  <c r="R733" i="31"/>
  <c r="S733" i="31" s="1"/>
  <c r="R705" i="31"/>
  <c r="S705" i="31" s="1"/>
  <c r="R708" i="31"/>
  <c r="S708" i="31" s="1"/>
  <c r="R810" i="31"/>
  <c r="S810" i="31" s="1"/>
  <c r="R806" i="31"/>
  <c r="S806" i="31" s="1"/>
  <c r="R790" i="31"/>
  <c r="S790" i="31" s="1"/>
  <c r="R786" i="31"/>
  <c r="S786" i="31" s="1"/>
  <c r="R782" i="31"/>
  <c r="S782" i="31" s="1"/>
  <c r="R774" i="31"/>
  <c r="S774" i="31" s="1"/>
  <c r="R766" i="31"/>
  <c r="S766" i="31" s="1"/>
  <c r="R758" i="31"/>
  <c r="S758" i="31" s="1"/>
  <c r="R741" i="31"/>
  <c r="S741" i="31" s="1"/>
  <c r="R703" i="31"/>
  <c r="S703" i="31" s="1"/>
  <c r="R603" i="31"/>
  <c r="S603" i="31" s="1"/>
  <c r="R571" i="31"/>
  <c r="S571" i="31" s="1"/>
  <c r="R683" i="31"/>
  <c r="S683" i="31" s="1"/>
  <c r="R645" i="31"/>
  <c r="S645" i="31" s="1"/>
  <c r="R629" i="31"/>
  <c r="S629" i="31" s="1"/>
  <c r="R613" i="31"/>
  <c r="S613" i="31" s="1"/>
  <c r="R589" i="31"/>
  <c r="S589" i="31" s="1"/>
  <c r="R561" i="31"/>
  <c r="S561" i="31" s="1"/>
  <c r="R551" i="31"/>
  <c r="S551" i="31" s="1"/>
  <c r="R547" i="31"/>
  <c r="S547" i="31" s="1"/>
  <c r="R539" i="31"/>
  <c r="S539" i="31" s="1"/>
  <c r="R531" i="31"/>
  <c r="S531" i="31" s="1"/>
  <c r="R750" i="31"/>
  <c r="S750" i="31" s="1"/>
  <c r="R736" i="31"/>
  <c r="S736" i="31" s="1"/>
  <c r="R740" i="31"/>
  <c r="S740" i="31" s="1"/>
  <c r="R677" i="31"/>
  <c r="S677" i="31" s="1"/>
  <c r="R630" i="31"/>
  <c r="S630" i="31" s="1"/>
  <c r="R735" i="31"/>
  <c r="S735" i="31" s="1"/>
  <c r="R817" i="31"/>
  <c r="S817" i="31" s="1"/>
  <c r="R804" i="31"/>
  <c r="S804" i="31" s="1"/>
  <c r="R800" i="31"/>
  <c r="S800" i="31" s="1"/>
  <c r="R796" i="31"/>
  <c r="S796" i="31" s="1"/>
  <c r="R737" i="31"/>
  <c r="S737" i="31" s="1"/>
  <c r="R702" i="31"/>
  <c r="S702" i="31" s="1"/>
  <c r="R777" i="31"/>
  <c r="S777" i="31" s="1"/>
  <c r="R769" i="31"/>
  <c r="S769" i="31" s="1"/>
  <c r="R761" i="31"/>
  <c r="S761" i="31" s="1"/>
  <c r="R753" i="31"/>
  <c r="S753" i="31" s="1"/>
  <c r="R717" i="31"/>
  <c r="S717" i="31" s="1"/>
  <c r="R701" i="31"/>
  <c r="S701" i="31" s="1"/>
  <c r="R704" i="31"/>
  <c r="S704" i="31" s="1"/>
  <c r="R813" i="31"/>
  <c r="S813" i="31" s="1"/>
  <c r="R809" i="31"/>
  <c r="S809" i="31" s="1"/>
  <c r="R805" i="31"/>
  <c r="S805" i="31" s="1"/>
  <c r="R789" i="31"/>
  <c r="S789" i="31" s="1"/>
  <c r="R785" i="31"/>
  <c r="S785" i="31" s="1"/>
  <c r="R780" i="31"/>
  <c r="S780" i="31" s="1"/>
  <c r="R772" i="31"/>
  <c r="S772" i="31" s="1"/>
  <c r="R764" i="31"/>
  <c r="S764" i="31" s="1"/>
  <c r="R756" i="31"/>
  <c r="S756" i="31" s="1"/>
  <c r="R715" i="31"/>
  <c r="S715" i="31" s="1"/>
  <c r="R687" i="31"/>
  <c r="S687" i="31" s="1"/>
  <c r="R595" i="31"/>
  <c r="S595" i="31" s="1"/>
  <c r="R563" i="31"/>
  <c r="S563" i="31" s="1"/>
  <c r="R560" i="31"/>
  <c r="S560" i="31" s="1"/>
  <c r="R659" i="31"/>
  <c r="S659" i="31" s="1"/>
  <c r="R643" i="31"/>
  <c r="S643" i="31" s="1"/>
  <c r="R627" i="31"/>
  <c r="S627" i="31" s="1"/>
  <c r="R611" i="31"/>
  <c r="S611" i="31" s="1"/>
  <c r="R581" i="31"/>
  <c r="S581" i="31" s="1"/>
  <c r="R558" i="31"/>
  <c r="S558" i="31" s="1"/>
  <c r="R554" i="31"/>
  <c r="S554" i="31" s="1"/>
  <c r="R550" i="31"/>
  <c r="S550" i="31" s="1"/>
  <c r="R546" i="31"/>
  <c r="S546" i="31" s="1"/>
  <c r="R542" i="31"/>
  <c r="S542" i="31" s="1"/>
  <c r="R538" i="31"/>
  <c r="S538" i="31" s="1"/>
  <c r="R742" i="31"/>
  <c r="S742" i="31" s="1"/>
  <c r="R725" i="31"/>
  <c r="S725" i="31" s="1"/>
  <c r="R654" i="31"/>
  <c r="S654" i="31" s="1"/>
  <c r="R566" i="31"/>
  <c r="S566" i="31" s="1"/>
  <c r="R668" i="31"/>
  <c r="S668" i="31" s="1"/>
  <c r="R636" i="31"/>
  <c r="S636" i="31" s="1"/>
  <c r="R588" i="31"/>
  <c r="S588" i="31" s="1"/>
  <c r="R682" i="31"/>
  <c r="S682" i="31" s="1"/>
  <c r="R663" i="31"/>
  <c r="S663" i="31" s="1"/>
  <c r="R641" i="31"/>
  <c r="S641" i="31" s="1"/>
  <c r="R618" i="31"/>
  <c r="S618" i="31" s="1"/>
  <c r="R601" i="31"/>
  <c r="S601" i="31" s="1"/>
  <c r="R577" i="31"/>
  <c r="S577" i="31" s="1"/>
  <c r="R684" i="31"/>
  <c r="S684" i="31" s="1"/>
  <c r="R662" i="31"/>
  <c r="S662" i="31" s="1"/>
  <c r="R639" i="31"/>
  <c r="S639" i="31" s="1"/>
  <c r="R616" i="31"/>
  <c r="S616" i="31" s="1"/>
  <c r="R599" i="31"/>
  <c r="S599" i="31" s="1"/>
  <c r="R575" i="31"/>
  <c r="S575" i="31" s="1"/>
  <c r="R671" i="31"/>
  <c r="S671" i="31" s="1"/>
  <c r="R586" i="31"/>
  <c r="S586" i="31" s="1"/>
  <c r="R648" i="31"/>
  <c r="S648" i="31" s="1"/>
  <c r="R607" i="31"/>
  <c r="S607" i="31" s="1"/>
  <c r="R534" i="31"/>
  <c r="S534" i="31" s="1"/>
  <c r="R718" i="31"/>
  <c r="S718" i="31" s="1"/>
  <c r="R734" i="31"/>
  <c r="S734" i="31" s="1"/>
  <c r="R622" i="31"/>
  <c r="S622" i="31" s="1"/>
  <c r="R688" i="31"/>
  <c r="S688" i="31" s="1"/>
  <c r="R664" i="31"/>
  <c r="S664" i="31" s="1"/>
  <c r="R620" i="31"/>
  <c r="S620" i="31" s="1"/>
  <c r="R580" i="31"/>
  <c r="S580" i="31" s="1"/>
  <c r="R679" i="31"/>
  <c r="S679" i="31" s="1"/>
  <c r="R657" i="31"/>
  <c r="S657" i="31" s="1"/>
  <c r="R634" i="31"/>
  <c r="S634" i="31" s="1"/>
  <c r="R617" i="31"/>
  <c r="S617" i="31" s="1"/>
  <c r="R593" i="31"/>
  <c r="S593" i="31" s="1"/>
  <c r="R570" i="31"/>
  <c r="S570" i="31" s="1"/>
  <c r="R678" i="31"/>
  <c r="S678" i="31" s="1"/>
  <c r="R655" i="31"/>
  <c r="S655" i="31" s="1"/>
  <c r="R632" i="31"/>
  <c r="S632" i="31" s="1"/>
  <c r="R615" i="31"/>
  <c r="S615" i="31" s="1"/>
  <c r="R591" i="31"/>
  <c r="S591" i="31" s="1"/>
  <c r="R568" i="31"/>
  <c r="S568" i="31" s="1"/>
  <c r="R670" i="31"/>
  <c r="S670" i="31" s="1"/>
  <c r="R567" i="31"/>
  <c r="S567" i="31" s="1"/>
  <c r="R530" i="31"/>
  <c r="S530" i="31" s="1"/>
  <c r="R732" i="31"/>
  <c r="S732" i="31" s="1"/>
  <c r="R720" i="31"/>
  <c r="S720" i="31" s="1"/>
  <c r="R598" i="31"/>
  <c r="S598" i="31" s="1"/>
  <c r="R680" i="31"/>
  <c r="S680" i="31" s="1"/>
  <c r="R652" i="31"/>
  <c r="S652" i="31" s="1"/>
  <c r="R612" i="31"/>
  <c r="S612" i="31" s="1"/>
  <c r="R572" i="31"/>
  <c r="S572" i="31" s="1"/>
  <c r="R650" i="31"/>
  <c r="S650" i="31" s="1"/>
  <c r="R633" i="31"/>
  <c r="S633" i="31" s="1"/>
  <c r="R609" i="31"/>
  <c r="S609" i="31" s="1"/>
  <c r="R569" i="31"/>
  <c r="S569" i="31" s="1"/>
  <c r="R631" i="31"/>
  <c r="S631" i="31" s="1"/>
  <c r="R584" i="31"/>
  <c r="S584" i="31" s="1"/>
  <c r="R526" i="31"/>
  <c r="S526" i="31" s="1"/>
  <c r="R754" i="31"/>
  <c r="S754" i="31" s="1"/>
  <c r="R673" i="31"/>
  <c r="S673" i="31" s="1"/>
  <c r="R590" i="31"/>
  <c r="S590" i="31" s="1"/>
  <c r="R672" i="31"/>
  <c r="S672" i="31" s="1"/>
  <c r="R644" i="31"/>
  <c r="S644" i="31" s="1"/>
  <c r="R604" i="31"/>
  <c r="S604" i="31" s="1"/>
  <c r="R690" i="31"/>
  <c r="S690" i="31" s="1"/>
  <c r="R667" i="31"/>
  <c r="S667" i="31" s="1"/>
  <c r="R649" i="31"/>
  <c r="S649" i="31" s="1"/>
  <c r="R625" i="31"/>
  <c r="S625" i="31" s="1"/>
  <c r="R602" i="31"/>
  <c r="S602" i="31" s="1"/>
  <c r="R585" i="31"/>
  <c r="S585" i="31" s="1"/>
  <c r="R692" i="31"/>
  <c r="S692" i="31" s="1"/>
  <c r="R666" i="31"/>
  <c r="S666" i="31" s="1"/>
  <c r="R647" i="31"/>
  <c r="S647" i="31" s="1"/>
  <c r="R623" i="31"/>
  <c r="S623" i="31" s="1"/>
  <c r="R600" i="31"/>
  <c r="S600" i="31" s="1"/>
  <c r="R583" i="31"/>
  <c r="S583" i="31" s="1"/>
  <c r="S24" i="31"/>
  <c r="R518" i="31"/>
  <c r="S518" i="31" s="1"/>
  <c r="R502" i="31"/>
  <c r="S502" i="31" s="1"/>
  <c r="R486" i="31"/>
  <c r="S486" i="31" s="1"/>
  <c r="R470" i="31"/>
  <c r="S470" i="31" s="1"/>
  <c r="R454" i="31"/>
  <c r="S454" i="31" s="1"/>
  <c r="R438" i="31"/>
  <c r="S438" i="31" s="1"/>
  <c r="R422" i="31"/>
  <c r="S422" i="31" s="1"/>
  <c r="R406" i="31"/>
  <c r="S406" i="31" s="1"/>
  <c r="R390" i="31"/>
  <c r="S390" i="31" s="1"/>
  <c r="R374" i="31"/>
  <c r="S374" i="31" s="1"/>
  <c r="R358" i="31"/>
  <c r="S358" i="31" s="1"/>
  <c r="R342" i="31"/>
  <c r="S342" i="31" s="1"/>
  <c r="R326" i="31"/>
  <c r="S326" i="31" s="1"/>
  <c r="R310" i="31"/>
  <c r="S310" i="31" s="1"/>
  <c r="R294" i="31"/>
  <c r="S294" i="31" s="1"/>
  <c r="R278" i="31"/>
  <c r="S278" i="31" s="1"/>
  <c r="R262" i="31"/>
  <c r="S262" i="31" s="1"/>
  <c r="R246" i="31"/>
  <c r="S246" i="31" s="1"/>
  <c r="R230" i="31"/>
  <c r="S230" i="31" s="1"/>
  <c r="R214" i="31"/>
  <c r="S214" i="31" s="1"/>
  <c r="R198" i="31"/>
  <c r="S198" i="31" s="1"/>
  <c r="R182" i="31"/>
  <c r="S182" i="31" s="1"/>
  <c r="R509" i="31"/>
  <c r="S509" i="31" s="1"/>
  <c r="R493" i="31"/>
  <c r="S493" i="31" s="1"/>
  <c r="R477" i="31"/>
  <c r="S477" i="31" s="1"/>
  <c r="R461" i="31"/>
  <c r="S461" i="31" s="1"/>
  <c r="R445" i="31"/>
  <c r="S445" i="31" s="1"/>
  <c r="R429" i="31"/>
  <c r="S429" i="31" s="1"/>
  <c r="R413" i="31"/>
  <c r="S413" i="31" s="1"/>
  <c r="R397" i="31"/>
  <c r="S397" i="31" s="1"/>
  <c r="R381" i="31"/>
  <c r="S381" i="31" s="1"/>
  <c r="R365" i="31"/>
  <c r="S365" i="31" s="1"/>
  <c r="R349" i="31"/>
  <c r="S349" i="31" s="1"/>
  <c r="R333" i="31"/>
  <c r="S333" i="31" s="1"/>
  <c r="R317" i="31"/>
  <c r="S317" i="31" s="1"/>
  <c r="R301" i="31"/>
  <c r="S301" i="31" s="1"/>
  <c r="R285" i="31"/>
  <c r="S285" i="31" s="1"/>
  <c r="R269" i="31"/>
  <c r="S269" i="31" s="1"/>
  <c r="R253" i="31"/>
  <c r="S253" i="31" s="1"/>
  <c r="R237" i="31"/>
  <c r="S237" i="31" s="1"/>
  <c r="R221" i="31"/>
  <c r="S221" i="31" s="1"/>
  <c r="R205" i="31"/>
  <c r="S205" i="31" s="1"/>
  <c r="R189" i="31"/>
  <c r="S189" i="31" s="1"/>
  <c r="R173" i="31"/>
  <c r="S173" i="31" s="1"/>
  <c r="R157" i="31"/>
  <c r="S157" i="31" s="1"/>
  <c r="R520" i="31"/>
  <c r="S520" i="31" s="1"/>
  <c r="R504" i="31"/>
  <c r="S504" i="31" s="1"/>
  <c r="R488" i="31"/>
  <c r="S488" i="31" s="1"/>
  <c r="R472" i="31"/>
  <c r="S472" i="31" s="1"/>
  <c r="R456" i="31"/>
  <c r="S456" i="31" s="1"/>
  <c r="R440" i="31"/>
  <c r="S440" i="31" s="1"/>
  <c r="R424" i="31"/>
  <c r="S424" i="31" s="1"/>
  <c r="R408" i="31"/>
  <c r="S408" i="31" s="1"/>
  <c r="R392" i="31"/>
  <c r="S392" i="31" s="1"/>
  <c r="R376" i="31"/>
  <c r="S376" i="31" s="1"/>
  <c r="R360" i="31"/>
  <c r="S360" i="31" s="1"/>
  <c r="R515" i="31"/>
  <c r="S515" i="31" s="1"/>
  <c r="R499" i="31"/>
  <c r="S499" i="31" s="1"/>
  <c r="R483" i="31"/>
  <c r="S483" i="31" s="1"/>
  <c r="R467" i="31"/>
  <c r="S467" i="31" s="1"/>
  <c r="R451" i="31"/>
  <c r="S451" i="31" s="1"/>
  <c r="R435" i="31"/>
  <c r="S435" i="31" s="1"/>
  <c r="R419" i="31"/>
  <c r="S419" i="31" s="1"/>
  <c r="R403" i="31"/>
  <c r="S403" i="31" s="1"/>
  <c r="R387" i="31"/>
  <c r="S387" i="31" s="1"/>
  <c r="R371" i="31"/>
  <c r="S371" i="31" s="1"/>
  <c r="R355" i="31"/>
  <c r="S355" i="31" s="1"/>
  <c r="R339" i="31"/>
  <c r="S339" i="31" s="1"/>
  <c r="R323" i="31"/>
  <c r="S323" i="31" s="1"/>
  <c r="R307" i="31"/>
  <c r="S307" i="31" s="1"/>
  <c r="R291" i="31"/>
  <c r="S291" i="31" s="1"/>
  <c r="R275" i="31"/>
  <c r="S275" i="31" s="1"/>
  <c r="R259" i="31"/>
  <c r="S259" i="31" s="1"/>
  <c r="R243" i="31"/>
  <c r="S243" i="31" s="1"/>
  <c r="R227" i="31"/>
  <c r="S227" i="31" s="1"/>
  <c r="R166" i="31"/>
  <c r="S166" i="31" s="1"/>
  <c r="R150" i="31"/>
  <c r="S150" i="31" s="1"/>
  <c r="R134" i="31"/>
  <c r="S134" i="31" s="1"/>
  <c r="R118" i="31"/>
  <c r="S118" i="31" s="1"/>
  <c r="R102" i="31"/>
  <c r="S102" i="31" s="1"/>
  <c r="R86" i="31"/>
  <c r="S86" i="31" s="1"/>
  <c r="R70" i="31"/>
  <c r="S70" i="31" s="1"/>
  <c r="R54" i="31"/>
  <c r="S54" i="31" s="1"/>
  <c r="R38" i="31"/>
  <c r="S38" i="31" s="1"/>
  <c r="R137" i="31"/>
  <c r="S137" i="31" s="1"/>
  <c r="R121" i="31"/>
  <c r="S121" i="31" s="1"/>
  <c r="R105" i="31"/>
  <c r="S105" i="31" s="1"/>
  <c r="R89" i="31"/>
  <c r="S89" i="31" s="1"/>
  <c r="R73" i="31"/>
  <c r="S73" i="31" s="1"/>
  <c r="R57" i="31"/>
  <c r="S57" i="31" s="1"/>
  <c r="R41" i="31"/>
  <c r="S41" i="31" s="1"/>
  <c r="R25" i="31"/>
  <c r="S25" i="31" s="1"/>
  <c r="R344" i="31"/>
  <c r="S344" i="31" s="1"/>
  <c r="R328" i="31"/>
  <c r="S328" i="31" s="1"/>
  <c r="R312" i="31"/>
  <c r="S312" i="31" s="1"/>
  <c r="R296" i="31"/>
  <c r="S296"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104" i="31"/>
  <c r="S104" i="31" s="1"/>
  <c r="R88" i="31"/>
  <c r="S88" i="31" s="1"/>
  <c r="R72" i="31"/>
  <c r="S72" i="31" s="1"/>
  <c r="R56" i="31"/>
  <c r="S56" i="31" s="1"/>
  <c r="R40" i="31"/>
  <c r="S40"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514" i="31"/>
  <c r="S514" i="31" s="1"/>
  <c r="R498" i="31"/>
  <c r="S498" i="31" s="1"/>
  <c r="R482" i="31"/>
  <c r="S482" i="31" s="1"/>
  <c r="R466" i="31"/>
  <c r="S466" i="31" s="1"/>
  <c r="R450" i="31"/>
  <c r="S450" i="31" s="1"/>
  <c r="R434" i="31"/>
  <c r="S434" i="31" s="1"/>
  <c r="R418" i="31"/>
  <c r="S418" i="31" s="1"/>
  <c r="R402" i="31"/>
  <c r="S402" i="31" s="1"/>
  <c r="R386" i="31"/>
  <c r="S386" i="31" s="1"/>
  <c r="R370" i="31"/>
  <c r="S370" i="31" s="1"/>
  <c r="R354" i="31"/>
  <c r="S354" i="31" s="1"/>
  <c r="R338" i="31"/>
  <c r="S338" i="31" s="1"/>
  <c r="R322" i="31"/>
  <c r="S322" i="31" s="1"/>
  <c r="R306" i="31"/>
  <c r="S306" i="31" s="1"/>
  <c r="R290" i="31"/>
  <c r="S290" i="31" s="1"/>
  <c r="R274" i="31"/>
  <c r="S274" i="31" s="1"/>
  <c r="R258" i="31"/>
  <c r="S258" i="31" s="1"/>
  <c r="R242" i="31"/>
  <c r="S242" i="31" s="1"/>
  <c r="R226" i="31"/>
  <c r="S226" i="31" s="1"/>
  <c r="R210" i="31"/>
  <c r="S210" i="31" s="1"/>
  <c r="R194" i="31"/>
  <c r="S194" i="31" s="1"/>
  <c r="R178" i="31"/>
  <c r="S178" i="31" s="1"/>
  <c r="R521" i="31"/>
  <c r="S521" i="31" s="1"/>
  <c r="R505" i="31"/>
  <c r="S505" i="31" s="1"/>
  <c r="R489" i="31"/>
  <c r="S489" i="31" s="1"/>
  <c r="R473" i="31"/>
  <c r="S473" i="31" s="1"/>
  <c r="R457" i="31"/>
  <c r="S457" i="31" s="1"/>
  <c r="R441" i="31"/>
  <c r="S441" i="31" s="1"/>
  <c r="R425" i="31"/>
  <c r="S425" i="31" s="1"/>
  <c r="R409" i="31"/>
  <c r="S409" i="31" s="1"/>
  <c r="R393" i="31"/>
  <c r="S393" i="31" s="1"/>
  <c r="R377" i="31"/>
  <c r="S377" i="31" s="1"/>
  <c r="R361" i="31"/>
  <c r="S361" i="31" s="1"/>
  <c r="R345" i="31"/>
  <c r="S345" i="31" s="1"/>
  <c r="R329" i="31"/>
  <c r="S329" i="31" s="1"/>
  <c r="R313" i="31"/>
  <c r="S313" i="31" s="1"/>
  <c r="R297" i="31"/>
  <c r="S297" i="31" s="1"/>
  <c r="R281" i="31"/>
  <c r="S281" i="31" s="1"/>
  <c r="R265" i="31"/>
  <c r="S265" i="31" s="1"/>
  <c r="R249" i="31"/>
  <c r="S249" i="31" s="1"/>
  <c r="R233" i="31"/>
  <c r="S233" i="31" s="1"/>
  <c r="R217" i="31"/>
  <c r="S217" i="31" s="1"/>
  <c r="R201" i="31"/>
  <c r="S201" i="31" s="1"/>
  <c r="R185" i="31"/>
  <c r="S185" i="31" s="1"/>
  <c r="R169" i="31"/>
  <c r="S169" i="31" s="1"/>
  <c r="R153" i="31"/>
  <c r="S153" i="31" s="1"/>
  <c r="R516" i="31"/>
  <c r="S516" i="31" s="1"/>
  <c r="R500" i="31"/>
  <c r="S500" i="31" s="1"/>
  <c r="R484" i="31"/>
  <c r="S484" i="31" s="1"/>
  <c r="R468" i="31"/>
  <c r="S468" i="31" s="1"/>
  <c r="R452" i="31"/>
  <c r="S452" i="31" s="1"/>
  <c r="R436" i="31"/>
  <c r="S436" i="31" s="1"/>
  <c r="R420" i="31"/>
  <c r="S420" i="31" s="1"/>
  <c r="R404" i="31"/>
  <c r="S404" i="31" s="1"/>
  <c r="R388" i="31"/>
  <c r="S388" i="31" s="1"/>
  <c r="R372" i="31"/>
  <c r="S372" i="31" s="1"/>
  <c r="R356" i="31"/>
  <c r="S356" i="31" s="1"/>
  <c r="R511" i="31"/>
  <c r="S511" i="31" s="1"/>
  <c r="R495" i="31"/>
  <c r="S495" i="31" s="1"/>
  <c r="R479" i="31"/>
  <c r="S479" i="31" s="1"/>
  <c r="R463" i="31"/>
  <c r="S463" i="31" s="1"/>
  <c r="R447" i="31"/>
  <c r="S447" i="31" s="1"/>
  <c r="R431" i="31"/>
  <c r="S431" i="31" s="1"/>
  <c r="R415" i="31"/>
  <c r="S415" i="31" s="1"/>
  <c r="R399" i="31"/>
  <c r="S399" i="31" s="1"/>
  <c r="R383" i="31"/>
  <c r="S383" i="31" s="1"/>
  <c r="R367" i="31"/>
  <c r="S367" i="31" s="1"/>
  <c r="R351" i="31"/>
  <c r="S351" i="31" s="1"/>
  <c r="R335" i="31"/>
  <c r="S335" i="31" s="1"/>
  <c r="R319" i="31"/>
  <c r="S319" i="31" s="1"/>
  <c r="R303" i="31"/>
  <c r="S303" i="31" s="1"/>
  <c r="R287" i="31"/>
  <c r="S287" i="31" s="1"/>
  <c r="R271" i="31"/>
  <c r="S271" i="31" s="1"/>
  <c r="R255" i="31"/>
  <c r="S255" i="31" s="1"/>
  <c r="R239" i="31"/>
  <c r="S239" i="31" s="1"/>
  <c r="R223" i="31"/>
  <c r="S223" i="31" s="1"/>
  <c r="R162" i="31"/>
  <c r="S162" i="31" s="1"/>
  <c r="R146" i="31"/>
  <c r="S146" i="31" s="1"/>
  <c r="R130" i="31"/>
  <c r="S130" i="31" s="1"/>
  <c r="R114" i="31"/>
  <c r="S114" i="31" s="1"/>
  <c r="R98" i="31"/>
  <c r="S98" i="31" s="1"/>
  <c r="R82" i="31"/>
  <c r="S82" i="31" s="1"/>
  <c r="R66" i="31"/>
  <c r="S66" i="31" s="1"/>
  <c r="R50" i="31"/>
  <c r="S50" i="31" s="1"/>
  <c r="R34" i="31"/>
  <c r="S34" i="31" s="1"/>
  <c r="R149" i="31"/>
  <c r="S149" i="31" s="1"/>
  <c r="R133" i="31"/>
  <c r="S133" i="31" s="1"/>
  <c r="R117" i="31"/>
  <c r="S117" i="31" s="1"/>
  <c r="R101" i="31"/>
  <c r="S101" i="31" s="1"/>
  <c r="R85" i="31"/>
  <c r="S85" i="31" s="1"/>
  <c r="R69" i="31"/>
  <c r="S69" i="31" s="1"/>
  <c r="R53" i="31"/>
  <c r="S53" i="31" s="1"/>
  <c r="R37" i="31"/>
  <c r="S37" i="31" s="1"/>
  <c r="R340" i="31"/>
  <c r="S340" i="31" s="1"/>
  <c r="R324" i="31"/>
  <c r="S324" i="31" s="1"/>
  <c r="R308" i="31"/>
  <c r="S308" i="31" s="1"/>
  <c r="R292" i="31"/>
  <c r="S292" i="31" s="1"/>
  <c r="R276" i="31"/>
  <c r="S276" i="31" s="1"/>
  <c r="R260" i="31"/>
  <c r="S260" i="31" s="1"/>
  <c r="R244" i="31"/>
  <c r="S244" i="31" s="1"/>
  <c r="R228" i="31"/>
  <c r="S228" i="31" s="1"/>
  <c r="R212" i="31"/>
  <c r="S212" i="31" s="1"/>
  <c r="R196" i="31"/>
  <c r="S196" i="31" s="1"/>
  <c r="R180" i="31"/>
  <c r="S180" i="31" s="1"/>
  <c r="R164" i="31"/>
  <c r="S164" i="31" s="1"/>
  <c r="R148" i="31"/>
  <c r="S148" i="31" s="1"/>
  <c r="R132" i="31"/>
  <c r="S132" i="31" s="1"/>
  <c r="R116" i="31"/>
  <c r="S116" i="31" s="1"/>
  <c r="R100" i="31"/>
  <c r="S100" i="31" s="1"/>
  <c r="R84" i="31"/>
  <c r="S84" i="31" s="1"/>
  <c r="R68" i="31"/>
  <c r="S68" i="31" s="1"/>
  <c r="R52" i="31"/>
  <c r="S52" i="31" s="1"/>
  <c r="R36" i="31"/>
  <c r="S36"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510" i="31"/>
  <c r="S510" i="31" s="1"/>
  <c r="R494" i="31"/>
  <c r="S494" i="31" s="1"/>
  <c r="R478" i="31"/>
  <c r="S478" i="31" s="1"/>
  <c r="R462" i="31"/>
  <c r="S462" i="31" s="1"/>
  <c r="R446" i="31"/>
  <c r="S446" i="31" s="1"/>
  <c r="R430" i="31"/>
  <c r="S430" i="31" s="1"/>
  <c r="R414" i="31"/>
  <c r="S414" i="31" s="1"/>
  <c r="R398" i="31"/>
  <c r="S398" i="31" s="1"/>
  <c r="R382" i="31"/>
  <c r="S382" i="31" s="1"/>
  <c r="R366" i="31"/>
  <c r="S366" i="31" s="1"/>
  <c r="R350" i="31"/>
  <c r="S350" i="31" s="1"/>
  <c r="R334" i="31"/>
  <c r="S334" i="31" s="1"/>
  <c r="R318" i="31"/>
  <c r="S318" i="31" s="1"/>
  <c r="R302" i="31"/>
  <c r="S302" i="31" s="1"/>
  <c r="R286" i="31"/>
  <c r="S286" i="31" s="1"/>
  <c r="R270" i="31"/>
  <c r="S270" i="31" s="1"/>
  <c r="R254" i="31"/>
  <c r="S254" i="31" s="1"/>
  <c r="R238" i="31"/>
  <c r="S238" i="31" s="1"/>
  <c r="R222" i="31"/>
  <c r="S222" i="31" s="1"/>
  <c r="R206" i="31"/>
  <c r="S206" i="31" s="1"/>
  <c r="R190" i="31"/>
  <c r="S190" i="31" s="1"/>
  <c r="R517" i="31"/>
  <c r="S517" i="31" s="1"/>
  <c r="R501" i="31"/>
  <c r="S501" i="31" s="1"/>
  <c r="R485" i="31"/>
  <c r="S485" i="31" s="1"/>
  <c r="R469" i="31"/>
  <c r="S469" i="31" s="1"/>
  <c r="R453" i="31"/>
  <c r="S453" i="31" s="1"/>
  <c r="R437" i="31"/>
  <c r="S437" i="31" s="1"/>
  <c r="R421" i="31"/>
  <c r="S421" i="31" s="1"/>
  <c r="R405" i="31"/>
  <c r="S405" i="31" s="1"/>
  <c r="R389" i="31"/>
  <c r="S389" i="31" s="1"/>
  <c r="R373" i="31"/>
  <c r="S373" i="31" s="1"/>
  <c r="R357" i="31"/>
  <c r="S357" i="31" s="1"/>
  <c r="R341" i="31"/>
  <c r="S341" i="31" s="1"/>
  <c r="R325" i="31"/>
  <c r="S325" i="31" s="1"/>
  <c r="R309" i="31"/>
  <c r="S309" i="31" s="1"/>
  <c r="R293" i="31"/>
  <c r="S293" i="31" s="1"/>
  <c r="R277" i="31"/>
  <c r="S277" i="31" s="1"/>
  <c r="R261" i="31"/>
  <c r="S261" i="31" s="1"/>
  <c r="R245" i="31"/>
  <c r="S245" i="31" s="1"/>
  <c r="R229" i="31"/>
  <c r="S229" i="31" s="1"/>
  <c r="R213" i="31"/>
  <c r="S213" i="31" s="1"/>
  <c r="R197" i="31"/>
  <c r="S197" i="31" s="1"/>
  <c r="R181" i="31"/>
  <c r="S181" i="31" s="1"/>
  <c r="R165" i="31"/>
  <c r="S165" i="31" s="1"/>
  <c r="R512" i="31"/>
  <c r="S512" i="31" s="1"/>
  <c r="R496" i="31"/>
  <c r="S496" i="31" s="1"/>
  <c r="R480" i="31"/>
  <c r="S480" i="31" s="1"/>
  <c r="R464" i="31"/>
  <c r="S464" i="31" s="1"/>
  <c r="R448" i="31"/>
  <c r="S448" i="31" s="1"/>
  <c r="R432" i="31"/>
  <c r="S432" i="31" s="1"/>
  <c r="R416" i="31"/>
  <c r="S416" i="31" s="1"/>
  <c r="R400" i="31"/>
  <c r="S400" i="31" s="1"/>
  <c r="R384" i="31"/>
  <c r="S384" i="31" s="1"/>
  <c r="R368" i="31"/>
  <c r="S368" i="31" s="1"/>
  <c r="R523" i="31"/>
  <c r="S523" i="31" s="1"/>
  <c r="R507" i="31"/>
  <c r="S507" i="31" s="1"/>
  <c r="R491" i="31"/>
  <c r="S491" i="31" s="1"/>
  <c r="R475" i="31"/>
  <c r="S475" i="31" s="1"/>
  <c r="R459" i="31"/>
  <c r="S459" i="31" s="1"/>
  <c r="R443" i="31"/>
  <c r="S443" i="31" s="1"/>
  <c r="R427" i="31"/>
  <c r="S427" i="31" s="1"/>
  <c r="R411" i="31"/>
  <c r="S411" i="31" s="1"/>
  <c r="R395" i="31"/>
  <c r="S395" i="31" s="1"/>
  <c r="R379" i="31"/>
  <c r="S379" i="31" s="1"/>
  <c r="R363" i="31"/>
  <c r="S363" i="31" s="1"/>
  <c r="R347" i="31"/>
  <c r="S347" i="31" s="1"/>
  <c r="R331" i="31"/>
  <c r="S331" i="31" s="1"/>
  <c r="R315" i="31"/>
  <c r="S315" i="31" s="1"/>
  <c r="R299" i="31"/>
  <c r="S299" i="31" s="1"/>
  <c r="R283" i="31"/>
  <c r="S283" i="31" s="1"/>
  <c r="R267" i="31"/>
  <c r="S267" i="31" s="1"/>
  <c r="R251" i="31"/>
  <c r="S251" i="31" s="1"/>
  <c r="R235" i="31"/>
  <c r="S235" i="31" s="1"/>
  <c r="R174" i="31"/>
  <c r="S174" i="31" s="1"/>
  <c r="R158" i="31"/>
  <c r="S158" i="31" s="1"/>
  <c r="R142" i="31"/>
  <c r="S142" i="31" s="1"/>
  <c r="R126" i="31"/>
  <c r="S126" i="31" s="1"/>
  <c r="R110" i="31"/>
  <c r="S110" i="31" s="1"/>
  <c r="R94" i="31"/>
  <c r="S94" i="31" s="1"/>
  <c r="R78" i="31"/>
  <c r="S78" i="31" s="1"/>
  <c r="R62" i="31"/>
  <c r="S62" i="31" s="1"/>
  <c r="R46" i="31"/>
  <c r="S46" i="31" s="1"/>
  <c r="R30" i="31"/>
  <c r="S30" i="31" s="1"/>
  <c r="R145" i="31"/>
  <c r="S145" i="31" s="1"/>
  <c r="R129" i="31"/>
  <c r="S129" i="31" s="1"/>
  <c r="R113" i="31"/>
  <c r="S113" i="31" s="1"/>
  <c r="R97" i="31"/>
  <c r="S97" i="31" s="1"/>
  <c r="R81" i="31"/>
  <c r="S81" i="31" s="1"/>
  <c r="R65" i="31"/>
  <c r="S65" i="31" s="1"/>
  <c r="R49" i="31"/>
  <c r="S49" i="31" s="1"/>
  <c r="R33" i="31"/>
  <c r="S33" i="31" s="1"/>
  <c r="R352" i="31"/>
  <c r="S352" i="31" s="1"/>
  <c r="R336" i="31"/>
  <c r="S336" i="31" s="1"/>
  <c r="R320" i="31"/>
  <c r="S320" i="31" s="1"/>
  <c r="R304" i="31"/>
  <c r="S304" i="31" s="1"/>
  <c r="R288" i="31"/>
  <c r="S288" i="31" s="1"/>
  <c r="R272" i="31"/>
  <c r="S272" i="31" s="1"/>
  <c r="R256" i="31"/>
  <c r="S256" i="31" s="1"/>
  <c r="R240" i="31"/>
  <c r="S240" i="31" s="1"/>
  <c r="R224" i="31"/>
  <c r="S224" i="31" s="1"/>
  <c r="R208" i="31"/>
  <c r="S208" i="31" s="1"/>
  <c r="R192" i="31"/>
  <c r="S192" i="31" s="1"/>
  <c r="R176" i="31"/>
  <c r="S176" i="31" s="1"/>
  <c r="R160" i="31"/>
  <c r="S160" i="31" s="1"/>
  <c r="R144" i="31"/>
  <c r="S144" i="31" s="1"/>
  <c r="R128" i="31"/>
  <c r="S128" i="31" s="1"/>
  <c r="R112" i="31"/>
  <c r="S112" i="31" s="1"/>
  <c r="R96" i="31"/>
  <c r="S96" i="31" s="1"/>
  <c r="R80" i="31"/>
  <c r="S80" i="31" s="1"/>
  <c r="R64" i="31"/>
  <c r="S64" i="31" s="1"/>
  <c r="R48" i="31"/>
  <c r="S48" i="31" s="1"/>
  <c r="R32" i="31"/>
  <c r="S32"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522" i="31"/>
  <c r="S522" i="31" s="1"/>
  <c r="R506" i="31"/>
  <c r="S506" i="31" s="1"/>
  <c r="R490" i="31"/>
  <c r="S490" i="31" s="1"/>
  <c r="R474" i="31"/>
  <c r="S474" i="31" s="1"/>
  <c r="R458" i="31"/>
  <c r="S458" i="31" s="1"/>
  <c r="R442" i="31"/>
  <c r="S442" i="31" s="1"/>
  <c r="R426" i="31"/>
  <c r="S426" i="31" s="1"/>
  <c r="R410" i="31"/>
  <c r="S410" i="31" s="1"/>
  <c r="R394" i="31"/>
  <c r="S394" i="31" s="1"/>
  <c r="R378" i="31"/>
  <c r="S378" i="31" s="1"/>
  <c r="R362" i="31"/>
  <c r="S362" i="31" s="1"/>
  <c r="R346" i="31"/>
  <c r="S346" i="31" s="1"/>
  <c r="R330" i="31"/>
  <c r="S330" i="31" s="1"/>
  <c r="R314" i="31"/>
  <c r="S314" i="31" s="1"/>
  <c r="R298" i="31"/>
  <c r="S298" i="31" s="1"/>
  <c r="R282" i="31"/>
  <c r="S282" i="31" s="1"/>
  <c r="R266" i="31"/>
  <c r="S266" i="31" s="1"/>
  <c r="R250" i="31"/>
  <c r="S250" i="31" s="1"/>
  <c r="R234" i="31"/>
  <c r="S234" i="31" s="1"/>
  <c r="R218" i="31"/>
  <c r="S218" i="31" s="1"/>
  <c r="R202" i="31"/>
  <c r="S202" i="31" s="1"/>
  <c r="R186" i="31"/>
  <c r="S186" i="31" s="1"/>
  <c r="R513" i="31"/>
  <c r="S513" i="31" s="1"/>
  <c r="R497" i="31"/>
  <c r="S497" i="31" s="1"/>
  <c r="R481" i="31"/>
  <c r="S481" i="31" s="1"/>
  <c r="R465" i="31"/>
  <c r="S465" i="31" s="1"/>
  <c r="R449" i="31"/>
  <c r="S449" i="31" s="1"/>
  <c r="R433" i="31"/>
  <c r="S433" i="31" s="1"/>
  <c r="R417" i="31"/>
  <c r="S417" i="31" s="1"/>
  <c r="R401" i="31"/>
  <c r="S401" i="31" s="1"/>
  <c r="R385" i="31"/>
  <c r="S385" i="31" s="1"/>
  <c r="R369" i="31"/>
  <c r="S369" i="31" s="1"/>
  <c r="R353" i="31"/>
  <c r="S353" i="31" s="1"/>
  <c r="R337" i="31"/>
  <c r="S337" i="31" s="1"/>
  <c r="R321" i="31"/>
  <c r="S321" i="31" s="1"/>
  <c r="R305" i="31"/>
  <c r="S305" i="31" s="1"/>
  <c r="R289" i="31"/>
  <c r="S289" i="31" s="1"/>
  <c r="R273" i="31"/>
  <c r="S273" i="31" s="1"/>
  <c r="R257" i="31"/>
  <c r="S257" i="31" s="1"/>
  <c r="R241" i="31"/>
  <c r="S241" i="31" s="1"/>
  <c r="R225" i="31"/>
  <c r="S225" i="31" s="1"/>
  <c r="R209" i="31"/>
  <c r="S209" i="31" s="1"/>
  <c r="R193" i="31"/>
  <c r="S193" i="31" s="1"/>
  <c r="R177" i="31"/>
  <c r="S177" i="31" s="1"/>
  <c r="R161" i="31"/>
  <c r="S161" i="31" s="1"/>
  <c r="R524" i="31"/>
  <c r="S524" i="31" s="1"/>
  <c r="R508" i="31"/>
  <c r="S508" i="31" s="1"/>
  <c r="R492" i="31"/>
  <c r="S492" i="31" s="1"/>
  <c r="R476" i="31"/>
  <c r="S476" i="31" s="1"/>
  <c r="R460" i="31"/>
  <c r="S460" i="31" s="1"/>
  <c r="R444" i="31"/>
  <c r="S444" i="31" s="1"/>
  <c r="R428" i="31"/>
  <c r="S428" i="31" s="1"/>
  <c r="R412" i="31"/>
  <c r="S412" i="31" s="1"/>
  <c r="R396" i="31"/>
  <c r="S396" i="31" s="1"/>
  <c r="R380" i="31"/>
  <c r="S380" i="31" s="1"/>
  <c r="R364" i="31"/>
  <c r="S364" i="31" s="1"/>
  <c r="R519" i="31"/>
  <c r="S519" i="31" s="1"/>
  <c r="R503" i="31"/>
  <c r="S503" i="31" s="1"/>
  <c r="R487" i="31"/>
  <c r="S487" i="31" s="1"/>
  <c r="R471" i="31"/>
  <c r="S471" i="31" s="1"/>
  <c r="R455" i="31"/>
  <c r="S455" i="31" s="1"/>
  <c r="R439" i="31"/>
  <c r="S439" i="31" s="1"/>
  <c r="R423" i="31"/>
  <c r="S423" i="31" s="1"/>
  <c r="R407" i="31"/>
  <c r="S407" i="31" s="1"/>
  <c r="R391" i="31"/>
  <c r="S391" i="31" s="1"/>
  <c r="R375" i="31"/>
  <c r="S375" i="31" s="1"/>
  <c r="R359" i="31"/>
  <c r="S359" i="31" s="1"/>
  <c r="R343" i="31"/>
  <c r="S343" i="31" s="1"/>
  <c r="R327" i="31"/>
  <c r="S327" i="31" s="1"/>
  <c r="R311" i="31"/>
  <c r="S311" i="31" s="1"/>
  <c r="R295" i="31"/>
  <c r="S295" i="31" s="1"/>
  <c r="R279" i="31"/>
  <c r="S279" i="31" s="1"/>
  <c r="R263" i="31"/>
  <c r="S263" i="31" s="1"/>
  <c r="R247" i="31"/>
  <c r="S247" i="31" s="1"/>
  <c r="R231" i="31"/>
  <c r="S231" i="31" s="1"/>
  <c r="R170" i="31"/>
  <c r="S170" i="31" s="1"/>
  <c r="R154" i="31"/>
  <c r="S154" i="31" s="1"/>
  <c r="R138" i="31"/>
  <c r="S138" i="31" s="1"/>
  <c r="R122" i="31"/>
  <c r="S122" i="31" s="1"/>
  <c r="R106" i="31"/>
  <c r="S106" i="31" s="1"/>
  <c r="R90" i="31"/>
  <c r="S90" i="31" s="1"/>
  <c r="R74" i="31"/>
  <c r="S74" i="31" s="1"/>
  <c r="R58" i="31"/>
  <c r="S58" i="31" s="1"/>
  <c r="R42" i="31"/>
  <c r="S42" i="31" s="1"/>
  <c r="R26" i="31"/>
  <c r="S26" i="31" s="1"/>
  <c r="R141" i="31"/>
  <c r="S141" i="31" s="1"/>
  <c r="R125" i="31"/>
  <c r="S125" i="31" s="1"/>
  <c r="R109" i="31"/>
  <c r="S109" i="31" s="1"/>
  <c r="R93" i="31"/>
  <c r="S93" i="31" s="1"/>
  <c r="R77" i="31"/>
  <c r="S77" i="31" s="1"/>
  <c r="R61" i="31"/>
  <c r="S61" i="31" s="1"/>
  <c r="R45" i="31"/>
  <c r="S45" i="31" s="1"/>
  <c r="R29" i="31"/>
  <c r="S29" i="31" s="1"/>
  <c r="R348" i="31"/>
  <c r="S348" i="31" s="1"/>
  <c r="R332" i="31"/>
  <c r="S332" i="31" s="1"/>
  <c r="R316" i="31"/>
  <c r="S316" i="31" s="1"/>
  <c r="R300" i="31"/>
  <c r="S300" i="31" s="1"/>
  <c r="R284" i="31"/>
  <c r="S284"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108" i="31"/>
  <c r="S108" i="31" s="1"/>
  <c r="R92" i="31"/>
  <c r="S92" i="31" s="1"/>
  <c r="R76" i="31"/>
  <c r="S76" i="31" s="1"/>
  <c r="R60" i="31"/>
  <c r="S60" i="31" s="1"/>
  <c r="R44" i="31"/>
  <c r="S44" i="31" s="1"/>
  <c r="R28" i="31"/>
  <c r="S28"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F65" i="39"/>
  <c r="D6" i="71"/>
  <c r="C5" i="71"/>
  <c r="D5" i="71" s="1"/>
  <c r="C42" i="40"/>
  <c r="C43" i="40"/>
  <c r="E47" i="40"/>
  <c r="F47" i="40" s="1"/>
  <c r="E46" i="40"/>
  <c r="F46" i="40" s="1"/>
  <c r="I47" i="40"/>
  <c r="J47" i="40" s="1"/>
  <c r="H619" i="80" l="1"/>
  <c r="G621" i="80"/>
  <c r="H621" i="80" s="1"/>
  <c r="F681" i="80"/>
  <c r="E682" i="80"/>
  <c r="T23" i="31"/>
  <c r="E8" i="12" s="1"/>
  <c r="C4" i="12" s="1"/>
  <c r="M24" i="43"/>
  <c r="S22" i="31"/>
  <c r="B2" i="39"/>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G622" i="80" l="1"/>
  <c r="F682" i="80"/>
  <c r="E683" i="80"/>
  <c r="R22" i="31"/>
  <c r="B20" i="31"/>
  <c r="B21" i="31" s="1"/>
  <c r="C23" i="12"/>
  <c r="C31" i="12"/>
  <c r="C23" i="68"/>
  <c r="C20" i="68"/>
  <c r="G623" i="80" l="1"/>
  <c r="H622" i="80"/>
  <c r="F683" i="80"/>
  <c r="E684" i="80"/>
  <c r="C30" i="12"/>
  <c r="C28" i="12" s="1"/>
  <c r="C27" i="12"/>
  <c r="C25" i="12" s="1"/>
  <c r="C28" i="68"/>
  <c r="C27" i="68" s="1"/>
  <c r="C25" i="68"/>
  <c r="C22" i="68" s="1"/>
  <c r="G624" i="80" l="1"/>
  <c r="H623" i="80"/>
  <c r="E685" i="80"/>
  <c r="F684" i="80"/>
  <c r="C32" i="12"/>
  <c r="B2" i="12" s="1"/>
  <c r="B3" i="12" s="1"/>
  <c r="C31" i="68"/>
  <c r="C52" i="68" s="1"/>
  <c r="B2" i="68" s="1"/>
  <c r="C19" i="9"/>
  <c r="D19" i="9"/>
  <c r="D20" i="9"/>
  <c r="G625" i="80" l="1"/>
  <c r="H624" i="80"/>
  <c r="E686" i="80"/>
  <c r="F685" i="80"/>
  <c r="D102" i="9"/>
  <c r="D21" i="9"/>
  <c r="D103" i="9"/>
  <c r="C102" i="9"/>
  <c r="D22" i="9"/>
  <c r="G19" i="9"/>
  <c r="G21" i="9" s="1"/>
  <c r="C21" i="9"/>
  <c r="B3" i="68"/>
  <c r="C57" i="68"/>
  <c r="C56" i="68" s="1"/>
  <c r="C20" i="9"/>
  <c r="D34" i="9"/>
  <c r="D35" i="9"/>
  <c r="G626" i="80" l="1"/>
  <c r="H625" i="80"/>
  <c r="E687" i="80"/>
  <c r="F686" i="80"/>
  <c r="G20" i="9"/>
  <c r="C32" i="9" s="1"/>
  <c r="C103" i="9"/>
  <c r="G627" i="80" l="1"/>
  <c r="H626" i="80"/>
  <c r="E688" i="80"/>
  <c r="F687" i="80"/>
  <c r="C35" i="9"/>
  <c r="C34" i="9" s="1"/>
  <c r="D118" i="9" s="1"/>
  <c r="D119" i="9" s="1"/>
  <c r="D5" i="52" s="1"/>
  <c r="B49" i="72" s="1"/>
  <c r="H118" i="9"/>
  <c r="G628" i="80" l="1"/>
  <c r="H627" i="80"/>
  <c r="E689" i="80"/>
  <c r="F688" i="80"/>
  <c r="F118" i="9"/>
  <c r="F4" i="52" s="1"/>
  <c r="B51" i="72" s="1"/>
  <c r="H119" i="9"/>
  <c r="H5" i="52" s="1"/>
  <c r="D14" i="74"/>
  <c r="G14" i="74" s="1"/>
  <c r="B6" i="74" s="1"/>
  <c r="D6" i="74" s="1"/>
  <c r="D4" i="52"/>
  <c r="B47" i="72" s="1"/>
  <c r="H101" i="9"/>
  <c r="I118" i="9"/>
  <c r="H102" i="9" s="1"/>
  <c r="D7" i="53" s="1"/>
  <c r="B21" i="72" s="1"/>
  <c r="H4" i="52"/>
  <c r="C104" i="9"/>
  <c r="G630" i="80" l="1"/>
  <c r="H630" i="80" s="1"/>
  <c r="H628" i="80"/>
  <c r="F119" i="9"/>
  <c r="F5" i="52" s="1"/>
  <c r="B53" i="72" s="1"/>
  <c r="E690" i="80"/>
  <c r="F689" i="80"/>
  <c r="G118" i="9"/>
  <c r="G4" i="52" s="1"/>
  <c r="B52" i="72" s="1"/>
  <c r="H109" i="9"/>
  <c r="H110" i="9" s="1"/>
  <c r="H107" i="9"/>
  <c r="H108" i="9" s="1"/>
  <c r="D5" i="53"/>
  <c r="B20" i="72" s="1"/>
  <c r="M48" i="9"/>
  <c r="F14" i="74"/>
  <c r="B5" i="74"/>
  <c r="D5" i="74" s="1"/>
  <c r="E14" i="74"/>
  <c r="C105" i="9"/>
  <c r="I4" i="52"/>
  <c r="D45" i="9"/>
  <c r="D124" i="9" l="1"/>
  <c r="D16" i="53"/>
  <c r="G631" i="80"/>
  <c r="E691" i="80"/>
  <c r="F690" i="80"/>
  <c r="E118" i="9"/>
  <c r="E4" i="52" s="1"/>
  <c r="B48" i="72" s="1"/>
  <c r="M49" i="9"/>
  <c r="L66" i="9" s="1"/>
  <c r="M66" i="9" s="1"/>
  <c r="D6" i="53"/>
  <c r="B22" i="72" s="1"/>
  <c r="D13" i="53"/>
  <c r="D122" i="9"/>
  <c r="C5" i="74"/>
  <c r="C72" i="9"/>
  <c r="D52" i="9"/>
  <c r="D55" i="9"/>
  <c r="M53" i="9" s="1"/>
  <c r="D53" i="9"/>
  <c r="C64" i="9"/>
  <c r="C63" i="9" s="1"/>
  <c r="C67" i="9" s="1"/>
  <c r="C78" i="9"/>
  <c r="C73" i="9" s="1"/>
  <c r="C85" i="9"/>
  <c r="C93" i="9"/>
  <c r="C86" i="9" s="1"/>
  <c r="C6" i="74"/>
  <c r="D15" i="53"/>
  <c r="B31" i="72" s="1"/>
  <c r="C7" i="74"/>
  <c r="D18" i="53"/>
  <c r="B35" i="72" s="1"/>
  <c r="D10" i="52"/>
  <c r="D125" i="9"/>
  <c r="D11" i="52" s="1"/>
  <c r="D17" i="53"/>
  <c r="B36" i="72" s="1"/>
  <c r="B34" i="72"/>
  <c r="G632" i="80" l="1"/>
  <c r="H631" i="80"/>
  <c r="E692" i="80"/>
  <c r="F691" i="80"/>
  <c r="L68" i="9"/>
  <c r="M68" i="9" s="1"/>
  <c r="L63" i="9"/>
  <c r="M63" i="9" s="1"/>
  <c r="L67" i="9"/>
  <c r="M67" i="9" s="1"/>
  <c r="L65" i="9"/>
  <c r="M65" i="9" s="1"/>
  <c r="L64" i="9"/>
  <c r="M64" i="9" s="1"/>
  <c r="D8" i="52"/>
  <c r="D123" i="9"/>
  <c r="D9" i="52" s="1"/>
  <c r="B30" i="72"/>
  <c r="D14" i="53"/>
  <c r="B32" i="72" s="1"/>
  <c r="C95" i="9"/>
  <c r="C96" i="9" s="1"/>
  <c r="E96" i="9" s="1"/>
  <c r="E97" i="9" s="1"/>
  <c r="C79" i="9"/>
  <c r="C68" i="9"/>
  <c r="D54" i="9" s="1"/>
  <c r="D59" i="9"/>
  <c r="M55" i="9" s="1"/>
  <c r="G633" i="80" l="1"/>
  <c r="H632" i="80"/>
  <c r="E693" i="80"/>
  <c r="F692" i="80"/>
  <c r="M69" i="9"/>
  <c r="N69" i="9" s="1"/>
  <c r="C97" i="9"/>
  <c r="D58" i="9" s="1"/>
  <c r="D56" i="9" s="1"/>
  <c r="M54" i="9" s="1"/>
  <c r="N57" i="9" s="1"/>
  <c r="N58" i="9" s="1"/>
  <c r="C80" i="9"/>
  <c r="E80" i="9" s="1"/>
  <c r="E81" i="9" s="1"/>
  <c r="G634" i="80" l="1"/>
  <c r="H633" i="80"/>
  <c r="E694" i="80"/>
  <c r="F693" i="80"/>
  <c r="C81" i="9"/>
  <c r="N59" i="9"/>
  <c r="N60" i="9" s="1"/>
  <c r="P57" i="9"/>
  <c r="G635" i="80" l="1"/>
  <c r="H634" i="80"/>
  <c r="E695" i="80"/>
  <c r="F694" i="80"/>
  <c r="N61" i="9"/>
  <c r="G636" i="80" l="1"/>
  <c r="H635" i="80"/>
  <c r="E696" i="80"/>
  <c r="F695" i="80"/>
  <c r="G637" i="80" l="1"/>
  <c r="H636" i="80"/>
  <c r="E697" i="80"/>
  <c r="F696" i="80"/>
  <c r="G638" i="80" l="1"/>
  <c r="H637" i="80"/>
  <c r="E698" i="80"/>
  <c r="F697" i="80"/>
  <c r="G639" i="80" l="1"/>
  <c r="H638" i="80"/>
  <c r="E699" i="80"/>
  <c r="F698" i="80"/>
  <c r="G640" i="80" l="1"/>
  <c r="H639" i="80"/>
  <c r="E700" i="80"/>
  <c r="F699" i="80"/>
  <c r="G641" i="80" l="1"/>
  <c r="H640" i="80"/>
  <c r="E701" i="80"/>
  <c r="F700" i="80"/>
  <c r="G642" i="80" l="1"/>
  <c r="H641" i="80"/>
  <c r="E702" i="80"/>
  <c r="F701" i="80"/>
  <c r="G643" i="80" l="1"/>
  <c r="H642" i="80"/>
  <c r="E703" i="80"/>
  <c r="F702" i="80"/>
  <c r="G645" i="80" l="1"/>
  <c r="H645" i="80" s="1"/>
  <c r="H643" i="80"/>
  <c r="E704" i="80"/>
  <c r="F703" i="80"/>
  <c r="G646" i="80" l="1"/>
  <c r="E705" i="80"/>
  <c r="F704" i="80"/>
  <c r="G647" i="80" l="1"/>
  <c r="H646" i="80"/>
  <c r="E706" i="80"/>
  <c r="F705" i="80"/>
  <c r="G648" i="80" l="1"/>
  <c r="H647" i="80"/>
  <c r="E707" i="80"/>
  <c r="F706" i="80"/>
  <c r="G649" i="80" l="1"/>
  <c r="H648" i="80"/>
  <c r="E708" i="80"/>
  <c r="F707" i="80"/>
  <c r="G650" i="80" l="1"/>
  <c r="H649" i="80"/>
  <c r="E709" i="80"/>
  <c r="F708" i="80"/>
  <c r="G651" i="80" l="1"/>
  <c r="H650" i="80"/>
  <c r="E710" i="80"/>
  <c r="F709" i="80"/>
  <c r="G652" i="80" l="1"/>
  <c r="H651" i="80"/>
  <c r="E711" i="80"/>
  <c r="F710" i="80"/>
  <c r="G653" i="80" l="1"/>
  <c r="H652" i="80"/>
  <c r="E712" i="80"/>
  <c r="F711" i="80"/>
  <c r="G655" i="80" l="1"/>
  <c r="H653" i="80"/>
  <c r="E713" i="80"/>
  <c r="F712" i="80"/>
  <c r="G656" i="80" l="1"/>
  <c r="H655" i="80"/>
  <c r="E714" i="80"/>
  <c r="F713" i="80"/>
  <c r="G657" i="80" l="1"/>
  <c r="H656" i="80"/>
  <c r="E715" i="80"/>
  <c r="F714" i="80"/>
  <c r="G658" i="80" l="1"/>
  <c r="H657" i="80"/>
  <c r="E716" i="80"/>
  <c r="F715" i="80"/>
  <c r="G659" i="80" l="1"/>
  <c r="H658" i="80"/>
  <c r="E717" i="80"/>
  <c r="F716" i="80"/>
  <c r="G660" i="80" l="1"/>
  <c r="H659" i="80"/>
  <c r="E718" i="80"/>
  <c r="F717" i="80"/>
  <c r="G661" i="80" l="1"/>
  <c r="H660" i="80"/>
  <c r="E719" i="80"/>
  <c r="F718" i="80"/>
  <c r="G662" i="80" l="1"/>
  <c r="H661" i="80"/>
  <c r="E720" i="80"/>
  <c r="F719" i="80"/>
  <c r="G663" i="80" l="1"/>
  <c r="H662" i="80"/>
  <c r="E721" i="80"/>
  <c r="F720" i="80"/>
  <c r="G664" i="80" l="1"/>
  <c r="H663" i="80"/>
  <c r="E722" i="80"/>
  <c r="F721" i="80"/>
  <c r="G665" i="80" l="1"/>
  <c r="H664" i="80"/>
  <c r="E723" i="80"/>
  <c r="F722" i="80"/>
  <c r="H665" i="80" l="1"/>
  <c r="G666" i="80"/>
  <c r="E724" i="80"/>
  <c r="F723" i="80"/>
  <c r="G667" i="80" l="1"/>
  <c r="H666" i="80"/>
  <c r="E725" i="80"/>
  <c r="F724" i="80"/>
  <c r="G668" i="80" l="1"/>
  <c r="H667" i="80"/>
  <c r="E726" i="80"/>
  <c r="F725" i="80"/>
  <c r="G669" i="80" l="1"/>
  <c r="H668" i="80"/>
  <c r="E727" i="80"/>
  <c r="F726" i="80"/>
  <c r="G670" i="80" l="1"/>
  <c r="H669" i="80"/>
  <c r="E728" i="80"/>
  <c r="F727" i="80"/>
  <c r="G671" i="80" l="1"/>
  <c r="H670" i="80"/>
  <c r="E729" i="80"/>
  <c r="F728" i="80"/>
  <c r="G672" i="80" l="1"/>
  <c r="H671" i="80"/>
  <c r="E730" i="80"/>
  <c r="F729" i="80"/>
  <c r="G673" i="80" l="1"/>
  <c r="H672" i="80"/>
  <c r="E731" i="80"/>
  <c r="F730" i="80"/>
  <c r="G674" i="80" l="1"/>
  <c r="H673" i="80"/>
  <c r="E732" i="80"/>
  <c r="F731" i="80"/>
  <c r="G675" i="80" l="1"/>
  <c r="H674" i="80"/>
  <c r="E733" i="80"/>
  <c r="F732" i="80"/>
  <c r="G676" i="80" l="1"/>
  <c r="H675" i="80"/>
  <c r="E734" i="80"/>
  <c r="F733" i="80"/>
  <c r="G677" i="80" l="1"/>
  <c r="H677" i="80" s="1"/>
  <c r="H676" i="80"/>
  <c r="H606" i="80" s="1"/>
  <c r="J606" i="80" s="1"/>
  <c r="E735" i="80"/>
  <c r="F734" i="80"/>
  <c r="E736" i="80" l="1"/>
  <c r="F735" i="80"/>
  <c r="E737" i="80" l="1"/>
  <c r="F736" i="80"/>
  <c r="E738" i="80" l="1"/>
  <c r="F737" i="80"/>
  <c r="E739" i="80" l="1"/>
  <c r="F738" i="80"/>
  <c r="E740" i="80" l="1"/>
  <c r="F739" i="80"/>
  <c r="E741" i="80" l="1"/>
  <c r="F740" i="80"/>
  <c r="E742" i="80" l="1"/>
  <c r="F741" i="80"/>
  <c r="E743" i="80" l="1"/>
  <c r="F742" i="80"/>
  <c r="E744" i="80" l="1"/>
  <c r="F743" i="80"/>
  <c r="E745" i="80" l="1"/>
  <c r="F744" i="80"/>
  <c r="E746" i="80" l="1"/>
  <c r="F745" i="80"/>
  <c r="E747" i="80" l="1"/>
  <c r="F746" i="80"/>
  <c r="E748" i="80" l="1"/>
  <c r="F747" i="80"/>
  <c r="E749" i="80" l="1"/>
  <c r="F748" i="80"/>
  <c r="E750" i="80" l="1"/>
  <c r="F749" i="80"/>
  <c r="E751" i="80" l="1"/>
  <c r="F750" i="80"/>
  <c r="E752" i="80" l="1"/>
  <c r="F751" i="80"/>
  <c r="E753" i="80" l="1"/>
  <c r="F752" i="80"/>
  <c r="E754" i="80" l="1"/>
  <c r="F753" i="80"/>
  <c r="E755" i="80" l="1"/>
  <c r="F754" i="80"/>
  <c r="E756" i="80" l="1"/>
  <c r="F755" i="80"/>
  <c r="E757" i="80" l="1"/>
  <c r="F756" i="80"/>
  <c r="E758" i="80" l="1"/>
  <c r="F757" i="80"/>
  <c r="E759" i="80" l="1"/>
  <c r="F758" i="80"/>
  <c r="E760" i="80" l="1"/>
  <c r="F759" i="80"/>
  <c r="E761" i="80" l="1"/>
  <c r="F760" i="80"/>
  <c r="E762" i="80" l="1"/>
  <c r="F761" i="80"/>
  <c r="E763" i="80" l="1"/>
  <c r="F762" i="80"/>
  <c r="E764" i="80" l="1"/>
  <c r="F763" i="80"/>
  <c r="E765" i="80" l="1"/>
  <c r="F764" i="80"/>
  <c r="E766" i="80" l="1"/>
  <c r="F765" i="80"/>
  <c r="E767" i="80" l="1"/>
  <c r="F766" i="80"/>
  <c r="E768" i="80" l="1"/>
  <c r="F767" i="80"/>
  <c r="E769" i="80" l="1"/>
  <c r="F768" i="80"/>
  <c r="E770" i="80" l="1"/>
  <c r="F769" i="80"/>
  <c r="E771" i="80" l="1"/>
  <c r="F770" i="80"/>
  <c r="E772" i="80" l="1"/>
  <c r="F771" i="80"/>
  <c r="E773" i="80" l="1"/>
  <c r="F772" i="80"/>
  <c r="E774" i="80" l="1"/>
  <c r="F773" i="80"/>
  <c r="E775" i="80" l="1"/>
  <c r="F774" i="80"/>
  <c r="E776" i="80" l="1"/>
  <c r="F775" i="80"/>
  <c r="E777" i="80" l="1"/>
  <c r="F776" i="80"/>
  <c r="E778" i="80" l="1"/>
  <c r="F777" i="80"/>
  <c r="E779" i="80" l="1"/>
  <c r="F778" i="80"/>
  <c r="E780" i="80" l="1"/>
  <c r="F779" i="80"/>
  <c r="E781" i="80" l="1"/>
  <c r="F780" i="80"/>
  <c r="E782" i="80" l="1"/>
  <c r="F781" i="80"/>
  <c r="E783" i="80" l="1"/>
  <c r="F782" i="80"/>
  <c r="E784" i="80" l="1"/>
  <c r="F783" i="80"/>
  <c r="E785" i="80" l="1"/>
  <c r="F784" i="80"/>
  <c r="E786" i="80" l="1"/>
  <c r="F785" i="80"/>
  <c r="E787" i="80" l="1"/>
  <c r="F786" i="80"/>
  <c r="E788" i="80" l="1"/>
  <c r="F787" i="80"/>
  <c r="E789" i="80" l="1"/>
  <c r="F788" i="80"/>
  <c r="E790" i="80" l="1"/>
  <c r="F789" i="80"/>
  <c r="E791" i="80" l="1"/>
  <c r="F790" i="80"/>
  <c r="E792" i="80" l="1"/>
  <c r="F791" i="80"/>
  <c r="E793" i="80" l="1"/>
  <c r="F792" i="80"/>
  <c r="E794" i="80" l="1"/>
  <c r="F793" i="80"/>
  <c r="E795" i="80" l="1"/>
  <c r="F794" i="80"/>
  <c r="E796" i="80" l="1"/>
  <c r="F795" i="80"/>
  <c r="E797" i="80" l="1"/>
  <c r="F796" i="80"/>
  <c r="E798" i="80" l="1"/>
  <c r="F797" i="80"/>
  <c r="E799" i="80" l="1"/>
  <c r="F798" i="80"/>
  <c r="E800" i="80" l="1"/>
  <c r="F799" i="80"/>
  <c r="E801" i="80" l="1"/>
  <c r="F800" i="80"/>
  <c r="E802" i="80" l="1"/>
  <c r="F801" i="80"/>
  <c r="E803" i="80" l="1"/>
  <c r="F802" i="80"/>
  <c r="E804" i="80" l="1"/>
  <c r="F803" i="80"/>
  <c r="E805" i="80" l="1"/>
  <c r="F804" i="80"/>
  <c r="E806" i="80" l="1"/>
  <c r="F805" i="80"/>
  <c r="E807" i="80" l="1"/>
  <c r="F806" i="80"/>
  <c r="E808" i="80" l="1"/>
  <c r="F807" i="80"/>
  <c r="E809" i="80" l="1"/>
  <c r="F808" i="80"/>
  <c r="E810" i="80" l="1"/>
  <c r="F809" i="80"/>
  <c r="E811" i="80" l="1"/>
  <c r="F810" i="80"/>
  <c r="E812" i="80" l="1"/>
  <c r="F811" i="80"/>
  <c r="E813" i="80" l="1"/>
  <c r="F812" i="80"/>
  <c r="E814" i="80" l="1"/>
  <c r="F813" i="80"/>
  <c r="E815" i="80" l="1"/>
  <c r="F814" i="80"/>
  <c r="E816" i="80" l="1"/>
  <c r="F815" i="80"/>
  <c r="E817" i="80" l="1"/>
  <c r="F816" i="80"/>
  <c r="E818" i="80" l="1"/>
  <c r="F817" i="80"/>
  <c r="E819" i="80" l="1"/>
  <c r="F818" i="80"/>
  <c r="E820" i="80" l="1"/>
  <c r="F819" i="80"/>
  <c r="E821" i="80" l="1"/>
  <c r="F820" i="80"/>
  <c r="E822" i="80" l="1"/>
  <c r="F821" i="80"/>
  <c r="E823" i="80" l="1"/>
  <c r="F822" i="80"/>
  <c r="E824" i="80" l="1"/>
  <c r="F823" i="80"/>
  <c r="E825" i="80" l="1"/>
  <c r="F824" i="80"/>
  <c r="E826" i="80" l="1"/>
  <c r="F825" i="80"/>
  <c r="E827" i="80" l="1"/>
  <c r="F826" i="80"/>
  <c r="E828" i="80" l="1"/>
  <c r="F827" i="80"/>
  <c r="E829" i="80" l="1"/>
  <c r="F828" i="80"/>
  <c r="E830" i="80" l="1"/>
  <c r="F829" i="80"/>
  <c r="E831" i="80" l="1"/>
  <c r="F830" i="80"/>
  <c r="E832" i="80" l="1"/>
  <c r="F831" i="80"/>
  <c r="E833" i="80" l="1"/>
  <c r="F832" i="80"/>
  <c r="E834" i="80" l="1"/>
  <c r="F833" i="80"/>
  <c r="E835" i="80" l="1"/>
  <c r="F834" i="80"/>
  <c r="E836" i="80" l="1"/>
  <c r="F835" i="80"/>
  <c r="E837" i="80" l="1"/>
  <c r="F836" i="80"/>
  <c r="E838" i="80" l="1"/>
  <c r="F837" i="80"/>
  <c r="E839" i="80" l="1"/>
  <c r="F838" i="80"/>
  <c r="E840" i="80" l="1"/>
  <c r="F839" i="80"/>
  <c r="E841" i="80" l="1"/>
  <c r="F840" i="80"/>
  <c r="E842" i="80" l="1"/>
  <c r="F841" i="80"/>
  <c r="E843" i="80" l="1"/>
  <c r="F842" i="80"/>
  <c r="E844" i="80" l="1"/>
  <c r="F843" i="80"/>
  <c r="E845" i="80" l="1"/>
  <c r="F844" i="80"/>
  <c r="E846" i="80" l="1"/>
  <c r="F845" i="80"/>
  <c r="E847" i="80" l="1"/>
  <c r="F846" i="80"/>
  <c r="E848" i="80" l="1"/>
  <c r="F847" i="80"/>
  <c r="E849" i="80" l="1"/>
  <c r="F848" i="80"/>
  <c r="E850" i="80" l="1"/>
  <c r="F849" i="80"/>
  <c r="E851" i="80" l="1"/>
  <c r="F850" i="80"/>
  <c r="E852" i="80" l="1"/>
  <c r="F851" i="80"/>
  <c r="E853" i="80" l="1"/>
  <c r="F852" i="80"/>
  <c r="E854" i="80" l="1"/>
  <c r="F853" i="80"/>
  <c r="E855" i="80" l="1"/>
  <c r="F854" i="80"/>
  <c r="E856" i="80" l="1"/>
  <c r="F855" i="80"/>
  <c r="E857" i="80" l="1"/>
  <c r="F856" i="80"/>
  <c r="E858" i="80" l="1"/>
  <c r="F857" i="80"/>
  <c r="E859" i="80" l="1"/>
  <c r="F858" i="80"/>
  <c r="E860" i="80" l="1"/>
  <c r="F859" i="80"/>
  <c r="E861" i="80" l="1"/>
  <c r="F860" i="80"/>
  <c r="E862" i="80" l="1"/>
  <c r="F861" i="80"/>
  <c r="E863" i="80" l="1"/>
  <c r="F862" i="80"/>
  <c r="E864" i="80" l="1"/>
  <c r="F863" i="80"/>
  <c r="E865" i="80" l="1"/>
  <c r="F864" i="80"/>
  <c r="E866" i="80" l="1"/>
  <c r="F865" i="80"/>
  <c r="E867" i="80" l="1"/>
  <c r="F866" i="80"/>
  <c r="E868" i="80" l="1"/>
  <c r="F867" i="80"/>
  <c r="E869" i="80" l="1"/>
  <c r="F868" i="80"/>
  <c r="E870" i="80" l="1"/>
  <c r="F869" i="80"/>
  <c r="E871" i="80" l="1"/>
  <c r="F870" i="80"/>
  <c r="E872" i="80" l="1"/>
  <c r="F871" i="80"/>
  <c r="E873" i="80" l="1"/>
  <c r="F872" i="80"/>
  <c r="E874" i="80" l="1"/>
  <c r="F873" i="80"/>
  <c r="E875" i="80" l="1"/>
  <c r="F874" i="80"/>
  <c r="E876" i="80" l="1"/>
  <c r="F875" i="80"/>
  <c r="E877" i="80" l="1"/>
  <c r="F876" i="80"/>
  <c r="E878" i="80" l="1"/>
  <c r="F877" i="80"/>
  <c r="E879" i="80" l="1"/>
  <c r="F878" i="80"/>
  <c r="E880" i="80" l="1"/>
  <c r="F879" i="80"/>
  <c r="E881" i="80" l="1"/>
  <c r="F880" i="80"/>
  <c r="E882" i="80" l="1"/>
  <c r="F881" i="80"/>
  <c r="E883" i="80" l="1"/>
  <c r="F882" i="80"/>
  <c r="E884" i="80" l="1"/>
  <c r="F883" i="80"/>
  <c r="E885" i="80" l="1"/>
  <c r="F884" i="80"/>
  <c r="E886" i="80" l="1"/>
  <c r="F885" i="80"/>
  <c r="E887" i="80" l="1"/>
  <c r="F886" i="80"/>
  <c r="E888" i="80" l="1"/>
  <c r="F887" i="80"/>
  <c r="E889" i="80" l="1"/>
  <c r="F888" i="80"/>
  <c r="E890" i="80" l="1"/>
  <c r="F889" i="80"/>
  <c r="E891" i="80" l="1"/>
  <c r="F890" i="80"/>
  <c r="E892" i="80" l="1"/>
  <c r="F891" i="80"/>
  <c r="E893" i="80" l="1"/>
  <c r="F892" i="80"/>
  <c r="E894" i="80" l="1"/>
  <c r="F893" i="80"/>
  <c r="E895" i="80" l="1"/>
  <c r="F894" i="80"/>
  <c r="E896" i="80" l="1"/>
  <c r="F895" i="80"/>
  <c r="E897" i="80" l="1"/>
  <c r="F896" i="80"/>
  <c r="E898" i="80" l="1"/>
  <c r="F897" i="80"/>
  <c r="E899" i="80" l="1"/>
  <c r="F898" i="80"/>
  <c r="E900" i="80" l="1"/>
  <c r="F899" i="80"/>
  <c r="E901" i="80" l="1"/>
  <c r="F900" i="80"/>
  <c r="E902" i="80" l="1"/>
  <c r="F901" i="80"/>
  <c r="E903" i="80" l="1"/>
  <c r="F902" i="80"/>
  <c r="E904" i="80" l="1"/>
  <c r="F903" i="80"/>
  <c r="E905" i="80" l="1"/>
  <c r="F904" i="80"/>
  <c r="E906" i="80" l="1"/>
  <c r="F905" i="80"/>
  <c r="E907" i="80" l="1"/>
  <c r="F906" i="80"/>
  <c r="E908" i="80" l="1"/>
  <c r="F907" i="80"/>
  <c r="E909" i="80" l="1"/>
  <c r="F908" i="80"/>
  <c r="E910" i="80" l="1"/>
  <c r="F909" i="80"/>
  <c r="E911" i="80" l="1"/>
  <c r="F910" i="80"/>
  <c r="E912" i="80" l="1"/>
  <c r="F911" i="80"/>
  <c r="E913" i="80" l="1"/>
  <c r="F912" i="80"/>
  <c r="E914" i="80" l="1"/>
  <c r="F913" i="80"/>
  <c r="E915" i="80" l="1"/>
  <c r="F914" i="80"/>
  <c r="E916" i="80" l="1"/>
  <c r="F915" i="80"/>
  <c r="E917" i="80" l="1"/>
  <c r="F916" i="80"/>
  <c r="E918" i="80" l="1"/>
  <c r="F917" i="80"/>
  <c r="E919" i="80" l="1"/>
  <c r="F918" i="80"/>
  <c r="E920" i="80" l="1"/>
  <c r="F919" i="80"/>
  <c r="E921" i="80" l="1"/>
  <c r="F920" i="80"/>
  <c r="E922" i="80" l="1"/>
  <c r="F921" i="80"/>
  <c r="E923" i="80" l="1"/>
  <c r="F922" i="80"/>
  <c r="E924" i="80" l="1"/>
  <c r="F923" i="80"/>
  <c r="E925" i="80" l="1"/>
  <c r="F924" i="80"/>
  <c r="E926" i="80" l="1"/>
  <c r="F925" i="80"/>
  <c r="E927" i="80" l="1"/>
  <c r="F926" i="80"/>
  <c r="E928" i="80" l="1"/>
  <c r="F927" i="80"/>
  <c r="E929" i="80" l="1"/>
  <c r="F928" i="80"/>
  <c r="E930" i="80" l="1"/>
  <c r="F929" i="80"/>
  <c r="E931" i="80" l="1"/>
  <c r="F930" i="80"/>
  <c r="E932" i="80" l="1"/>
  <c r="F931" i="80"/>
  <c r="E933" i="80" l="1"/>
  <c r="F932" i="80"/>
  <c r="E934" i="80" l="1"/>
  <c r="F933" i="80"/>
  <c r="E935" i="80" l="1"/>
  <c r="F934" i="80"/>
  <c r="E936" i="80" l="1"/>
  <c r="F935" i="80"/>
  <c r="E937" i="80" l="1"/>
  <c r="F936" i="80"/>
  <c r="E938" i="80" l="1"/>
  <c r="F937" i="80"/>
  <c r="E939" i="80" l="1"/>
  <c r="F938" i="80"/>
  <c r="E940" i="80" l="1"/>
  <c r="F939" i="80"/>
  <c r="E941" i="80" l="1"/>
  <c r="F940" i="80"/>
  <c r="E942" i="80" l="1"/>
  <c r="F941" i="80"/>
  <c r="E943" i="80" l="1"/>
  <c r="F942" i="80"/>
  <c r="E944" i="80" l="1"/>
  <c r="F943" i="80"/>
  <c r="E945" i="80" l="1"/>
  <c r="F944" i="80"/>
  <c r="E946" i="80" l="1"/>
  <c r="F945" i="80"/>
  <c r="E947" i="80" l="1"/>
  <c r="F946" i="80"/>
  <c r="E948" i="80" l="1"/>
  <c r="F947" i="80"/>
  <c r="E949" i="80" l="1"/>
  <c r="F948" i="80"/>
  <c r="E950" i="80" l="1"/>
  <c r="F949" i="80"/>
  <c r="E951" i="80" l="1"/>
  <c r="F950" i="80"/>
  <c r="E952" i="80" l="1"/>
  <c r="F951" i="80"/>
  <c r="E953" i="80" l="1"/>
  <c r="F952" i="80"/>
  <c r="E954" i="80" l="1"/>
  <c r="F953" i="80"/>
  <c r="E955" i="80" l="1"/>
  <c r="F954" i="80"/>
  <c r="E956" i="80" l="1"/>
  <c r="F955" i="80"/>
  <c r="E957" i="80" l="1"/>
  <c r="F956" i="80"/>
  <c r="E958" i="80" l="1"/>
  <c r="F957" i="80"/>
  <c r="E959" i="80" l="1"/>
  <c r="F958" i="80"/>
  <c r="E960" i="80" l="1"/>
  <c r="F959" i="80"/>
  <c r="E961" i="80" l="1"/>
  <c r="F960" i="80"/>
  <c r="E962" i="80" l="1"/>
  <c r="F961" i="80"/>
  <c r="E963" i="80" l="1"/>
  <c r="F962" i="80"/>
  <c r="E964" i="80" l="1"/>
  <c r="F963" i="80"/>
  <c r="E965" i="80" l="1"/>
  <c r="F964" i="80"/>
  <c r="E966" i="80" l="1"/>
  <c r="F965" i="80"/>
  <c r="E967" i="80" l="1"/>
  <c r="F966" i="80"/>
  <c r="E968" i="80" l="1"/>
  <c r="F967" i="80"/>
  <c r="E969" i="80" l="1"/>
  <c r="F968" i="80"/>
  <c r="E970" i="80" l="1"/>
  <c r="F969" i="80"/>
  <c r="E971" i="80" l="1"/>
  <c r="F970" i="80"/>
  <c r="E972" i="80" l="1"/>
  <c r="F971" i="80"/>
  <c r="E973" i="80" l="1"/>
  <c r="F972" i="80"/>
  <c r="E974" i="80" l="1"/>
  <c r="F973" i="80"/>
  <c r="E975" i="80" l="1"/>
  <c r="F974" i="80"/>
  <c r="E976" i="80" l="1"/>
  <c r="F975" i="80"/>
  <c r="E977" i="80" l="1"/>
  <c r="F976" i="80"/>
  <c r="E978" i="80" l="1"/>
  <c r="F977" i="80"/>
  <c r="E979" i="80" l="1"/>
  <c r="F978" i="80"/>
  <c r="E980" i="80" l="1"/>
  <c r="F979" i="80"/>
  <c r="E981" i="80" l="1"/>
  <c r="F980" i="80"/>
  <c r="E982" i="80" l="1"/>
  <c r="F981" i="80"/>
  <c r="E983" i="80" l="1"/>
  <c r="F982" i="80"/>
  <c r="E984" i="80" l="1"/>
  <c r="F983" i="80"/>
  <c r="E985" i="80" l="1"/>
  <c r="F984" i="80"/>
  <c r="E986" i="80" l="1"/>
  <c r="F985" i="80"/>
  <c r="E987" i="80" l="1"/>
  <c r="F986" i="80"/>
  <c r="E988" i="80" l="1"/>
  <c r="F987" i="80"/>
  <c r="E989" i="80" l="1"/>
  <c r="F988" i="80"/>
  <c r="E990" i="80" l="1"/>
  <c r="F989" i="80"/>
  <c r="E991" i="80" l="1"/>
  <c r="F990" i="80"/>
  <c r="E992" i="80" l="1"/>
  <c r="F991" i="80"/>
  <c r="E993" i="80" l="1"/>
  <c r="F992" i="80"/>
  <c r="E994" i="80" l="1"/>
  <c r="F993" i="80"/>
  <c r="E995" i="80" l="1"/>
  <c r="F994" i="80"/>
  <c r="E996" i="80" l="1"/>
  <c r="F995" i="80"/>
  <c r="E997" i="80" l="1"/>
  <c r="F996" i="80"/>
  <c r="E998" i="80" l="1"/>
  <c r="F997" i="80"/>
  <c r="E999" i="80" l="1"/>
  <c r="F998" i="80"/>
  <c r="E1000" i="80" l="1"/>
  <c r="F999" i="80"/>
  <c r="E1001" i="80" l="1"/>
  <c r="F1000" i="80"/>
  <c r="E1002" i="80" l="1"/>
  <c r="F1001" i="80"/>
  <c r="E1003" i="80" l="1"/>
  <c r="F1002" i="80"/>
  <c r="E1004" i="80" l="1"/>
  <c r="F1003" i="80"/>
  <c r="E1005" i="80" l="1"/>
  <c r="F1004" i="80"/>
  <c r="E1006" i="80" l="1"/>
  <c r="F1005" i="80"/>
  <c r="E1007" i="80" l="1"/>
  <c r="F1006" i="80"/>
  <c r="E1008" i="80" l="1"/>
  <c r="F1007" i="80"/>
  <c r="E1009" i="80" l="1"/>
  <c r="F1008" i="80"/>
  <c r="E1010" i="80" l="1"/>
  <c r="F1009" i="80"/>
  <c r="E1011" i="80" l="1"/>
  <c r="F1010" i="80"/>
  <c r="E1012" i="80" l="1"/>
  <c r="F1011" i="80"/>
  <c r="E1013" i="80" l="1"/>
  <c r="F1012" i="80"/>
  <c r="E1014" i="80" l="1"/>
  <c r="F1013" i="80"/>
  <c r="E1015" i="80" l="1"/>
  <c r="F1014" i="80"/>
  <c r="E1016" i="80" l="1"/>
  <c r="F1015" i="80"/>
  <c r="E1017" i="80" l="1"/>
  <c r="F1016" i="80"/>
  <c r="E1018" i="80" l="1"/>
  <c r="F1017" i="80"/>
  <c r="E1019" i="80" l="1"/>
  <c r="F1018" i="80"/>
  <c r="E1020" i="80" l="1"/>
  <c r="F1019" i="80"/>
  <c r="E1021" i="80" l="1"/>
  <c r="F1020" i="80"/>
  <c r="E1022" i="80" l="1"/>
  <c r="F1021" i="80"/>
  <c r="E1023" i="80" l="1"/>
  <c r="F1022" i="80"/>
  <c r="E1024" i="80" l="1"/>
  <c r="F1023" i="80"/>
  <c r="E1025" i="80" l="1"/>
  <c r="F1024" i="80"/>
  <c r="E1026" i="80" l="1"/>
  <c r="F1025" i="80"/>
  <c r="E1027" i="80" l="1"/>
  <c r="F1026" i="80"/>
  <c r="E1028" i="80" l="1"/>
  <c r="F1027" i="80"/>
  <c r="E1029" i="80" l="1"/>
  <c r="F1028" i="80"/>
  <c r="E1030" i="80" l="1"/>
  <c r="F1029" i="80"/>
  <c r="E1031" i="80" l="1"/>
  <c r="F1030" i="80"/>
  <c r="E1032" i="80" l="1"/>
  <c r="F1031" i="80"/>
  <c r="E1033" i="80" l="1"/>
  <c r="F1032" i="80"/>
  <c r="E1034" i="80" l="1"/>
  <c r="F1033" i="80"/>
  <c r="E1035" i="80" l="1"/>
  <c r="F1034" i="80"/>
  <c r="E1036" i="80" l="1"/>
  <c r="F1035" i="80"/>
  <c r="E1037" i="80" l="1"/>
  <c r="F1036" i="80"/>
  <c r="E1038" i="80" l="1"/>
  <c r="F1037" i="80"/>
  <c r="E1039" i="80" l="1"/>
  <c r="F1038" i="80"/>
  <c r="E1040" i="80" l="1"/>
  <c r="F1039" i="80"/>
  <c r="E1041" i="80" l="1"/>
  <c r="F1040" i="80"/>
  <c r="E1042" i="80" l="1"/>
  <c r="F1041" i="80"/>
  <c r="E1043" i="80" l="1"/>
  <c r="F1042" i="80"/>
  <c r="E1044" i="80" l="1"/>
  <c r="F1043" i="80"/>
  <c r="E1045" i="80" l="1"/>
  <c r="F1044" i="80"/>
  <c r="E1046" i="80" l="1"/>
  <c r="F1045" i="80"/>
  <c r="E1047" i="80" l="1"/>
  <c r="F1046" i="80"/>
  <c r="E1048" i="80" l="1"/>
  <c r="F1047" i="80"/>
  <c r="E1049" i="80" l="1"/>
  <c r="F1048" i="80"/>
  <c r="E1050" i="80" l="1"/>
  <c r="F1049" i="80"/>
  <c r="E1051" i="80" l="1"/>
  <c r="F1050" i="80"/>
  <c r="E1052" i="80" l="1"/>
  <c r="F1051" i="80"/>
  <c r="E1053" i="80" l="1"/>
  <c r="F1052" i="80"/>
  <c r="E1054" i="80" l="1"/>
  <c r="F1053" i="80"/>
  <c r="E1055" i="80" l="1"/>
  <c r="F1054" i="80"/>
  <c r="E1056" i="80" l="1"/>
  <c r="F1055" i="80"/>
  <c r="E1057" i="80" l="1"/>
  <c r="F1056" i="80"/>
  <c r="E1058" i="80" l="1"/>
  <c r="F1057" i="80"/>
  <c r="E1059" i="80" l="1"/>
  <c r="F1058" i="80"/>
  <c r="E1060" i="80" l="1"/>
  <c r="F1059" i="80"/>
  <c r="E1061" i="80" l="1"/>
  <c r="F1060" i="80"/>
  <c r="E1062" i="80" l="1"/>
  <c r="F1061" i="80"/>
  <c r="E1063" i="80" l="1"/>
  <c r="F1062" i="80"/>
  <c r="E1064" i="80" l="1"/>
  <c r="F1063" i="80"/>
  <c r="E1065" i="80" l="1"/>
  <c r="F1064" i="80"/>
  <c r="E1066" i="80" l="1"/>
  <c r="F1065" i="80"/>
  <c r="E1067" i="80" l="1"/>
  <c r="F1066" i="80"/>
  <c r="E1068" i="80" l="1"/>
  <c r="F1067" i="80"/>
  <c r="E1069" i="80" l="1"/>
  <c r="F1068" i="80"/>
  <c r="E1070" i="80" l="1"/>
  <c r="F1069" i="80"/>
  <c r="E1071" i="80" l="1"/>
  <c r="F1070" i="80"/>
  <c r="E1072" i="80" l="1"/>
  <c r="F1071" i="80"/>
  <c r="E1073" i="80" l="1"/>
  <c r="F1072" i="80"/>
  <c r="E1074" i="80" l="1"/>
  <c r="F1073" i="80"/>
  <c r="E1075" i="80" l="1"/>
  <c r="F1074" i="80"/>
  <c r="E1076" i="80" l="1"/>
  <c r="F1075" i="80"/>
  <c r="E1077" i="80" l="1"/>
  <c r="F1076" i="80"/>
  <c r="E1078" i="80" l="1"/>
  <c r="F1077" i="80"/>
  <c r="E1079" i="80" l="1"/>
  <c r="F1078" i="80"/>
  <c r="E1080" i="80" l="1"/>
  <c r="F1079" i="80"/>
  <c r="E1081" i="80" l="1"/>
  <c r="F1080" i="80"/>
  <c r="E1082" i="80" l="1"/>
  <c r="F1081" i="80"/>
  <c r="E1083" i="80" l="1"/>
  <c r="F1082" i="80"/>
  <c r="E1084" i="80" l="1"/>
  <c r="F1083" i="80"/>
  <c r="E1085" i="80" l="1"/>
  <c r="F1084" i="80"/>
  <c r="E1086" i="80" l="1"/>
  <c r="F1085" i="80"/>
  <c r="E1087" i="80" l="1"/>
  <c r="F1086" i="80"/>
  <c r="E1088" i="80" l="1"/>
  <c r="F1087" i="80"/>
  <c r="E1089" i="80" l="1"/>
  <c r="F1088" i="80"/>
  <c r="E1090" i="80" l="1"/>
  <c r="F1089" i="80"/>
  <c r="E1091" i="80" l="1"/>
  <c r="F1090" i="80"/>
  <c r="E1092" i="80" l="1"/>
  <c r="F1091" i="80"/>
  <c r="E1093" i="80" l="1"/>
  <c r="F1092" i="80"/>
  <c r="E1094" i="80" l="1"/>
  <c r="F1093" i="80"/>
  <c r="E1095" i="80" l="1"/>
  <c r="F1094" i="80"/>
  <c r="E1096" i="80" l="1"/>
  <c r="F1095" i="80"/>
  <c r="E1097" i="80" l="1"/>
  <c r="F1096" i="80"/>
  <c r="E1098" i="80" l="1"/>
  <c r="F1097" i="80"/>
  <c r="E1099" i="80" l="1"/>
  <c r="F1098" i="80"/>
  <c r="E1100" i="80" l="1"/>
  <c r="F1099" i="80"/>
  <c r="E1101" i="80" l="1"/>
  <c r="F1100" i="80"/>
  <c r="E1102" i="80" l="1"/>
  <c r="F1101" i="80"/>
  <c r="E1103" i="80" l="1"/>
  <c r="F1102" i="80"/>
  <c r="E1104" i="80" l="1"/>
  <c r="F1103" i="80"/>
  <c r="E1105" i="80" l="1"/>
  <c r="F1104" i="80"/>
  <c r="E1106" i="80" l="1"/>
  <c r="F1105" i="80"/>
  <c r="E1107" i="80" l="1"/>
  <c r="F1106" i="80"/>
  <c r="E1108" i="80" l="1"/>
  <c r="F1107" i="80"/>
  <c r="E1109" i="80" l="1"/>
  <c r="F1108" i="80"/>
  <c r="E1110" i="80" l="1"/>
  <c r="F1109" i="80"/>
  <c r="E1111" i="80" l="1"/>
  <c r="F1110" i="80"/>
  <c r="E1112" i="80" l="1"/>
  <c r="F1111" i="80"/>
  <c r="E1113" i="80" l="1"/>
  <c r="F1112" i="80"/>
  <c r="E1114" i="80" l="1"/>
  <c r="F1113" i="80"/>
  <c r="E1115" i="80" l="1"/>
  <c r="F1114" i="80"/>
  <c r="E1116" i="80" l="1"/>
  <c r="F1115" i="80"/>
  <c r="E1117" i="80" l="1"/>
  <c r="F1116" i="80"/>
  <c r="E1118" i="80" l="1"/>
  <c r="F1117" i="80"/>
  <c r="E1119" i="80" l="1"/>
  <c r="F1118" i="80"/>
  <c r="E1120" i="80" l="1"/>
  <c r="F1119" i="80"/>
  <c r="E1121" i="80" l="1"/>
  <c r="F1120" i="80"/>
  <c r="E1122" i="80" l="1"/>
  <c r="F1121" i="80"/>
  <c r="E1123" i="80" l="1"/>
  <c r="F1122" i="80"/>
  <c r="E1124" i="80" l="1"/>
  <c r="F1123" i="80"/>
  <c r="E1125" i="80" l="1"/>
  <c r="F1124" i="80"/>
  <c r="E1126" i="80" l="1"/>
  <c r="F1125" i="80"/>
  <c r="E1127" i="80" l="1"/>
  <c r="F1126" i="80"/>
  <c r="E1128" i="80" l="1"/>
  <c r="F1127" i="80"/>
  <c r="E1129" i="80" l="1"/>
  <c r="F1128" i="80"/>
  <c r="E1130" i="80" l="1"/>
  <c r="F1129" i="80"/>
  <c r="E1131" i="80" l="1"/>
  <c r="F1130" i="80"/>
  <c r="E1132" i="80" l="1"/>
  <c r="F1131" i="80"/>
  <c r="E1133" i="80" l="1"/>
  <c r="F1132" i="80"/>
  <c r="E1134" i="80" l="1"/>
  <c r="F1133" i="80"/>
  <c r="E1135" i="80" l="1"/>
  <c r="F1134" i="80"/>
  <c r="E1136" i="80" l="1"/>
  <c r="F1135" i="80"/>
  <c r="E1137" i="80" l="1"/>
  <c r="F1136" i="80"/>
  <c r="E1138" i="80" l="1"/>
  <c r="F1137" i="80"/>
  <c r="E1139" i="80" l="1"/>
  <c r="F1138" i="80"/>
  <c r="E1140" i="80" l="1"/>
  <c r="F1139" i="80"/>
  <c r="E1141" i="80" l="1"/>
  <c r="F1140" i="80"/>
  <c r="E1142" i="80" l="1"/>
  <c r="F1141" i="80"/>
  <c r="E1143" i="80" l="1"/>
  <c r="F1142" i="80"/>
  <c r="E1144" i="80" l="1"/>
  <c r="F1143" i="80"/>
  <c r="E1145" i="80" l="1"/>
  <c r="F1144" i="80"/>
  <c r="E1146" i="80" l="1"/>
  <c r="F1145" i="80"/>
  <c r="E1147" i="80" l="1"/>
  <c r="F1146" i="80"/>
  <c r="E1148" i="80" l="1"/>
  <c r="F1147" i="80"/>
  <c r="E1149" i="80" l="1"/>
  <c r="F1148" i="80"/>
  <c r="E1150" i="80" l="1"/>
  <c r="F1149" i="80"/>
  <c r="E1151" i="80" l="1"/>
  <c r="F1150" i="80"/>
  <c r="E1152" i="80" l="1"/>
  <c r="F1151" i="80"/>
  <c r="E1153" i="80" l="1"/>
  <c r="F1152" i="80"/>
  <c r="E1154" i="80" l="1"/>
  <c r="F1153" i="80"/>
  <c r="E1155" i="80" l="1"/>
  <c r="F1154" i="80"/>
  <c r="E1156" i="80" l="1"/>
  <c r="F1155" i="80"/>
  <c r="E1157" i="80" l="1"/>
  <c r="F1156" i="80"/>
  <c r="E1158" i="80" l="1"/>
  <c r="F1157" i="80"/>
  <c r="E1159" i="80" l="1"/>
  <c r="F1158" i="80"/>
  <c r="E1160" i="80" l="1"/>
  <c r="F1159" i="80"/>
  <c r="E1161" i="80" l="1"/>
  <c r="F1160" i="80"/>
  <c r="E1162" i="80" l="1"/>
  <c r="F1161" i="80"/>
  <c r="E1163" i="80" l="1"/>
  <c r="F1162" i="80"/>
  <c r="E1164" i="80" l="1"/>
  <c r="F1163" i="80"/>
  <c r="E1165" i="80" l="1"/>
  <c r="F1164" i="80"/>
  <c r="E1166" i="80" l="1"/>
  <c r="F1165" i="80"/>
  <c r="E1167" i="80" l="1"/>
  <c r="F1166" i="80"/>
  <c r="E1168" i="80" l="1"/>
  <c r="F1167" i="80"/>
  <c r="E1169" i="80" l="1"/>
  <c r="F1168" i="80"/>
  <c r="E1170" i="80" l="1"/>
  <c r="F1169" i="80"/>
  <c r="E1171" i="80" l="1"/>
  <c r="F1170" i="80"/>
  <c r="E1172" i="80" l="1"/>
  <c r="F1171" i="80"/>
  <c r="E1173" i="80" l="1"/>
  <c r="F1172" i="80"/>
  <c r="E1174" i="80" l="1"/>
  <c r="F1173" i="80"/>
  <c r="E1175" i="80" l="1"/>
  <c r="F1174" i="80"/>
  <c r="E1176" i="80" l="1"/>
  <c r="F1175" i="80"/>
  <c r="E1177" i="80" l="1"/>
  <c r="F1176" i="80"/>
  <c r="E1178" i="80" l="1"/>
  <c r="F1177" i="80"/>
  <c r="E1179" i="80" l="1"/>
  <c r="F1178" i="80"/>
  <c r="E1180" i="80" l="1"/>
  <c r="F1179" i="80"/>
  <c r="E1181" i="80" l="1"/>
  <c r="F1180" i="80"/>
  <c r="E1182" i="80" l="1"/>
  <c r="F1181" i="80"/>
  <c r="E1183" i="80" l="1"/>
  <c r="F1182" i="80"/>
  <c r="E1184" i="80" l="1"/>
  <c r="F1183" i="80"/>
  <c r="E1185" i="80" l="1"/>
  <c r="F1184" i="80"/>
  <c r="E1186" i="80" l="1"/>
  <c r="F1185" i="80"/>
  <c r="E1187" i="80" l="1"/>
  <c r="F1186" i="80"/>
  <c r="E1188" i="80" l="1"/>
  <c r="F1187" i="80"/>
  <c r="E1189" i="80" l="1"/>
  <c r="F1188" i="80"/>
  <c r="E1190" i="80" l="1"/>
  <c r="F1189" i="80"/>
  <c r="E1191" i="80" l="1"/>
  <c r="F1190" i="80"/>
  <c r="E1192" i="80" l="1"/>
  <c r="F1191" i="80"/>
  <c r="E1193" i="80" l="1"/>
  <c r="F1192" i="80"/>
  <c r="E1194" i="80" l="1"/>
  <c r="F1193" i="80"/>
  <c r="E1195" i="80" l="1"/>
  <c r="F1194" i="80"/>
  <c r="E1196" i="80" l="1"/>
  <c r="F1195" i="80"/>
  <c r="E1197" i="80" l="1"/>
  <c r="F1196" i="80"/>
  <c r="E1198" i="80" l="1"/>
  <c r="F1197" i="80"/>
  <c r="E1199" i="80" l="1"/>
  <c r="F1198" i="80"/>
  <c r="E1200" i="80" l="1"/>
  <c r="F1199" i="80"/>
  <c r="E1201" i="80" l="1"/>
  <c r="F1200" i="80"/>
  <c r="E1202" i="80" l="1"/>
  <c r="F1201" i="80"/>
  <c r="E1203" i="80" l="1"/>
  <c r="F1202" i="80"/>
  <c r="E1204" i="80" l="1"/>
  <c r="F1203" i="80"/>
  <c r="E1205" i="80" l="1"/>
  <c r="F1204" i="80"/>
  <c r="E1206" i="80" l="1"/>
  <c r="F1205" i="80"/>
  <c r="E1207" i="80" l="1"/>
  <c r="F1206" i="80"/>
  <c r="E1208" i="80" l="1"/>
  <c r="F1207" i="80"/>
  <c r="E1209" i="80" l="1"/>
  <c r="F1208" i="80"/>
  <c r="E1210" i="80" l="1"/>
  <c r="F1209" i="80"/>
  <c r="E1211" i="80" l="1"/>
  <c r="F1210" i="80"/>
  <c r="E1212" i="80" l="1"/>
  <c r="F1211" i="80"/>
  <c r="E1213" i="80" l="1"/>
  <c r="F1212" i="80"/>
  <c r="E1214" i="80" l="1"/>
  <c r="F1213" i="80"/>
  <c r="E1215" i="80" l="1"/>
  <c r="F1214" i="80"/>
  <c r="E1216" i="80" l="1"/>
  <c r="F1215" i="80"/>
  <c r="E1217" i="80" l="1"/>
  <c r="F1216" i="80"/>
  <c r="E1218" i="80" l="1"/>
  <c r="F1217" i="80"/>
  <c r="E1219" i="80" l="1"/>
  <c r="F1218" i="80"/>
  <c r="E1220" i="80" l="1"/>
  <c r="F1219" i="80"/>
  <c r="E1221" i="80" l="1"/>
  <c r="F1220" i="80"/>
  <c r="E1222" i="80" l="1"/>
  <c r="F1221" i="80"/>
  <c r="E1223" i="80" l="1"/>
  <c r="F1222" i="80"/>
  <c r="E1224" i="80" l="1"/>
  <c r="F1223" i="80"/>
  <c r="E1225" i="80" l="1"/>
  <c r="F1224" i="80"/>
  <c r="E1226" i="80" l="1"/>
  <c r="F1225" i="80"/>
  <c r="E1227" i="80" l="1"/>
  <c r="F1226" i="80"/>
  <c r="E1228" i="80" l="1"/>
  <c r="F1227" i="80"/>
  <c r="E1229" i="80" l="1"/>
  <c r="F1228" i="80"/>
  <c r="E1230" i="80" l="1"/>
  <c r="F1229" i="80"/>
  <c r="E1231" i="80" l="1"/>
  <c r="F1230" i="80"/>
  <c r="E1232" i="80" l="1"/>
  <c r="F1231" i="80"/>
  <c r="E1233" i="80" l="1"/>
  <c r="F1232" i="80"/>
  <c r="E1234" i="80" l="1"/>
  <c r="F1233" i="80"/>
  <c r="E1235" i="80" l="1"/>
  <c r="F1234" i="80"/>
  <c r="E1236" i="80" l="1"/>
  <c r="F1235" i="80"/>
  <c r="E1237" i="80" l="1"/>
  <c r="F1236" i="80"/>
  <c r="E1238" i="80" l="1"/>
  <c r="F1237" i="80"/>
  <c r="E1239" i="80" l="1"/>
  <c r="F1238" i="80"/>
  <c r="E1240" i="80" l="1"/>
  <c r="F1239" i="80"/>
  <c r="E1241" i="80" l="1"/>
  <c r="F1240" i="80"/>
  <c r="E1242" i="80" l="1"/>
  <c r="F1241" i="80"/>
  <c r="E1243" i="80" l="1"/>
  <c r="F1242" i="80"/>
  <c r="E1244" i="80" l="1"/>
  <c r="F1243" i="80"/>
  <c r="E1245" i="80" l="1"/>
  <c r="F1244" i="80"/>
  <c r="E1246" i="80" l="1"/>
  <c r="F1245" i="80"/>
  <c r="E1247" i="80" l="1"/>
  <c r="F1246" i="80"/>
  <c r="E1248" i="80" l="1"/>
  <c r="F1247" i="80"/>
  <c r="E1249" i="80" l="1"/>
  <c r="F1248" i="80"/>
  <c r="E1250" i="80" l="1"/>
  <c r="F1249" i="80"/>
  <c r="E1251" i="80" l="1"/>
  <c r="F1250" i="80"/>
  <c r="E1252" i="80" l="1"/>
  <c r="F1251" i="80"/>
  <c r="E1253" i="80" l="1"/>
  <c r="F1252" i="80"/>
  <c r="E1254" i="80" l="1"/>
  <c r="F1253" i="80"/>
  <c r="E1255" i="80" l="1"/>
  <c r="F1254" i="80"/>
  <c r="E1256" i="80" l="1"/>
  <c r="F1255" i="80"/>
  <c r="E1257" i="80" l="1"/>
  <c r="F1256" i="80"/>
  <c r="E1258" i="80" l="1"/>
  <c r="F1257" i="80"/>
  <c r="E1259" i="80" l="1"/>
  <c r="F1258" i="80"/>
  <c r="E1260" i="80" l="1"/>
  <c r="F1259" i="80"/>
  <c r="E1261" i="80" l="1"/>
  <c r="F1260" i="80"/>
  <c r="E1262" i="80" l="1"/>
  <c r="F1261" i="80"/>
  <c r="E1263" i="80" l="1"/>
  <c r="F1262" i="80"/>
  <c r="E1264" i="80" l="1"/>
  <c r="F1263" i="80"/>
  <c r="E1265" i="80" l="1"/>
  <c r="F1264" i="80"/>
  <c r="E1266" i="80" l="1"/>
  <c r="F1265" i="80"/>
  <c r="E1267" i="80" l="1"/>
  <c r="F1266" i="80"/>
  <c r="E1268" i="80" l="1"/>
  <c r="F1267" i="80"/>
  <c r="E1269" i="80" l="1"/>
  <c r="F1268" i="80"/>
  <c r="E1270" i="80" l="1"/>
  <c r="F1269" i="80"/>
  <c r="E1271" i="80" l="1"/>
  <c r="F1270" i="80"/>
  <c r="E1272" i="80" l="1"/>
  <c r="F1271" i="80"/>
  <c r="E1273" i="80" l="1"/>
  <c r="F1272" i="80"/>
  <c r="E1274" i="80" l="1"/>
  <c r="F1273" i="80"/>
  <c r="E1275" i="80" l="1"/>
  <c r="F1274" i="80"/>
  <c r="E1276" i="80" l="1"/>
  <c r="F1275" i="80"/>
  <c r="E1277" i="80" l="1"/>
  <c r="F1276" i="80"/>
  <c r="E1278" i="80" l="1"/>
  <c r="F1277" i="80"/>
  <c r="E1279" i="80" l="1"/>
  <c r="F1278" i="80"/>
  <c r="E1280" i="80" l="1"/>
  <c r="F1279" i="80"/>
  <c r="E1281" i="80" l="1"/>
  <c r="F1280" i="80"/>
  <c r="E1282" i="80" l="1"/>
  <c r="F1281" i="80"/>
  <c r="E1283" i="80" l="1"/>
  <c r="F1282" i="80"/>
  <c r="E1284" i="80" l="1"/>
  <c r="F1283" i="80"/>
  <c r="E1285" i="80" l="1"/>
  <c r="F1284" i="80"/>
  <c r="E1286" i="80" l="1"/>
  <c r="F1285" i="80"/>
  <c r="E1287" i="80" l="1"/>
  <c r="F1286" i="80"/>
  <c r="E1288" i="80" l="1"/>
  <c r="F1287" i="80"/>
  <c r="E1289" i="80" l="1"/>
  <c r="F1288" i="80"/>
  <c r="E1290" i="80" l="1"/>
  <c r="F1289" i="80"/>
  <c r="E1291" i="80" l="1"/>
  <c r="F1290" i="80"/>
  <c r="E1292" i="80" l="1"/>
  <c r="F1291" i="80"/>
  <c r="E1293" i="80" l="1"/>
  <c r="F1292" i="80"/>
  <c r="E1294" i="80" l="1"/>
  <c r="F1293" i="80"/>
  <c r="E1295" i="80" l="1"/>
  <c r="F1294" i="80"/>
  <c r="E1296" i="80" l="1"/>
  <c r="F1295" i="80"/>
  <c r="E1297" i="80" l="1"/>
  <c r="F1296" i="80"/>
  <c r="E1298" i="80" l="1"/>
  <c r="F1297" i="80"/>
  <c r="E1299" i="80" l="1"/>
  <c r="F1298" i="80"/>
  <c r="E1300" i="80" l="1"/>
  <c r="F1299" i="80"/>
  <c r="E1301" i="80" l="1"/>
  <c r="F1300" i="80"/>
  <c r="E1302" i="80" l="1"/>
  <c r="F1301" i="80"/>
  <c r="E1303" i="80" l="1"/>
  <c r="F1302" i="80"/>
  <c r="E1304" i="80" l="1"/>
  <c r="F1303" i="80"/>
  <c r="E1305" i="80" l="1"/>
  <c r="F1304" i="80"/>
  <c r="E1306" i="80" l="1"/>
  <c r="F1305" i="80"/>
  <c r="E1307" i="80" l="1"/>
  <c r="F1306" i="80"/>
  <c r="E1308" i="80" l="1"/>
  <c r="F1307" i="80"/>
  <c r="E1309" i="80" l="1"/>
  <c r="F1308" i="80"/>
  <c r="E1310" i="80" l="1"/>
  <c r="F1309" i="80"/>
  <c r="E1311" i="80" l="1"/>
  <c r="F1310" i="80"/>
  <c r="E1312" i="80" l="1"/>
  <c r="F1311" i="80"/>
  <c r="E1313" i="80" l="1"/>
  <c r="F1312" i="80"/>
  <c r="E1314" i="80" l="1"/>
  <c r="F1313" i="80"/>
  <c r="E1315" i="80" l="1"/>
  <c r="F1314" i="80"/>
  <c r="E1316" i="80" l="1"/>
  <c r="F1315" i="80"/>
  <c r="E1317" i="80" l="1"/>
  <c r="F1316" i="80"/>
  <c r="E1318" i="80" l="1"/>
  <c r="F1317" i="80"/>
  <c r="E1319" i="80" l="1"/>
  <c r="F1318" i="80"/>
  <c r="E1320" i="80" l="1"/>
  <c r="F1319" i="80"/>
  <c r="E1321" i="80" l="1"/>
  <c r="F1320" i="80"/>
  <c r="E1322" i="80" l="1"/>
  <c r="F1321" i="80"/>
  <c r="E1323" i="80" l="1"/>
  <c r="F1322" i="80"/>
  <c r="E1324" i="80" l="1"/>
  <c r="F1323" i="80"/>
  <c r="E1325" i="80" l="1"/>
  <c r="F1324" i="80"/>
  <c r="E1326" i="80" l="1"/>
  <c r="F1325" i="80"/>
  <c r="E1327" i="80" l="1"/>
  <c r="F1326" i="80"/>
  <c r="E1328" i="80" l="1"/>
  <c r="F1327" i="80"/>
  <c r="E1329" i="80" l="1"/>
  <c r="F1328" i="80"/>
  <c r="E1330" i="80" l="1"/>
  <c r="F1329" i="80"/>
  <c r="E1331" i="80" l="1"/>
  <c r="F1330" i="80"/>
  <c r="E1332" i="80" l="1"/>
  <c r="F1331" i="80"/>
  <c r="E1333" i="80" l="1"/>
  <c r="F1332" i="80"/>
  <c r="E1334" i="80" l="1"/>
  <c r="F1333" i="80"/>
  <c r="E1335" i="80" l="1"/>
  <c r="F1334" i="80"/>
  <c r="E1336" i="80" l="1"/>
  <c r="F1335" i="80"/>
  <c r="E1337" i="80" l="1"/>
  <c r="F1336" i="80"/>
  <c r="E1338" i="80" l="1"/>
  <c r="F1337" i="80"/>
  <c r="E1339" i="80" l="1"/>
  <c r="F1338" i="80"/>
  <c r="E1340" i="80" l="1"/>
  <c r="F1339" i="80"/>
  <c r="E1341" i="80" l="1"/>
  <c r="F1340" i="80"/>
  <c r="E1342" i="80" l="1"/>
  <c r="F1341" i="80"/>
  <c r="E1343" i="80" l="1"/>
  <c r="F1342" i="80"/>
  <c r="E1344" i="80" l="1"/>
  <c r="F1343" i="80"/>
  <c r="E1345" i="80" l="1"/>
  <c r="F1344" i="80"/>
  <c r="E1346" i="80" l="1"/>
  <c r="F1345" i="80"/>
  <c r="E1347" i="80" l="1"/>
  <c r="F1346" i="80"/>
  <c r="E1348" i="80" l="1"/>
  <c r="F1347" i="80"/>
  <c r="E1349" i="80" l="1"/>
  <c r="F1348" i="80"/>
  <c r="E1350" i="80" l="1"/>
  <c r="F1349" i="80"/>
  <c r="E1351" i="80" l="1"/>
  <c r="F1350" i="80"/>
  <c r="E1352" i="80" l="1"/>
  <c r="F1351" i="80"/>
  <c r="E1353" i="80" l="1"/>
  <c r="F1352" i="80"/>
  <c r="E1354" i="80" l="1"/>
  <c r="F1353" i="80"/>
  <c r="E1355" i="80" l="1"/>
  <c r="F1354" i="80"/>
  <c r="E1356" i="80" l="1"/>
  <c r="F1355" i="80"/>
  <c r="E1357" i="80" l="1"/>
  <c r="F1356" i="80"/>
  <c r="E1358" i="80" l="1"/>
  <c r="F1357" i="80"/>
  <c r="E1359" i="80" l="1"/>
  <c r="F1358" i="80"/>
  <c r="E1360" i="80" l="1"/>
  <c r="F1359" i="80"/>
  <c r="E1361" i="80" l="1"/>
  <c r="F1360" i="80"/>
  <c r="E1362" i="80" l="1"/>
  <c r="F1361" i="80"/>
  <c r="E1363" i="80" l="1"/>
  <c r="F1362" i="80"/>
  <c r="E1364" i="80" l="1"/>
  <c r="F1363" i="80"/>
  <c r="E1365" i="80" l="1"/>
  <c r="F1364" i="80"/>
  <c r="E1366" i="80" l="1"/>
  <c r="F1365" i="80"/>
  <c r="E1367" i="80" l="1"/>
  <c r="F1366" i="80"/>
  <c r="E1368" i="80" l="1"/>
  <c r="F1367" i="80"/>
  <c r="E1369" i="80" l="1"/>
  <c r="F1368" i="80"/>
  <c r="E1370" i="80" l="1"/>
  <c r="F1369" i="80"/>
  <c r="E1371" i="80" l="1"/>
  <c r="F1370" i="80"/>
  <c r="E1372" i="80" l="1"/>
  <c r="F1371" i="80"/>
  <c r="E1373" i="80" l="1"/>
  <c r="F1372" i="80"/>
  <c r="E1374" i="80" l="1"/>
  <c r="F1373" i="80"/>
  <c r="E1375" i="80" l="1"/>
  <c r="F1374" i="80"/>
  <c r="E1376" i="80" l="1"/>
  <c r="F1375" i="80"/>
  <c r="E1377" i="80" l="1"/>
  <c r="F1376" i="80"/>
  <c r="E1378" i="80" l="1"/>
  <c r="F1377" i="80"/>
  <c r="E1379" i="80" l="1"/>
  <c r="F1378" i="80"/>
  <c r="E1380" i="80" l="1"/>
  <c r="F1379" i="80"/>
  <c r="E1381" i="80" l="1"/>
  <c r="F1380" i="80"/>
  <c r="E1382" i="80" l="1"/>
  <c r="F1381" i="80"/>
  <c r="E1383" i="80" l="1"/>
  <c r="F1382" i="80"/>
  <c r="E1384" i="80" l="1"/>
  <c r="F1383" i="80"/>
  <c r="E1385" i="80" l="1"/>
  <c r="F1384" i="80"/>
  <c r="E1386" i="80" l="1"/>
  <c r="F1385" i="80"/>
  <c r="E1387" i="80" l="1"/>
  <c r="F1386" i="80"/>
  <c r="E1388" i="80" l="1"/>
  <c r="F1387" i="80"/>
  <c r="E1389" i="80" l="1"/>
  <c r="F1388" i="80"/>
  <c r="E1390" i="80" l="1"/>
  <c r="F1389" i="80"/>
  <c r="E1391" i="80" l="1"/>
  <c r="F1390" i="80"/>
  <c r="E1392" i="80" l="1"/>
  <c r="F1391" i="80"/>
  <c r="E1393" i="80" l="1"/>
  <c r="F1392" i="80"/>
  <c r="E1394" i="80" l="1"/>
  <c r="F1393" i="80"/>
  <c r="E1395" i="80" l="1"/>
  <c r="F1394" i="80"/>
  <c r="E1396" i="80" l="1"/>
  <c r="F1395" i="80"/>
  <c r="E1397" i="80" l="1"/>
  <c r="F1396" i="80"/>
  <c r="E1398" i="80" l="1"/>
  <c r="F1397" i="80"/>
  <c r="E1399" i="80" l="1"/>
  <c r="F1398" i="80"/>
  <c r="E1400" i="80" l="1"/>
  <c r="F1399" i="80"/>
  <c r="E1401" i="80" l="1"/>
  <c r="F1400" i="80"/>
  <c r="E1402" i="80" l="1"/>
  <c r="F1401" i="80"/>
  <c r="E1403" i="80" l="1"/>
  <c r="F1402" i="80"/>
  <c r="E1404" i="80" l="1"/>
  <c r="F1403" i="80"/>
  <c r="E1405" i="80" l="1"/>
  <c r="F1404" i="80"/>
  <c r="E1406" i="80" l="1"/>
  <c r="F1405" i="80"/>
  <c r="E1407" i="80" l="1"/>
  <c r="F1406" i="80"/>
  <c r="E1408" i="80" l="1"/>
  <c r="F1407" i="80"/>
  <c r="E1409" i="80" l="1"/>
  <c r="F1408" i="80"/>
  <c r="E1410" i="80" l="1"/>
  <c r="F1409" i="80"/>
  <c r="E1411" i="80" l="1"/>
  <c r="F1410" i="80"/>
  <c r="E1412" i="80" l="1"/>
  <c r="F1411" i="80"/>
  <c r="E1413" i="80" l="1"/>
  <c r="F1412" i="80"/>
  <c r="E1414" i="80" l="1"/>
  <c r="F1413" i="80"/>
  <c r="E1415" i="80" l="1"/>
  <c r="F1414" i="80"/>
  <c r="E1416" i="80" l="1"/>
  <c r="F1415" i="80"/>
  <c r="E1417" i="80" l="1"/>
  <c r="F1416" i="80"/>
  <c r="E1418" i="80" l="1"/>
  <c r="F1417" i="80"/>
  <c r="E1419" i="80" l="1"/>
  <c r="F1418" i="80"/>
  <c r="E1420" i="80" l="1"/>
  <c r="F1419" i="80"/>
  <c r="E1421" i="80" l="1"/>
  <c r="F1420" i="80"/>
  <c r="E1422" i="80" l="1"/>
  <c r="F1421" i="80"/>
  <c r="E1423" i="80" l="1"/>
  <c r="F1422" i="80"/>
  <c r="E1424" i="80" l="1"/>
  <c r="F1423" i="80"/>
  <c r="E1425" i="80" l="1"/>
  <c r="F1424" i="80"/>
  <c r="E1426" i="80" l="1"/>
  <c r="F1425" i="80"/>
  <c r="E1427" i="80" l="1"/>
  <c r="F1426" i="80"/>
  <c r="E1428" i="80" l="1"/>
  <c r="F1427" i="80"/>
  <c r="E1429" i="80" l="1"/>
  <c r="F1428" i="80"/>
  <c r="E1430" i="80" l="1"/>
  <c r="F1429" i="80"/>
  <c r="E1431" i="80" l="1"/>
  <c r="F1430" i="80"/>
  <c r="E1432" i="80" l="1"/>
  <c r="F1431" i="80"/>
  <c r="E1433" i="80" l="1"/>
  <c r="F1432" i="80"/>
  <c r="E1434" i="80" l="1"/>
  <c r="F1433" i="80"/>
  <c r="E1435" i="80" l="1"/>
  <c r="F1434" i="80"/>
  <c r="E1436" i="80" l="1"/>
  <c r="F1435" i="80"/>
  <c r="E1437" i="80" l="1"/>
  <c r="F1436" i="80"/>
  <c r="E1438" i="80" l="1"/>
  <c r="F1437" i="80"/>
  <c r="E1439" i="80" l="1"/>
  <c r="F1438" i="80"/>
  <c r="E1440" i="80" l="1"/>
  <c r="F1439" i="80"/>
  <c r="E1441" i="80" l="1"/>
  <c r="F1440" i="80"/>
  <c r="E1442" i="80" l="1"/>
  <c r="F1441" i="80"/>
  <c r="E1443" i="80" l="1"/>
  <c r="F1442" i="80"/>
  <c r="E1444" i="80" l="1"/>
  <c r="F1443" i="80"/>
  <c r="E1445" i="80" l="1"/>
  <c r="F1444" i="80"/>
  <c r="E1446" i="80" l="1"/>
  <c r="F1445" i="80"/>
  <c r="E1447" i="80" l="1"/>
  <c r="F1446" i="80"/>
  <c r="E1448" i="80" l="1"/>
  <c r="F1447" i="80"/>
  <c r="E1449" i="80" l="1"/>
  <c r="F1448" i="80"/>
  <c r="E1450" i="80" l="1"/>
  <c r="F1449" i="80"/>
  <c r="E1451" i="80" l="1"/>
  <c r="F1450" i="80"/>
  <c r="E1452" i="80" l="1"/>
  <c r="F1451" i="80"/>
  <c r="E1453" i="80" l="1"/>
  <c r="F1452" i="80"/>
  <c r="E1454" i="80" l="1"/>
  <c r="F1453" i="80"/>
  <c r="E1455" i="80" l="1"/>
  <c r="F1454" i="80"/>
  <c r="E1456" i="80" l="1"/>
  <c r="F1455" i="80"/>
  <c r="E1457" i="80" l="1"/>
  <c r="F1456" i="80"/>
  <c r="E1458" i="80" l="1"/>
  <c r="F1457" i="80"/>
  <c r="E1459" i="80" l="1"/>
  <c r="F1458" i="80"/>
  <c r="E1460" i="80" l="1"/>
  <c r="F1459" i="80"/>
  <c r="E1461" i="80" l="1"/>
  <c r="F1460" i="80"/>
  <c r="E1462" i="80" l="1"/>
  <c r="F1461" i="80"/>
  <c r="E1463" i="80" l="1"/>
  <c r="F1462" i="80"/>
  <c r="E1464" i="80" l="1"/>
  <c r="F1463" i="80"/>
  <c r="E1465" i="80" l="1"/>
  <c r="F1464" i="80"/>
  <c r="E1466" i="80" l="1"/>
  <c r="F1465" i="80"/>
  <c r="E1467" i="80" l="1"/>
  <c r="F1466" i="80"/>
  <c r="E1468" i="80" l="1"/>
  <c r="F1467" i="80"/>
  <c r="E1469" i="80" l="1"/>
  <c r="F1468" i="80"/>
  <c r="E1470" i="80" l="1"/>
  <c r="F1469" i="80"/>
  <c r="E1471" i="80" l="1"/>
  <c r="F1470" i="80"/>
  <c r="E1472" i="80" l="1"/>
  <c r="F1471" i="80"/>
  <c r="E1473" i="80" l="1"/>
  <c r="F1472" i="80"/>
  <c r="E1474" i="80" l="1"/>
  <c r="F1474" i="80" s="1"/>
  <c r="F1473"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E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E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E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4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<sst xmlns="http://schemas.openxmlformats.org/spreadsheetml/2006/main" count="10608" uniqueCount="4339">
  <si>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</si>
  <si>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</si>
  <si>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</si>
  <si>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</si>
  <si>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</si>
  <si>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</si>
  <si>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</si>
  <si>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</si>
  <si>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</si>
  <si>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</si>
  <si>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</si>
  <si>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</si>
  <si>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</si>
  <si>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</si>
  <si>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</si>
  <si>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</si>
  <si>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</si>
  <si>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</si>
  <si>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</si>
  <si>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</si>
  <si>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</si>
  <si>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</si>
  <si>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</si>
  <si>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</si>
  <si>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</si>
  <si>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</si>
  <si>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</si>
  <si>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</si>
  <si>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</si>
  <si>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</si>
  <si>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</si>
  <si>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</si>
  <si>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</si>
  <si>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</si>
  <si>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</si>
  <si>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</si>
  <si>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</si>
  <si>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</si>
  <si>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</si>
  <si>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</si>
  <si>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</si>
  <si>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</si>
  <si>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</si>
  <si>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</si>
  <si>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</si>
  <si>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</si>
  <si>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</si>
  <si>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</si>
  <si>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</si>
  <si>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</si>
  <si>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</si>
  <si>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</si>
  <si>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</si>
  <si>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</si>
  <si>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</si>
  <si>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</si>
  <si>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</si>
  <si>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</si>
  <si>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</si>
  <si>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</si>
  <si>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</si>
  <si>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</si>
  <si>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</si>
  <si>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</si>
  <si>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</si>
  <si>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</si>
  <si>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</si>
  <si>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</si>
  <si>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</si>
  <si>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</si>
  <si>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</si>
  <si>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</si>
  <si>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</si>
  <si>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</si>
  <si>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</si>
  <si>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</si>
  <si>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</si>
  <si>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</si>
  <si>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</si>
  <si>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</si>
  <si>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</si>
  <si>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</si>
  <si>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</si>
  <si>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</si>
  <si>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</si>
  <si>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</si>
  <si>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</si>
  <si>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</si>
  <si>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</si>
  <si>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</si>
  <si>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</si>
  <si>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</si>
  <si>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</si>
  <si>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</si>
  <si>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</si>
  <si>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</si>
  <si>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</si>
  <si>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</si>
  <si>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</si>
  <si>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</si>
  <si>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</si>
  <si>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</si>
  <si>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</si>
  <si>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</si>
  <si>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</si>
  <si>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</si>
  <si>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</si>
  <si>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</si>
  <si>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</si>
  <si>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</si>
  <si>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</si>
  <si>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</si>
  <si>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</si>
  <si>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</si>
  <si>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</si>
  <si>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</si>
  <si>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</si>
  <si>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</si>
  <si>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</si>
  <si>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</si>
  <si>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</si>
  <si>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</si>
  <si>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</si>
  <si>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</si>
  <si>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</si>
  <si>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</si>
  <si>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</si>
  <si>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</si>
  <si>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</si>
  <si>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</si>
  <si>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</si>
  <si>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</si>
  <si>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</si>
  <si>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</si>
  <si>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</si>
  <si>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</si>
  <si>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</si>
  <si>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</si>
  <si>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</si>
  <si>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</si>
  <si>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</si>
  <si>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</si>
  <si>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</si>
  <si>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</si>
  <si>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</si>
  <si>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</si>
  <si>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</si>
  <si>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</si>
  <si>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</si>
  <si>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</si>
  <si>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</si>
  <si>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</si>
  <si>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</si>
  <si>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</si>
  <si>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</si>
  <si>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</si>
  <si>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</si>
  <si>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</si>
  <si>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</si>
  <si>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</si>
  <si>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</si>
  <si>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</si>
  <si>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</si>
  <si>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</si>
  <si>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</si>
  <si>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</si>
  <si>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</si>
  <si>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</si>
  <si>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</si>
  <si>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</si>
  <si>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</si>
  <si>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</si>
  <si>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</si>
  <si>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</si>
  <si>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</si>
  <si>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</si>
  <si>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</si>
  <si>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</si>
  <si>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</si>
  <si>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</si>
  <si>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</si>
  <si>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</si>
  <si>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</si>
  <si>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</si>
  <si>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</si>
  <si>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</si>
  <si>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</si>
  <si>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</si>
  <si>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</si>
  <si>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</si>
  <si>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</si>
  <si>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</si>
  <si>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</si>
  <si>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</si>
  <si>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</si>
  <si>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</si>
  <si>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</si>
  <si>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</si>
  <si>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</si>
  <si>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</si>
  <si>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</si>
  <si>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</si>
  <si>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</si>
  <si>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</si>
  <si>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</si>
  <si>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</si>
  <si>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</si>
  <si>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</si>
  <si>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</si>
  <si>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</si>
  <si>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</si>
  <si>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</si>
  <si>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</si>
  <si>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</si>
  <si>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</si>
  <si>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</si>
  <si>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</si>
  <si>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</si>
  <si>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</si>
  <si>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</si>
  <si>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</si>
  <si>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</si>
  <si>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</si>
  <si>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</si>
  <si>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</si>
  <si>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</si>
  <si>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</si>
  <si>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</si>
  <si>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</si>
  <si>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</si>
  <si>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</si>
  <si>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</si>
  <si>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</si>
  <si>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</si>
  <si>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</si>
  <si>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</si>
  <si>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</si>
  <si>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</si>
  <si>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</si>
  <si>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</si>
  <si>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</si>
  <si>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</si>
  <si>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</si>
  <si>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</si>
  <si>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</si>
  <si>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</si>
  <si>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</si>
  <si>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</si>
  <si>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</si>
  <si>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</si>
  <si>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</si>
  <si>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</si>
  <si>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</si>
  <si>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</si>
  <si>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</si>
  <si>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</si>
  <si>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</si>
  <si>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</si>
  <si>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</si>
  <si>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</si>
  <si>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</si>
  <si>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</si>
  <si>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</si>
  <si>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</si>
  <si>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</si>
  <si>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</si>
  <si>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</si>
  <si>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</si>
  <si>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</si>
  <si>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</si>
  <si>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</si>
  <si>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</si>
  <si>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</si>
  <si>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</si>
  <si>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</si>
  <si>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</si>
  <si>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</si>
  <si>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</si>
  <si>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</si>
  <si>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</si>
  <si>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</si>
  <si>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</si>
  <si>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</si>
  <si>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</si>
  <si>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</si>
  <si>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</si>
  <si>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</si>
  <si>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</si>
  <si>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</si>
  <si>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</si>
  <si>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</si>
  <si>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</si>
  <si>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</si>
  <si>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</si>
  <si>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</si>
  <si>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</si>
  <si>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</si>
  <si>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</si>
  <si>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</si>
  <si>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</si>
  <si>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</si>
  <si>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</si>
  <si>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</si>
  <si>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</si>
  <si>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</si>
  <si>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</si>
  <si>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</si>
  <si>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</si>
  <si>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</si>
  <si>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</si>
  <si>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</si>
  <si>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</si>
  <si>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</si>
  <si>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</si>
  <si>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</si>
  <si>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</si>
  <si>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</si>
  <si>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</si>
  <si>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</si>
  <si>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</si>
  <si>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</si>
  <si>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</si>
  <si>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</si>
  <si>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</si>
  <si>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</si>
  <si>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</si>
  <si>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</si>
  <si>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</si>
  <si>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</si>
  <si>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</si>
  <si>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</si>
  <si>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</si>
  <si>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</si>
  <si>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</si>
  <si>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</si>
  <si>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</si>
  <si>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</si>
  <si>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</si>
  <si>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</si>
  <si>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</si>
  <si>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</si>
  <si>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</si>
  <si>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</si>
  <si>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</si>
  <si>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</si>
  <si>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</si>
  <si>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</si>
  <si>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</si>
  <si>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</si>
  <si>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</si>
  <si>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</si>
  <si>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</si>
  <si>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</si>
  <si>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</si>
  <si>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</si>
  <si>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</si>
  <si>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</si>
  <si>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</si>
  <si>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</si>
  <si>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</si>
  <si>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</si>
  <si>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</si>
  <si>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</si>
  <si>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</si>
  <si>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</si>
  <si>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</si>
  <si>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</si>
  <si>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</si>
  <si>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</si>
  <si>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</si>
  <si>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</si>
  <si>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</si>
  <si>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</si>
  <si>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</si>
  <si>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</si>
  <si>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</si>
  <si>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</si>
  <si>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</si>
  <si>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</si>
  <si>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</si>
  <si>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</si>
  <si>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</si>
  <si>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</si>
  <si>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</si>
  <si>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</si>
  <si>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</si>
  <si>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</si>
  <si>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</si>
  <si>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</si>
  <si>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</si>
  <si>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</si>
  <si>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</si>
  <si>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</si>
  <si>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</si>
  <si>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</si>
  <si>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</si>
  <si>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</si>
  <si>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</si>
  <si>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</si>
  <si>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</si>
  <si>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</si>
  <si>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</si>
  <si>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</si>
  <si>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</si>
  <si>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</si>
  <si>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</si>
  <si>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</si>
  <si>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</si>
  <si>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</si>
  <si>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</si>
  <si>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</si>
  <si>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</si>
  <si>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</si>
  <si>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</si>
  <si>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</si>
  <si>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</si>
  <si>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</si>
  <si>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</si>
  <si>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</si>
  <si>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</si>
  <si>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</si>
  <si>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</si>
  <si>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</si>
  <si>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</si>
  <si>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</si>
  <si>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</si>
  <si>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</si>
  <si>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</si>
  <si>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</si>
  <si>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</si>
  <si>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</si>
  <si>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</si>
  <si>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</si>
  <si>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</si>
  <si>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</si>
  <si>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</si>
  <si>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</si>
  <si>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</si>
  <si>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</si>
  <si>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</si>
  <si>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</si>
  <si>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</si>
  <si>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</si>
  <si>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</si>
  <si>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</si>
  <si>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</si>
  <si>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</si>
  <si>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</si>
  <si>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</si>
  <si>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</si>
  <si>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</si>
  <si>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</si>
  <si>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</si>
  <si>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</si>
  <si>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</si>
  <si>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</si>
  <si>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</si>
  <si>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</si>
  <si>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</si>
  <si>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</si>
  <si>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</si>
  <si>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</si>
  <si>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</si>
  <si>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</si>
  <si>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</si>
  <si>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</si>
  <si>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</si>
  <si>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</si>
  <si>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</si>
  <si>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</si>
  <si>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</si>
  <si>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</si>
  <si>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</si>
  <si>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</si>
  <si>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</si>
  <si>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</si>
  <si>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</si>
  <si>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</si>
  <si>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</si>
  <si>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</si>
  <si>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</si>
  <si>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</si>
  <si>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</si>
  <si>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</si>
  <si>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</si>
  <si>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</si>
  <si>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</si>
  <si>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</si>
  <si>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</si>
  <si>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</si>
  <si>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</si>
  <si>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</si>
  <si>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</si>
  <si>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</si>
  <si>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</si>
  <si>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</si>
  <si>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</si>
  <si>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</si>
  <si>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</si>
  <si>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</si>
  <si>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</si>
  <si>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</si>
  <si>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</si>
  <si>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</si>
  <si>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</si>
  <si>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</si>
  <si>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</si>
  <si>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</si>
  <si>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</si>
  <si>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</si>
  <si>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</si>
  <si>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</si>
  <si>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</si>
  <si>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</si>
  <si>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</si>
  <si>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</si>
  <si>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</si>
  <si>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</si>
  <si>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</si>
  <si>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</si>
  <si>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</si>
  <si>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</si>
  <si>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</si>
  <si>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</si>
  <si>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</si>
  <si>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</si>
  <si>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</si>
  <si>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</si>
  <si>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</si>
  <si>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</si>
  <si>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</si>
  <si>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</si>
  <si>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</si>
  <si>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</si>
  <si>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</si>
  <si>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</si>
  <si>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</si>
  <si>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</si>
  <si>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</si>
  <si>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</si>
  <si>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</si>
  <si>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</si>
  <si>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</si>
  <si>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</si>
  <si>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</si>
  <si>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</si>
  <si>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</si>
  <si>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</si>
  <si>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</si>
  <si>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</si>
  <si>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</si>
  <si>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</si>
  <si>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</si>
  <si>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</si>
  <si>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</si>
  <si>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</si>
  <si>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</si>
  <si>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</si>
  <si>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</si>
  <si>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</si>
  <si>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</si>
  <si>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</si>
  <si>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</si>
  <si>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</si>
  <si>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</si>
  <si>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</si>
  <si>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</si>
  <si>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</si>
  <si>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</si>
  <si>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</si>
  <si>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</si>
  <si>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</si>
  <si>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</si>
  <si>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</si>
  <si>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</si>
  <si>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</si>
  <si>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</si>
  <si>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</si>
  <si>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</si>
  <si>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</si>
  <si>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</si>
  <si>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</si>
  <si>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</si>
  <si>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</si>
  <si>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</si>
  <si>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</si>
  <si>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</si>
  <si>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</si>
  <si>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</si>
  <si>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</si>
  <si>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</si>
  <si>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</si>
  <si>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</si>
  <si>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</si>
  <si>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</si>
  <si>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</si>
  <si>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</si>
  <si>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</si>
  <si>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</si>
  <si>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</si>
  <si>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</si>
  <si>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</si>
  <si>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</si>
  <si>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</si>
  <si>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</si>
  <si>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</si>
  <si>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</si>
  <si>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</si>
  <si>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</si>
  <si>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</si>
  <si>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</si>
  <si>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</si>
  <si>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</si>
  <si>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</si>
  <si>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</si>
  <si>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</si>
  <si>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</si>
  <si>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</si>
  <si>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</si>
  <si>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</si>
  <si>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</si>
  <si>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</si>
  <si>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</si>
  <si>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</si>
  <si>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</si>
  <si>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</si>
  <si>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</si>
  <si>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</si>
  <si>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</si>
  <si>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</si>
  <si>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</si>
  <si>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</si>
  <si>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</si>
  <si>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</si>
  <si>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</si>
  <si>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</si>
  <si>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</si>
  <si>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</si>
  <si>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</si>
  <si>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</si>
  <si>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</si>
  <si>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</si>
  <si>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</si>
  <si>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</si>
  <si>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</si>
  <si>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</si>
  <si>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</si>
  <si>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</si>
  <si>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</si>
  <si>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</si>
  <si>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</si>
  <si>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</si>
  <si>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</si>
  <si>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</si>
  <si>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</si>
  <si>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</si>
  <si>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</si>
  <si>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</si>
  <si>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</si>
  <si>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</si>
  <si>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</si>
  <si>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</si>
  <si>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</si>
  <si>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</si>
  <si>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</si>
  <si>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</si>
  <si>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</si>
  <si>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</si>
  <si>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</si>
  <si>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</si>
  <si>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</si>
  <si>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</si>
  <si>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</si>
  <si>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</si>
  <si>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</si>
  <si>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</si>
  <si>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</si>
  <si>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</si>
  <si>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</si>
  <si>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</si>
  <si>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</si>
  <si>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</si>
  <si>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</si>
  <si>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</si>
  <si>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</si>
  <si>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</si>
  <si>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</si>
  <si>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</si>
  <si>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</si>
  <si>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</si>
  <si>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</si>
  <si>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</si>
  <si>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</si>
  <si>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</si>
  <si>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</si>
  <si>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</si>
  <si>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</si>
  <si>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</si>
  <si>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</si>
  <si>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</si>
  <si>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</si>
  <si>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</si>
  <si>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</si>
  <si>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</si>
  <si>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</si>
  <si>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</si>
  <si>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</si>
  <si>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</si>
  <si>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</si>
  <si>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</si>
  <si>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</si>
  <si>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</si>
  <si>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</si>
  <si>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</si>
  <si>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</si>
  <si>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</si>
  <si>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</si>
  <si>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</si>
  <si>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</si>
  <si>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</si>
  <si>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</si>
  <si>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</si>
  <si>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</si>
  <si>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</si>
  <si>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</si>
  <si>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</si>
  <si>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</si>
  <si>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</si>
  <si>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</si>
  <si>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</si>
  <si>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</si>
  <si>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</si>
  <si>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</si>
  <si>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</si>
  <si>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</si>
  <si>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</si>
  <si>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</si>
  <si>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</si>
  <si>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</si>
  <si>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</si>
  <si>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</si>
  <si>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</si>
  <si>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</si>
  <si>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</si>
  <si>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</si>
  <si>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</si>
  <si>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</si>
  <si>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</si>
  <si>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</si>
  <si>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</si>
  <si>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</si>
  <si>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</si>
  <si>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</si>
  <si>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</si>
  <si>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</si>
  <si>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</si>
  <si>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</si>
  <si>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</si>
  <si>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</si>
  <si>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</si>
  <si>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</si>
  <si>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</si>
  <si>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</si>
  <si>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</si>
  <si>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</si>
  <si>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</si>
  <si>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</si>
  <si>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</si>
  <si>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</si>
  <si>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</si>
  <si>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</si>
  <si>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</si>
  <si>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</si>
  <si>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</si>
  <si>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</si>
  <si>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</si>
  <si>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</si>
  <si>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</si>
  <si>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</si>
  <si>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</si>
  <si>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</si>
  <si>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</si>
  <si>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</si>
  <si>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</si>
  <si>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</si>
  <si>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</si>
  <si>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</si>
  <si>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</si>
  <si>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</si>
  <si>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</si>
  <si>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</si>
  <si>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</si>
  <si>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</si>
  <si>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</si>
  <si>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</si>
  <si>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</si>
  <si>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</si>
  <si>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</si>
  <si>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</si>
  <si>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</si>
  <si>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</si>
  <si>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</si>
  <si>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</si>
  <si>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</si>
  <si>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</si>
  <si>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</si>
  <si>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</si>
  <si>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</si>
  <si>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</si>
  <si>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</si>
  <si>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</si>
  <si>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</si>
  <si>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</si>
  <si>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</si>
  <si>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</si>
  <si>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</si>
  <si>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</si>
  <si>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</si>
  <si>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</si>
  <si>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</si>
  <si>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</si>
  <si>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</si>
  <si>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</si>
  <si>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</si>
  <si>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</si>
  <si>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</si>
  <si>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</si>
  <si>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</si>
  <si>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</si>
  <si>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</si>
  <si>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</si>
  <si>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</si>
  <si>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</si>
  <si>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</si>
  <si>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</si>
  <si>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</si>
  <si>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</si>
  <si>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</si>
  <si>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</si>
  <si>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</si>
  <si>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</si>
  <si>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</si>
  <si>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</si>
  <si>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</si>
  <si>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</si>
  <si>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</si>
  <si>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</si>
  <si>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</si>
  <si>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</si>
  <si>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</si>
  <si>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</si>
  <si>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</si>
  <si>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</si>
  <si>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</si>
  <si>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</si>
  <si>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</si>
  <si>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</si>
  <si>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</si>
  <si>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</si>
  <si>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</si>
  <si>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</si>
  <si>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</si>
  <si>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</si>
  <si>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</si>
  <si>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</si>
  <si>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</si>
  <si>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</si>
  <si>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</si>
  <si>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</si>
  <si>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</si>
  <si>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</si>
  <si>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</si>
  <si>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</si>
  <si>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</si>
  <si>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</si>
  <si>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</si>
  <si>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</si>
  <si>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</si>
  <si>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</si>
  <si>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</si>
  <si>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</si>
  <si>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</si>
  <si>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</si>
  <si>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</si>
  <si>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</si>
  <si>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</si>
  <si>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</si>
  <si>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</si>
  <si>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</si>
  <si>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</si>
  <si>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</si>
  <si>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</si>
  <si>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</si>
  <si>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</si>
  <si>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</si>
  <si>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</si>
  <si>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</si>
  <si>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</si>
  <si>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</si>
  <si>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</si>
  <si>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</si>
  <si>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</si>
  <si>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</si>
  <si>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</si>
  <si>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</si>
  <si>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</si>
  <si>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</si>
  <si>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</si>
  <si>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</si>
  <si>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</si>
  <si>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</si>
  <si>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</si>
  <si>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</si>
  <si>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</si>
  <si>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</si>
  <si>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</si>
  <si>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</si>
  <si>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</si>
  <si>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</si>
  <si>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</si>
  <si>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</si>
  <si>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</si>
  <si>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</si>
  <si>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</si>
  <si>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</si>
  <si>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</si>
  <si>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</si>
  <si>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</si>
  <si>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</si>
  <si>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</si>
  <si>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</si>
  <si>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</si>
  <si>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</si>
  <si>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</si>
  <si>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</si>
  <si>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</si>
  <si>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</si>
  <si>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</si>
  <si>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</si>
  <si>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</si>
  <si>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</si>
  <si>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</si>
  <si>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</si>
  <si>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</si>
  <si>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</si>
  <si>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</si>
  <si>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</si>
  <si>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</si>
  <si>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</si>
  <si>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</si>
  <si>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</si>
  <si>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</si>
  <si>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</si>
  <si>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</si>
  <si>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</si>
  <si>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</si>
  <si>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</si>
  <si>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</si>
  <si>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</si>
  <si>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</si>
  <si>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</si>
  <si>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</si>
  <si>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</si>
  <si>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</si>
  <si>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</si>
  <si>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</si>
  <si>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</si>
  <si>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</si>
  <si>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</si>
  <si>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</si>
  <si>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</si>
  <si>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</si>
  <si>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</si>
  <si>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</si>
  <si>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</si>
  <si>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</si>
  <si>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</si>
  <si>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</si>
  <si>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</si>
  <si>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</si>
  <si>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</si>
  <si>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</si>
  <si>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</si>
  <si>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</si>
  <si>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</si>
  <si>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</si>
  <si>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</si>
  <si>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</si>
  <si>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</si>
  <si>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</si>
  <si>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</si>
  <si>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</si>
  <si>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</si>
  <si>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</si>
  <si>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</si>
  <si>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</si>
  <si>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</si>
  <si>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</si>
  <si>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</si>
  <si>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</si>
  <si>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</si>
  <si>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</si>
  <si>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</si>
  <si>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</si>
  <si>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</si>
  <si>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</si>
  <si>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</si>
  <si>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</si>
  <si>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</si>
  <si>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</si>
  <si>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</si>
  <si>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</si>
  <si>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</si>
  <si>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</si>
  <si>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</si>
  <si>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</si>
  <si>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</si>
  <si>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</si>
  <si>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</si>
  <si>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</si>
  <si>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</si>
  <si>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</si>
  <si>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</si>
  <si>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</si>
  <si>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</si>
  <si>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</si>
  <si>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</si>
  <si>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</si>
  <si>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</si>
  <si>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</si>
  <si>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</si>
  <si>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</si>
  <si>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</si>
  <si>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</si>
  <si>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</si>
  <si>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</si>
  <si>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</si>
  <si>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</si>
  <si>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</si>
  <si>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</si>
  <si>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</si>
  <si>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</si>
  <si>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</si>
  <si>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</si>
  <si>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</si>
  <si>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</si>
  <si>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</si>
  <si>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</si>
  <si>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</si>
  <si>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</si>
  <si>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</si>
  <si>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</si>
  <si>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</si>
  <si>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</si>
  <si>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</si>
  <si>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</si>
  <si>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</si>
  <si>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</si>
  <si>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</si>
  <si>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</si>
  <si>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</si>
  <si>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</si>
  <si>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</si>
  <si>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</si>
  <si>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</si>
  <si>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</si>
  <si>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</si>
  <si>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</si>
  <si>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</si>
  <si>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</si>
  <si>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</si>
  <si>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</si>
  <si>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</si>
  <si>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</si>
  <si>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</si>
  <si>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</si>
  <si>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</si>
  <si>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</si>
  <si>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</si>
  <si>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</si>
  <si>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</si>
  <si>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</si>
  <si>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</si>
  <si>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</si>
  <si>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</si>
  <si>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</si>
  <si>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</si>
  <si>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</si>
  <si>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</si>
  <si>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</si>
  <si>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</si>
  <si>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</si>
  <si>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</si>
  <si>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</si>
  <si>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</si>
  <si>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</si>
  <si>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</si>
  <si>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</si>
  <si>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</si>
  <si>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</si>
  <si>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</si>
  <si>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</si>
  <si>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</si>
  <si>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</si>
  <si>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</si>
  <si>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</si>
  <si>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</si>
  <si>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</si>
  <si>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</si>
  <si>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</si>
  <si>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</si>
  <si>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</si>
  <si>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</si>
  <si>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</si>
  <si>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</si>
  <si>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</si>
  <si>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</si>
  <si>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</si>
  <si>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</si>
  <si>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</si>
  <si>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</si>
  <si>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</si>
  <si>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</si>
  <si>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</si>
  <si>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</si>
  <si>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</si>
  <si>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</si>
  <si>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</si>
  <si>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</si>
  <si>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</si>
  <si>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</si>
  <si>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</si>
  <si>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</si>
  <si>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</si>
  <si>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</si>
  <si>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</si>
  <si>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</si>
  <si>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</si>
  <si>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</si>
  <si>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</si>
  <si>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</si>
  <si>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</si>
  <si>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</si>
  <si>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</si>
  <si>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</si>
  <si>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</si>
  <si>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</si>
  <si>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</si>
  <si>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</si>
  <si>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</si>
  <si>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</si>
  <si>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</si>
  <si>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</si>
  <si>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</si>
  <si>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</si>
  <si>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</si>
  <si>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</si>
  <si>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</si>
  <si>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</si>
  <si>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</si>
  <si>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</si>
  <si>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</si>
  <si>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</si>
  <si>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</si>
  <si>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</si>
  <si>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</si>
  <si>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</si>
  <si>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</si>
  <si>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</si>
  <si>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</si>
  <si>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</si>
  <si>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</si>
  <si>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</si>
  <si>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</si>
  <si>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</si>
  <si>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</si>
  <si>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</si>
  <si>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</si>
  <si>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</si>
  <si>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</si>
  <si>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</si>
  <si>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</si>
  <si>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</si>
  <si>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</si>
  <si>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</si>
  <si>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</si>
  <si>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</si>
  <si>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</si>
  <si>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</si>
  <si>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</si>
  <si>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</si>
  <si>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</si>
  <si>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</si>
  <si>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</si>
  <si>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</si>
  <si>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</si>
  <si>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</si>
  <si>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</si>
  <si>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</si>
  <si>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</si>
  <si>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</si>
  <si>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</si>
  <si>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</si>
  <si>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</si>
  <si>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</si>
  <si>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</si>
  <si>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</si>
  <si>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</si>
  <si>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</si>
  <si>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</si>
  <si>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</si>
  <si>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</si>
  <si>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</si>
  <si>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</si>
  <si>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</si>
  <si>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</si>
  <si>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</si>
  <si>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</si>
  <si>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</si>
  <si>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</si>
  <si>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</si>
  <si>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</si>
  <si>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</si>
  <si>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</si>
  <si>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</si>
  <si>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</si>
  <si>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</si>
  <si>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</si>
  <si>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</si>
  <si>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</si>
  <si>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</si>
  <si>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</si>
  <si>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</si>
  <si>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</si>
  <si>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</si>
  <si>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</si>
  <si>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</si>
  <si>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</si>
  <si>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</si>
  <si>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</si>
  <si>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</si>
  <si>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</si>
  <si>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</si>
  <si>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</si>
  <si>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</si>
  <si>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</si>
  <si>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</si>
  <si>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</si>
  <si>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</si>
  <si>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</si>
  <si>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</si>
  <si>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</si>
  <si>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</si>
  <si>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</si>
  <si>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</si>
  <si>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</si>
  <si>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</si>
  <si>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</si>
  <si>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</si>
  <si>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</si>
  <si>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</si>
  <si>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</si>
  <si>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</si>
  <si>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</si>
  <si>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</si>
  <si>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</si>
  <si>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</si>
  <si>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</si>
  <si>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</si>
  <si>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</si>
  <si>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</si>
  <si>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</si>
  <si>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</si>
  <si>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</si>
  <si>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</si>
  <si>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</si>
  <si>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</si>
  <si>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</si>
  <si>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</si>
  <si>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</si>
  <si>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</si>
  <si>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</si>
  <si>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</si>
  <si>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</si>
  <si>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</si>
  <si>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</si>
  <si>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</si>
  <si>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</si>
  <si>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</si>
  <si>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</si>
  <si>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</si>
  <si>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</si>
  <si>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</si>
  <si>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</si>
  <si>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</si>
  <si>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</si>
  <si>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</si>
  <si>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</si>
  <si>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</si>
  <si>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</si>
  <si>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</si>
  <si>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</si>
  <si>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</si>
  <si>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</si>
  <si>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</si>
  <si>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</si>
  <si>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</si>
  <si>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</si>
  <si>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</si>
  <si>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</si>
  <si>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</si>
  <si>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</si>
  <si>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</si>
  <si>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</si>
  <si>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</si>
  <si>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</si>
  <si>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</si>
  <si>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</si>
  <si>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</si>
  <si>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</si>
  <si>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</si>
  <si>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</si>
  <si>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</si>
  <si>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</si>
  <si>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</si>
  <si>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</si>
  <si>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</si>
  <si>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</si>
  <si>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</si>
  <si>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</si>
  <si>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</si>
  <si>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</si>
  <si>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</si>
  <si>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</si>
  <si>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</si>
  <si>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</si>
  <si>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</si>
  <si>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</si>
  <si>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</si>
  <si>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</si>
  <si>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</si>
  <si>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</si>
  <si>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</si>
  <si>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</si>
  <si>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</si>
  <si>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</si>
  <si>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</si>
  <si>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</si>
  <si>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</si>
  <si>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</si>
  <si>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</si>
  <si>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</si>
  <si>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</si>
  <si>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</si>
  <si>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</si>
  <si>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</si>
  <si>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</si>
  <si>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</si>
  <si>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</si>
  <si>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</si>
  <si>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</si>
  <si>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</si>
  <si>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</si>
  <si>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</si>
  <si>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</si>
  <si>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</si>
  <si>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</si>
  <si>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</si>
  <si>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</si>
  <si>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</si>
  <si>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</si>
  <si>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</si>
  <si>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</si>
  <si>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</si>
  <si>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</si>
  <si>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</si>
  <si>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</si>
  <si>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</si>
  <si>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</si>
  <si>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</si>
  <si>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</si>
  <si>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</si>
  <si>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</si>
  <si>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</si>
  <si>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</si>
  <si>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</si>
  <si>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</si>
  <si>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</si>
  <si>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</si>
  <si>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</si>
  <si>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</si>
  <si>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</si>
  <si>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</si>
  <si>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</si>
  <si>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</si>
  <si>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</si>
  <si>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</si>
  <si>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</si>
  <si>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</si>
  <si>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</si>
  <si>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</si>
  <si>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</si>
  <si>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</si>
  <si>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</si>
  <si>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</si>
  <si>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</si>
  <si>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</si>
  <si>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</si>
  <si>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</si>
  <si>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</si>
  <si>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</si>
  <si>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</si>
  <si>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</si>
  <si>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</si>
  <si>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</si>
  <si>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</si>
  <si>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</si>
  <si>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</si>
  <si>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</si>
  <si>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</si>
  <si>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</si>
  <si>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</si>
  <si>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</si>
  <si>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</si>
  <si>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</si>
  <si>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</si>
  <si>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</si>
  <si>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</si>
  <si>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</si>
  <si>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</si>
  <si>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</si>
  <si>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</si>
  <si>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</si>
  <si>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</si>
  <si>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</si>
  <si>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</si>
  <si>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</si>
  <si>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</si>
  <si>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</si>
  <si>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</si>
  <si>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</si>
  <si>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</si>
  <si>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</si>
  <si>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</si>
  <si>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</si>
  <si>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</si>
  <si>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</si>
  <si>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</si>
  <si>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</si>
  <si>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</si>
  <si>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</si>
  <si>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</si>
  <si>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</si>
  <si>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</si>
  <si>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</si>
  <si>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</si>
  <si>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</si>
  <si>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</si>
  <si>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</si>
  <si>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</si>
  <si>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</si>
  <si>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</si>
  <si>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</si>
  <si>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</si>
  <si>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</si>
  <si>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</si>
  <si>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</si>
  <si>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</si>
  <si>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</si>
  <si>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</si>
  <si>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</si>
  <si>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</si>
  <si>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</si>
  <si>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</si>
  <si>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</si>
  <si>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</si>
  <si>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</si>
  <si>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</si>
  <si>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</si>
  <si>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</si>
  <si>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</si>
  <si>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</si>
  <si>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</si>
  <si>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</si>
  <si>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</si>
  <si>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</si>
  <si>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</si>
  <si>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</si>
  <si>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</si>
  <si>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</si>
  <si>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</si>
  <si>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</si>
  <si>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</si>
  <si>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</si>
  <si>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</si>
  <si>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</si>
  <si>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</si>
  <si>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</si>
  <si>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</si>
  <si>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</si>
  <si>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</si>
  <si>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</si>
  <si>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</si>
  <si>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</si>
  <si>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</si>
  <si>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</si>
  <si>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</si>
  <si>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</si>
  <si>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</si>
  <si>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</si>
  <si>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</si>
  <si>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</si>
  <si>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</si>
  <si>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</si>
  <si>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</si>
  <si>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</si>
  <si>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</si>
  <si>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</si>
  <si>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</si>
  <si>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</si>
  <si>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</si>
  <si>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</si>
  <si>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</si>
  <si>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</si>
  <si>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</si>
  <si>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</si>
  <si>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</si>
  <si>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</si>
  <si>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</si>
  <si>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</si>
  <si>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</si>
  <si>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</si>
  <si>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</si>
  <si>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</si>
  <si>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</si>
  <si>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</si>
  <si>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</si>
  <si>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</si>
  <si>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</si>
  <si>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</si>
  <si>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</si>
  <si>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</si>
  <si>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</si>
  <si>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</si>
  <si>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</si>
  <si>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</si>
  <si>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</si>
  <si>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</si>
  <si>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</si>
  <si>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</si>
  <si>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</si>
  <si>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</si>
  <si>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</si>
  <si>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</si>
  <si>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</si>
  <si>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</si>
  <si>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</si>
  <si>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</si>
  <si>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</si>
  <si>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</si>
  <si>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</si>
  <si>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</si>
  <si>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</si>
  <si>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</si>
  <si>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</si>
  <si>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</si>
  <si>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</si>
  <si>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</si>
  <si>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</si>
  <si>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</si>
  <si>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</si>
  <si>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</si>
  <si>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</si>
  <si>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</si>
  <si>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</si>
  <si>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</si>
  <si>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</si>
  <si>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</si>
  <si>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</si>
  <si>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</si>
  <si>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</si>
  <si>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</si>
  <si>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</si>
  <si>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</si>
  <si>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</si>
  <si>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</si>
  <si>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</si>
  <si>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</si>
  <si>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</si>
  <si>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</si>
  <si>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</si>
  <si>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</si>
  <si>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</si>
  <si>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</si>
  <si>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</si>
  <si>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</si>
  <si>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</si>
  <si>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</si>
  <si>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</si>
  <si>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</si>
  <si>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</si>
  <si>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</si>
  <si>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</si>
  <si>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</si>
  <si>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</si>
  <si>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</si>
  <si>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</si>
  <si>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</si>
  <si>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</si>
  <si>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</si>
  <si>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</si>
  <si>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</si>
  <si>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</si>
  <si>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</si>
  <si>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</si>
  <si>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</si>
  <si>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</si>
  <si>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</si>
  <si>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</si>
  <si>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</si>
  <si>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</si>
  <si>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</si>
  <si>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</si>
  <si>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</si>
  <si>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</si>
  <si>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</si>
  <si>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</si>
  <si>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</si>
  <si>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</si>
  <si>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</si>
  <si>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</si>
  <si>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</si>
  <si>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</si>
  <si>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</si>
  <si>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</si>
  <si>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</si>
  <si>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</si>
  <si>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</si>
  <si>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</si>
  <si>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</si>
  <si>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</si>
  <si>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</si>
  <si>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</si>
  <si>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</si>
  <si>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</si>
  <si>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</si>
  <si>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</si>
  <si>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</si>
  <si>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</si>
  <si>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</si>
  <si>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</si>
  <si>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</si>
  <si>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</si>
  <si>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</si>
  <si>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</si>
  <si>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</si>
  <si>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</si>
  <si>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</si>
  <si>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</si>
  <si>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</si>
  <si>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</si>
  <si>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</si>
  <si>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</si>
  <si>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</si>
  <si>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</si>
  <si>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</si>
  <si>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</si>
  <si>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</si>
  <si>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</si>
  <si>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</si>
  <si>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</si>
  <si>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</si>
  <si>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</si>
  <si>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</si>
  <si>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</si>
  <si>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</si>
  <si>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</si>
  <si>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</si>
  <si>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</si>
  <si>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</si>
  <si>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</si>
  <si>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</si>
  <si>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</si>
  <si>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</si>
  <si>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</si>
  <si>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</si>
  <si>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</si>
  <si>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</si>
  <si>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</si>
  <si>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</si>
  <si>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</si>
  <si>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</si>
  <si>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</si>
  <si>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</si>
  <si>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</si>
  <si>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</si>
  <si>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</si>
  <si>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</si>
  <si>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</si>
  <si>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</si>
  <si>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</si>
  <si>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</si>
  <si>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</si>
  <si>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</si>
  <si>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</si>
  <si>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</si>
  <si>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</si>
  <si>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</si>
  <si>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</si>
  <si>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</si>
  <si>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</si>
  <si>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</si>
  <si>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</si>
  <si>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</si>
  <si>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</si>
  <si>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</si>
  <si>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</si>
  <si>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</si>
  <si>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</si>
  <si>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</si>
  <si>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</si>
  <si>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</si>
  <si>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</si>
  <si>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</si>
  <si>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</si>
  <si>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</si>
  <si>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</si>
  <si>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</si>
  <si>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</si>
  <si>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</si>
  <si>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</si>
  <si>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</si>
  <si>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</si>
  <si>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</si>
  <si>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</si>
  <si>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</si>
  <si>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</si>
  <si>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</si>
  <si>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</si>
  <si>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</si>
  <si>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</si>
  <si>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</si>
  <si>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</si>
  <si>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</si>
  <si>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</si>
  <si>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</si>
  <si>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</si>
  <si>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</si>
  <si>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</si>
  <si>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</si>
  <si>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</si>
  <si>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</si>
  <si>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</si>
  <si>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</si>
  <si>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</si>
  <si>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</si>
  <si>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</si>
  <si>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</si>
  <si>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</si>
  <si>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</si>
  <si>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</si>
  <si>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</si>
  <si>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</si>
  <si>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</si>
  <si>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</si>
  <si>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</si>
  <si>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</si>
  <si>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</si>
  <si>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</si>
  <si>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</si>
  <si>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</si>
  <si>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</si>
  <si>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</si>
  <si>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</si>
  <si>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</si>
  <si>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</si>
  <si>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</si>
  <si>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</si>
  <si>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</si>
  <si>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</si>
  <si>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</si>
  <si>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</si>
  <si>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</si>
  <si>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</si>
  <si>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</si>
  <si>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</si>
  <si>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</si>
  <si>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</si>
  <si>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</si>
  <si>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</si>
  <si>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</si>
  <si>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</si>
  <si>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</si>
  <si>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</si>
  <si>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</si>
  <si>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</si>
  <si>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</si>
  <si>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</si>
  <si>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</si>
  <si>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</si>
  <si>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</si>
  <si>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</si>
  <si>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</si>
  <si>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</si>
  <si>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</si>
  <si>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</si>
  <si>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</si>
  <si>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</si>
  <si>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</si>
  <si>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</si>
  <si>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</si>
  <si>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</si>
  <si>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</si>
  <si>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</si>
  <si>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</si>
  <si>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</si>
  <si>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</si>
  <si>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</si>
  <si>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</si>
  <si>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</si>
  <si>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</si>
  <si>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</si>
  <si>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</si>
  <si>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</si>
  <si>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</si>
  <si>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</si>
  <si>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</si>
  <si>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</si>
  <si>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</si>
  <si>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</si>
  <si>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</si>
  <si>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</si>
  <si>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</si>
  <si>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</si>
  <si>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</si>
  <si>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</si>
  <si>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</si>
  <si>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</si>
  <si>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</si>
  <si>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</si>
  <si>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</si>
  <si>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</si>
  <si>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</si>
  <si>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</si>
  <si>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</si>
  <si>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</si>
  <si>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</si>
  <si>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</si>
  <si>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</si>
  <si>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</si>
  <si>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</si>
  <si>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</si>
  <si>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</si>
  <si>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</si>
  <si>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</si>
  <si>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</si>
  <si>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</si>
  <si>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</si>
  <si>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</si>
  <si>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</si>
  <si>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</si>
  <si>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</si>
  <si>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</si>
  <si>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</si>
  <si>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</si>
  <si>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</si>
  <si>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</si>
  <si>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</si>
  <si>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</si>
  <si>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</si>
  <si>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</si>
  <si>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</si>
  <si>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</si>
  <si>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</si>
  <si>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</si>
  <si>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</si>
  <si>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</si>
  <si>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</si>
  <si>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</si>
  <si>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</si>
  <si>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</si>
  <si>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</si>
  <si>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</si>
  <si>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</si>
  <si>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</si>
  <si>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</si>
  <si>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</si>
  <si>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</si>
  <si>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</si>
  <si>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</si>
  <si>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</si>
  <si>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</si>
  <si>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</si>
  <si>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</si>
  <si>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</si>
  <si>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</si>
  <si>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</si>
  <si>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</si>
  <si>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</si>
  <si>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</si>
  <si>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</si>
  <si>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</si>
  <si>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</si>
  <si>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</si>
  <si>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</si>
  <si>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</si>
  <si>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</si>
  <si>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</si>
  <si>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</si>
  <si>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</si>
  <si>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</si>
  <si>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</si>
  <si>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</si>
  <si>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</si>
  <si>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</si>
  <si>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</si>
  <si>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</si>
  <si>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</si>
  <si>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</si>
  <si>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</si>
  <si>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</si>
  <si>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</si>
  <si>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</si>
  <si>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</si>
  <si>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</si>
  <si>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</si>
  <si>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</si>
  <si>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</si>
  <si>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</si>
  <si>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</si>
  <si>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</si>
  <si>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</si>
  <si>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</si>
  <si>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</si>
  <si>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</si>
  <si>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</si>
  <si>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</si>
  <si>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</si>
  <si>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</si>
  <si>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</si>
  <si>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</si>
  <si>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</si>
  <si>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</si>
  <si>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</si>
  <si>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</si>
  <si>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</si>
  <si>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</si>
  <si>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</si>
  <si>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</si>
  <si>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</si>
  <si>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</si>
  <si>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</si>
  <si>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</si>
  <si>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</si>
  <si>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</si>
  <si>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</si>
  <si>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</si>
  <si>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</si>
  <si>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</si>
  <si>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</si>
  <si>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</si>
  <si>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</si>
  <si>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</si>
  <si>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</si>
  <si>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</si>
  <si>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</si>
  <si>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</si>
  <si>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</si>
  <si>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</si>
  <si>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</si>
  <si>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</si>
  <si>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</si>
  <si>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</si>
  <si>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</si>
  <si>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</si>
  <si>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</si>
  <si>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</si>
  <si>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</si>
  <si>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</si>
  <si>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</si>
  <si>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</si>
  <si>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</si>
  <si>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</si>
  <si>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</si>
  <si>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</si>
  <si>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</si>
  <si>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</si>
  <si>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</si>
  <si>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</si>
  <si>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</si>
  <si>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</si>
  <si>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</si>
  <si>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</si>
  <si>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</si>
  <si>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</si>
  <si>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</si>
  <si>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</si>
  <si>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</si>
  <si>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</si>
  <si>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</si>
  <si>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</si>
  <si>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</si>
  <si>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</si>
  <si>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</si>
  <si>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</si>
  <si>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</si>
  <si>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</si>
  <si>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</si>
  <si>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</si>
  <si>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</si>
  <si>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</si>
  <si>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</si>
  <si>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</si>
  <si>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</si>
  <si>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</si>
  <si>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</si>
  <si>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</si>
  <si>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</si>
  <si>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</si>
  <si>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</si>
  <si>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</si>
  <si>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</si>
  <si>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</si>
  <si>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</si>
  <si>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</si>
  <si>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</si>
  <si>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</si>
  <si>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</si>
  <si>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</si>
  <si>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</si>
  <si>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</si>
  <si>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</si>
  <si>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</si>
  <si>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</si>
  <si>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</si>
  <si>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</si>
  <si>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</si>
  <si>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</si>
  <si>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</si>
  <si>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</si>
  <si>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</si>
  <si>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</si>
  <si>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</si>
  <si>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</si>
  <si>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</si>
  <si>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</si>
  <si>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</si>
  <si>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</si>
  <si>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</si>
  <si>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</si>
  <si>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</si>
  <si>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</si>
  <si>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</si>
  <si>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</si>
  <si>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</si>
  <si>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</si>
  <si>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</si>
  <si>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</si>
  <si>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</si>
  <si>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</si>
  <si>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</si>
  <si>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</si>
  <si>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</si>
  <si>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</si>
  <si>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</si>
  <si>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</si>
  <si>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</si>
  <si>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</si>
  <si>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</si>
  <si>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</si>
  <si>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</si>
  <si>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</si>
  <si>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</si>
  <si>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</si>
  <si>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</si>
  <si>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</si>
  <si>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</si>
  <si>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</si>
  <si>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</si>
  <si>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</si>
  <si>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</si>
  <si>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</si>
  <si>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</si>
  <si>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</si>
  <si>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</si>
  <si>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</si>
  <si>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</si>
  <si>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</si>
  <si>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</si>
  <si>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</si>
  <si>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</si>
  <si>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</si>
  <si>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</si>
  <si>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</si>
  <si>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</si>
  <si>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</si>
  <si>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</si>
  <si>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</si>
  <si>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</si>
  <si>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</si>
  <si>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</si>
  <si>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</si>
  <si>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</si>
  <si>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</si>
  <si>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</si>
  <si>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</si>
  <si>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</si>
  <si>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</si>
  <si>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</si>
  <si>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</si>
  <si>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</si>
  <si>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</si>
  <si>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</si>
  <si>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</si>
  <si>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</si>
  <si>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</si>
  <si>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</si>
  <si>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</si>
  <si>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</si>
  <si>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</si>
  <si>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</si>
  <si>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</si>
  <si>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</si>
  <si>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</si>
  <si>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</si>
  <si>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</si>
  <si>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</si>
  <si>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</si>
  <si>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</si>
  <si>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</si>
  <si>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</si>
  <si>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</si>
  <si>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</si>
  <si>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</si>
  <si>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</si>
  <si>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</si>
  <si>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</si>
  <si>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</si>
  <si>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</si>
  <si>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</si>
  <si>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</si>
  <si>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</si>
  <si>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</si>
  <si>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</si>
  <si>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</si>
  <si>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</si>
  <si>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</si>
  <si>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</si>
  <si>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</si>
  <si>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</si>
  <si>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</si>
  <si>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</si>
  <si>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</si>
  <si>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</si>
  <si>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</si>
  <si>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</si>
  <si>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</si>
  <si>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</si>
  <si>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</si>
  <si>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</si>
  <si>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</si>
  <si>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</si>
  <si>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</si>
  <si>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</si>
  <si>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</si>
  <si>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</si>
  <si>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</si>
  <si>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</si>
  <si>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</si>
  <si>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</si>
  <si>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</si>
  <si>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</si>
  <si>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</si>
  <si>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</si>
  <si>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</si>
  <si>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</si>
  <si>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</si>
  <si>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</si>
  <si>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</si>
  <si>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</si>
  <si>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</si>
  <si>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</si>
  <si>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</si>
  <si>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</si>
  <si>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</si>
  <si>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</si>
  <si>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</si>
  <si>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</si>
  <si>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</si>
  <si>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</si>
  <si>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</si>
  <si>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</si>
  <si>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</si>
  <si>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</si>
  <si>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</si>
  <si>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</si>
  <si>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</si>
  <si>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</si>
  <si>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</si>
  <si>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</si>
  <si>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</si>
  <si>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</si>
  <si>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</si>
  <si>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</si>
  <si>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</si>
  <si>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</si>
  <si>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</si>
  <si>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</si>
  <si>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</si>
  <si>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</si>
  <si>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</si>
  <si>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</si>
  <si>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</si>
  <si>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</si>
  <si>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</si>
  <si>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</si>
  <si>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</si>
  <si>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</si>
  <si>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</si>
  <si>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</si>
  <si>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</si>
  <si>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</si>
  <si>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</si>
  <si>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</si>
  <si>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</si>
  <si>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</si>
  <si>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</si>
  <si>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</si>
  <si>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</si>
  <si>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</si>
  <si>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</si>
  <si>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</si>
  <si>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</si>
  <si>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</si>
  <si>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</si>
  <si>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</si>
  <si>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</si>
  <si>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</si>
  <si>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</si>
  <si>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</si>
  <si>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</si>
  <si>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</si>
  <si>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</si>
  <si>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</si>
  <si>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</si>
  <si>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</si>
  <si>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</si>
  <si>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</si>
  <si>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</si>
  <si>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</si>
  <si>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</si>
  <si>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</si>
  <si>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</si>
  <si>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</si>
  <si>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</si>
  <si>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</si>
  <si>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</si>
  <si>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</si>
  <si>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</si>
  <si>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</si>
  <si>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</si>
  <si>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</si>
  <si>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</si>
  <si>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</si>
  <si>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</si>
  <si>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</si>
  <si>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</si>
  <si>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</si>
  <si>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</si>
  <si>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</si>
  <si>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</si>
  <si>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</si>
  <si>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</si>
  <si>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</si>
  <si>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</si>
  <si>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</si>
  <si>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</si>
  <si>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</si>
  <si>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</si>
  <si>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</si>
  <si>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</si>
  <si>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</si>
  <si>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</si>
  <si>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</si>
  <si>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</si>
  <si>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</si>
  <si>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</si>
  <si>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</si>
  <si>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</si>
  <si>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</si>
  <si>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</si>
  <si>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</si>
  <si>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</si>
  <si>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</si>
  <si>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</si>
  <si>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</si>
  <si>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</si>
  <si>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</si>
  <si>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</si>
  <si>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</si>
  <si>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</si>
  <si>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</si>
  <si>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</si>
  <si>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</si>
  <si>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</si>
  <si>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</si>
  <si>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</si>
  <si>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</si>
  <si>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</si>
  <si>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</si>
  <si>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</si>
  <si>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</si>
  <si>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</si>
  <si>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</si>
  <si>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</si>
  <si>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</si>
  <si>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</si>
  <si>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</si>
  <si>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</si>
  <si>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</si>
  <si>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</si>
  <si>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</si>
  <si>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</si>
  <si>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</si>
  <si>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</si>
  <si>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</si>
  <si>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</si>
  <si>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</si>
  <si>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</si>
  <si>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</si>
  <si>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</si>
  <si>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</si>
  <si>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</si>
  <si>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</si>
  <si>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</si>
  <si>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</si>
  <si>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</si>
  <si>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</si>
  <si>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</si>
  <si>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</si>
  <si>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</si>
  <si>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</si>
  <si>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</si>
  <si>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</si>
  <si>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</si>
  <si>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</si>
  <si>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</si>
  <si>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</si>
  <si>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</si>
  <si>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</si>
  <si>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</si>
  <si>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</si>
  <si>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</si>
  <si>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</si>
  <si>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</si>
  <si>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</si>
  <si>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</si>
  <si>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</si>
  <si>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</si>
  <si>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</si>
  <si>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</si>
  <si>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</si>
  <si>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</si>
  <si>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</si>
  <si>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</si>
  <si>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</si>
  <si>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</si>
  <si>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</si>
  <si>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</si>
  <si>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</si>
  <si>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</si>
  <si>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</si>
  <si>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</si>
  <si>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</si>
  <si>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</si>
  <si>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</si>
  <si>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</si>
  <si>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</si>
  <si>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</si>
  <si>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</si>
  <si>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</si>
  <si>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</si>
  <si>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</si>
  <si>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</si>
  <si>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</si>
  <si>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</si>
  <si>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</si>
  <si>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</si>
  <si>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</si>
  <si>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</si>
  <si>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</si>
  <si>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</si>
  <si>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</si>
  <si>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</si>
  <si>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</si>
  <si>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</si>
  <si>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</si>
  <si>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</si>
  <si>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</si>
  <si>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</si>
  <si>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</si>
  <si>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</si>
  <si>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</si>
  <si>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</si>
  <si>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</si>
  <si>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</si>
  <si>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</si>
  <si>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</si>
  <si>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</si>
  <si>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</si>
  <si>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</si>
  <si>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</si>
  <si>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</si>
  <si>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</si>
  <si>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</si>
  <si>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</si>
  <si>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</si>
  <si>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</si>
  <si>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</si>
  <si>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</si>
  <si>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</si>
  <si>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</si>
  <si>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</si>
  <si>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</si>
  <si>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</si>
  <si>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</si>
  <si>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</si>
  <si>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</si>
  <si>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</si>
  <si>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</si>
  <si>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</si>
  <si>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</si>
  <si>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</si>
  <si>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</si>
  <si>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</si>
  <si>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</si>
  <si>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</si>
  <si>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</si>
  <si>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</si>
  <si>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</si>
  <si>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</si>
  <si>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</si>
  <si>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</si>
  <si>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</si>
  <si>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</si>
  <si>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</si>
  <si>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</si>
  <si>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</si>
  <si>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</si>
  <si>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</si>
  <si>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</si>
  <si>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</si>
  <si>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</si>
  <si>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</si>
  <si>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</si>
  <si>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</si>
  <si>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</si>
  <si>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</si>
  <si>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</si>
  <si>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</si>
  <si>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</si>
  <si>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</si>
  <si>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</si>
  <si>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</si>
  <si>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</si>
  <si>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</si>
  <si>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</si>
  <si>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</si>
  <si>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</si>
  <si>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</si>
  <si>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</si>
  <si>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</si>
  <si>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</si>
  <si>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</si>
  <si>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</si>
  <si>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</si>
  <si>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</si>
  <si>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</si>
  <si>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</si>
  <si>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</si>
  <si>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</si>
  <si>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</si>
  <si>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</si>
  <si>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</si>
  <si>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</si>
  <si>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</si>
  <si>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</si>
  <si>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</si>
  <si>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</si>
  <si>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</si>
  <si>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</si>
  <si>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</si>
  <si>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</si>
  <si>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</si>
  <si>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</si>
  <si>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</si>
  <si>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</si>
  <si>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</si>
  <si>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</si>
  <si>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</si>
  <si>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</si>
  <si>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</si>
  <si>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</si>
  <si>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</si>
  <si>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</si>
  <si>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</si>
  <si>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</si>
  <si>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</si>
  <si>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</si>
  <si>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</si>
  <si>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</si>
  <si>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</si>
  <si>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</si>
  <si>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</si>
  <si>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</si>
  <si>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</si>
  <si>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</si>
  <si>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</si>
  <si>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</si>
  <si>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</si>
  <si>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</si>
  <si>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</si>
  <si>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</si>
  <si>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</si>
  <si>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</si>
  <si>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</si>
  <si>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</si>
  <si>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</si>
  <si>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</si>
  <si>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</si>
  <si>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</si>
  <si>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</si>
  <si>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</si>
  <si>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</si>
  <si>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</si>
  <si>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</si>
  <si>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</si>
  <si>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</si>
  <si>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</si>
  <si>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</si>
  <si>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</si>
  <si>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</si>
  <si>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</si>
  <si>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</si>
  <si>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</si>
  <si>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</si>
  <si>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</si>
  <si>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</si>
  <si>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</si>
  <si>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</si>
  <si>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</si>
  <si>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</si>
  <si>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</si>
  <si>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</si>
  <si>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</si>
  <si>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</si>
  <si>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</si>
  <si>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</si>
  <si>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</si>
  <si>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</si>
  <si>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</si>
  <si>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</si>
  <si>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</si>
  <si>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</si>
  <si>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</si>
  <si>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</si>
  <si>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</si>
  <si>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</si>
  <si>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</si>
  <si>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</si>
  <si>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</si>
  <si>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</si>
  <si>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</si>
  <si>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</si>
  <si>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</si>
  <si>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</si>
  <si>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</si>
  <si>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</si>
  <si>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</si>
  <si>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</si>
  <si>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</si>
  <si>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</si>
  <si>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</si>
  <si>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</si>
  <si>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</si>
  <si>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</si>
  <si>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</si>
  <si>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</si>
  <si>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</si>
  <si>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</si>
  <si>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</si>
  <si>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</si>
  <si>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</si>
  <si>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</si>
  <si>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</si>
  <si>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</si>
  <si>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</si>
  <si>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</si>
  <si>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</si>
  <si>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</si>
  <si>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</si>
  <si>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</si>
  <si>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</si>
  <si>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</si>
  <si>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</si>
  <si>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</si>
  <si>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</si>
  <si>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</si>
  <si>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</si>
  <si>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</si>
  <si>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</si>
  <si>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</si>
  <si>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</si>
  <si>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</si>
  <si>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</si>
  <si>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</si>
  <si>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</si>
  <si>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</si>
  <si>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</si>
  <si>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</si>
  <si>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</si>
  <si>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</si>
  <si>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</si>
  <si>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</si>
  <si>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</si>
  <si>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</si>
  <si>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</si>
  <si>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</si>
  <si>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</si>
  <si>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</si>
  <si>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</si>
  <si>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</si>
  <si>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</si>
  <si>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</si>
  <si>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</si>
  <si>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</si>
  <si>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</si>
  <si>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</si>
  <si>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</si>
  <si>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</si>
  <si>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</si>
  <si>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</si>
  <si>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</si>
  <si>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</si>
  <si>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</si>
  <si>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</si>
  <si>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</si>
  <si>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</si>
  <si>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</si>
  <si>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</si>
  <si>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</si>
  <si>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</si>
  <si>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</si>
  <si>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</si>
  <si>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</si>
  <si>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</si>
  <si>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</si>
  <si>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</si>
  <si>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</si>
  <si>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</si>
  <si>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</si>
  <si>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</si>
  <si>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</si>
  <si>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</si>
  <si>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</si>
  <si>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</si>
  <si>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</si>
  <si>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</si>
  <si>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</si>
  <si>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</si>
  <si>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</si>
  <si>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</si>
  <si>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</si>
  <si>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</si>
  <si>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</si>
  <si>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</si>
  <si>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</si>
  <si>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</si>
  <si>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</si>
  <si>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</si>
  <si>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</si>
  <si>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</si>
  <si>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</si>
  <si>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</si>
  <si>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</si>
  <si>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</si>
  <si>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</si>
  <si>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</si>
  <si>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</si>
  <si>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</si>
  <si>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</si>
  <si>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</si>
  <si>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</si>
  <si>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</si>
  <si>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</si>
  <si>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</si>
  <si>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</si>
  <si>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</si>
  <si>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</si>
  <si>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</si>
  <si>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</si>
  <si>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</si>
  <si>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</si>
  <si>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</si>
  <si>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</si>
  <si>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</si>
  <si>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</si>
  <si>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</si>
  <si>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</si>
  <si>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</si>
  <si>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</si>
  <si>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</si>
  <si>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</si>
  <si>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</si>
  <si>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</si>
  <si>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</si>
  <si>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</si>
  <si>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</si>
  <si>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</si>
  <si>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</si>
  <si>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</si>
  <si>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</si>
  <si>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</si>
  <si>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</si>
  <si>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</si>
  <si>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</si>
  <si>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</si>
  <si>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</si>
  <si>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</si>
  <si>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</si>
  <si>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</si>
  <si>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</si>
  <si>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</si>
  <si>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</si>
  <si>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</si>
  <si>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</si>
  <si>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</si>
  <si>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</si>
  <si>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</si>
  <si>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</si>
  <si>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</si>
  <si>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</si>
  <si>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</si>
  <si>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</si>
  <si>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</si>
  <si>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</si>
  <si>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</si>
  <si>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</si>
  <si>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</si>
  <si>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</si>
  <si>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</si>
  <si>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</si>
  <si>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</si>
  <si>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</si>
  <si>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</si>
  <si>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</si>
  <si>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</si>
  <si>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</si>
  <si>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</si>
  <si>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</si>
  <si>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</si>
  <si>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</si>
  <si>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</si>
  <si>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</si>
  <si>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</si>
  <si>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</si>
  <si>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</si>
  <si>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</si>
  <si>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</si>
  <si>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</si>
  <si>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</si>
  <si>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</si>
  <si>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</si>
  <si>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</si>
  <si>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</si>
  <si>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</si>
  <si>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</si>
  <si>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</si>
  <si>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</si>
  <si>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</si>
  <si>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</si>
  <si>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</si>
  <si>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</si>
  <si>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</si>
  <si>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</si>
  <si>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</si>
  <si>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</si>
  <si>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</si>
  <si>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</si>
  <si>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</si>
  <si>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</si>
  <si>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</si>
  <si>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</si>
  <si>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</si>
  <si>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</si>
  <si>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</si>
  <si>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</si>
  <si>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</si>
  <si>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</si>
  <si>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</si>
  <si>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</si>
  <si>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</si>
  <si>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</si>
  <si>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</si>
  <si>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</si>
  <si>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</si>
  <si>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</si>
  <si>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</si>
  <si>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</si>
  <si>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</si>
  <si>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</si>
  <si>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</si>
  <si>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</si>
  <si>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</si>
  <si>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</si>
  <si>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</si>
  <si>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</si>
  <si>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</si>
  <si>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</si>
  <si>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</si>
  <si>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</si>
  <si>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</si>
  <si>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</si>
  <si>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</si>
  <si>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</si>
  <si>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</si>
  <si>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</si>
  <si>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</si>
  <si>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</si>
  <si>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</si>
  <si>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</si>
  <si>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</si>
  <si>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</si>
  <si>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</si>
  <si>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</si>
  <si>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</si>
  <si>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</si>
  <si>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</si>
  <si>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</si>
  <si>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</si>
  <si>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</si>
  <si>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</si>
  <si>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</si>
  <si>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</si>
  <si>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</si>
  <si>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</si>
  <si>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</si>
  <si>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</si>
  <si>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</si>
  <si>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</si>
  <si>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</si>
  <si>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</si>
  <si>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</si>
  <si>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</si>
  <si>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</si>
  <si>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</si>
  <si>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</si>
  <si>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</si>
  <si>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</si>
  <si>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</si>
  <si>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</si>
  <si>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</si>
  <si>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</si>
  <si>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</si>
  <si>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</si>
  <si>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</si>
  <si>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</si>
  <si>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</si>
  <si>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</si>
  <si>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</si>
  <si>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</si>
  <si>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</si>
  <si>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</si>
  <si>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</si>
  <si>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</si>
  <si>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</si>
  <si>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</si>
  <si>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</si>
  <si>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</si>
  <si>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</si>
  <si>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</si>
  <si>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</si>
  <si>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</si>
  <si>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</si>
  <si>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</si>
  <si>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</si>
  <si>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</si>
  <si>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</si>
  <si>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</si>
  <si>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</si>
  <si>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</si>
  <si>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</si>
  <si>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</si>
  <si>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</si>
  <si>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</si>
  <si>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</si>
  <si>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</si>
  <si>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</si>
  <si>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</si>
  <si>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</si>
  <si>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</si>
  <si>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</si>
  <si>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</si>
  <si>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</si>
  <si>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</si>
  <si>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</si>
  <si>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</si>
  <si>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</si>
  <si>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</si>
  <si>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</si>
  <si>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</si>
  <si>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</si>
  <si>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</si>
  <si>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</si>
  <si>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</si>
  <si>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</si>
  <si>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</si>
  <si>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</si>
  <si>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</si>
  <si>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</si>
  <si>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</si>
  <si>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</si>
  <si>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</si>
  <si>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</si>
  <si>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</si>
  <si>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</si>
  <si>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</si>
  <si>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</si>
  <si>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</si>
  <si>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</si>
  <si>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</si>
  <si>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</si>
  <si>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</si>
  <si>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</si>
  <si>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</si>
  <si>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</si>
  <si>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</si>
  <si>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</si>
  <si>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</si>
  <si>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</si>
  <si>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</si>
  <si>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</si>
  <si>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</si>
  <si>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</si>
  <si>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</si>
  <si>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</si>
  <si>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</si>
  <si>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</si>
  <si>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</si>
  <si>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</si>
  <si>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</si>
  <si>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</si>
  <si>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</si>
  <si>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</si>
  <si>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</si>
  <si>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</si>
  <si>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</si>
  <si>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</si>
  <si>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</si>
  <si>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</si>
  <si>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</si>
  <si>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</si>
  <si>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</si>
  <si>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</si>
  <si>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</si>
  <si>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</si>
  <si>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</si>
  <si>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</si>
  <si>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</si>
  <si>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</si>
  <si>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</si>
  <si>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</si>
  <si>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</si>
  <si>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</si>
  <si>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</si>
  <si>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</si>
  <si>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</si>
  <si>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</si>
  <si>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</si>
  <si>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</si>
  <si>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</si>
  <si>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</si>
  <si>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</si>
  <si>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</si>
  <si>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</si>
  <si>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</si>
  <si>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</si>
  <si>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</si>
  <si>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</si>
  <si>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</si>
  <si>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</si>
  <si>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</si>
  <si>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</si>
  <si>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</si>
  <si>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</si>
  <si>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</si>
  <si>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</si>
  <si>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</si>
  <si>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</si>
  <si>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</si>
  <si>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</si>
  <si>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</si>
  <si>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</si>
  <si>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</si>
  <si>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</si>
  <si>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</si>
  <si>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</si>
  <si>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</si>
  <si>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</si>
  <si>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</si>
  <si>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</si>
  <si>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</si>
  <si>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</si>
  <si>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</si>
  <si>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</si>
  <si>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</si>
  <si>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</si>
  <si>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</si>
  <si>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</si>
  <si>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</si>
  <si>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</si>
  <si>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</si>
  <si>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</si>
  <si>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</si>
  <si>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</si>
  <si>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</si>
  <si>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</si>
  <si>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</si>
  <si>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</si>
  <si>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</si>
  <si>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</si>
  <si>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</si>
  <si>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</si>
  <si>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</si>
  <si>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</si>
  <si>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</si>
  <si>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</si>
  <si>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</si>
  <si>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</si>
  <si>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</si>
  <si>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</si>
  <si>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</si>
  <si>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</si>
  <si>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</si>
  <si>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</si>
  <si>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</si>
  <si>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</si>
  <si>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</si>
  <si>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</si>
  <si>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</si>
  <si>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</si>
  <si>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</si>
  <si>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</si>
  <si>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</si>
  <si>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</si>
  <si>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</si>
  <si>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</si>
  <si>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</si>
  <si>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</si>
  <si>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</si>
  <si>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</si>
  <si>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</si>
  <si>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</si>
  <si>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</si>
  <si>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</si>
  <si>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</si>
  <si>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</si>
  <si>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</si>
  <si>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</si>
  <si>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</si>
  <si>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</si>
  <si>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</si>
  <si>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</si>
  <si>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</si>
  <si>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</si>
  <si>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</si>
  <si>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</si>
  <si>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</si>
  <si>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</si>
  <si>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</si>
  <si>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</si>
  <si>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</si>
  <si>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</si>
  <si>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</si>
  <si>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</si>
  <si>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</si>
  <si>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</si>
  <si>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</si>
  <si>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</si>
  <si>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</si>
  <si>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</si>
  <si>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</si>
  <si>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</si>
  <si>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</si>
  <si>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</si>
  <si>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</si>
  <si>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</si>
  <si>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</si>
  <si>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</si>
  <si>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</si>
  <si>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</si>
  <si>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</si>
  <si>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</si>
  <si>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</si>
  <si>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</si>
  <si>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</si>
  <si>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</si>
  <si>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</si>
  <si>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</si>
  <si>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</si>
  <si>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</si>
  <si>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</si>
  <si>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</si>
  <si>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</si>
  <si>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</si>
  <si>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</si>
  <si>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</si>
  <si>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</si>
  <si>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</si>
  <si>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</si>
  <si>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</si>
  <si>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</si>
  <si>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</si>
  <si>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</si>
  <si>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</si>
  <si>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</si>
  <si>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</si>
  <si>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</si>
  <si>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</si>
  <si>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</si>
  <si>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</si>
  <si>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</si>
  <si>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</si>
  <si>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</si>
  <si>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</si>
  <si>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</si>
  <si>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</si>
  <si>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</si>
  <si>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</si>
  <si>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</si>
  <si>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</si>
  <si>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</si>
  <si>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</si>
  <si>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</si>
  <si>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</si>
  <si>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</si>
  <si>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</si>
  <si>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</si>
  <si>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</si>
  <si>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</si>
  <si>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</si>
  <si>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</si>
  <si>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</si>
  <si>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</si>
  <si>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</si>
  <si>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</si>
  <si>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</si>
  <si>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</si>
  <si>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</si>
  <si>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</si>
  <si>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</si>
  <si>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</si>
  <si>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</si>
  <si>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</si>
  <si>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</si>
  <si>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</si>
  <si>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</si>
  <si>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</si>
  <si>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</si>
  <si>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</si>
  <si>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</si>
  <si>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</si>
  <si>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</si>
  <si>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</si>
  <si>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</si>
  <si>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</si>
  <si>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</si>
  <si>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</si>
  <si>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</si>
  <si>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</si>
  <si>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</si>
  <si>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</si>
  <si>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</si>
  <si>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</si>
  <si>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</si>
  <si>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</si>
  <si>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</si>
  <si>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</si>
  <si>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</si>
  <si>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</si>
  <si>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</si>
  <si>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</si>
  <si>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</si>
  <si>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</si>
  <si>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</si>
  <si>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</si>
  <si>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</si>
  <si>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</si>
  <si>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</si>
  <si>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</si>
  <si>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</si>
  <si>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</si>
  <si>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</si>
  <si>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</si>
  <si>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</si>
  <si>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</si>
  <si>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</si>
  <si>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</si>
  <si>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</si>
  <si>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</si>
  <si>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</si>
  <si>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</si>
  <si>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</si>
  <si>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</si>
  <si>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</si>
  <si>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</si>
  <si>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</si>
  <si>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</si>
  <si>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</si>
  <si>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</si>
  <si>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</si>
  <si>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</si>
  <si>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</si>
  <si>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</si>
  <si>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</si>
  <si>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</si>
  <si>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</si>
  <si>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</si>
  <si>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</si>
  <si>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</si>
  <si>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</si>
  <si>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</si>
  <si>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</si>
  <si>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</si>
  <si>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</si>
  <si>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</si>
  <si>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</si>
  <si>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</si>
  <si>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</si>
  <si>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</si>
  <si>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</si>
  <si>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</si>
  <si>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</si>
  <si>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</si>
  <si>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</si>
  <si>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</si>
  <si>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</si>
  <si>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</si>
  <si>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</si>
  <si>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</si>
  <si>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</si>
  <si>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</si>
  <si>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</si>
  <si>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</si>
  <si>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</si>
  <si>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</si>
  <si>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</si>
  <si>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</si>
  <si>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</si>
  <si>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</si>
  <si>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</si>
  <si>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</si>
  <si>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</si>
  <si>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</si>
  <si>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</si>
  <si>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</si>
  <si>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</si>
  <si>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</si>
  <si>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</si>
  <si>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</si>
  <si>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</si>
  <si>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</si>
  <si>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</si>
  <si>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</si>
  <si>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</si>
  <si>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</si>
  <si>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</si>
  <si>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</si>
  <si>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</si>
  <si>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</si>
  <si>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</si>
  <si>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</si>
  <si>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</si>
  <si>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</si>
  <si>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</si>
  <si>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</si>
  <si>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</si>
  <si>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</si>
  <si>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</si>
  <si>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</si>
  <si>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</si>
  <si>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</si>
  <si>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</si>
  <si>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</si>
  <si>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</si>
  <si>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</si>
  <si>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</si>
  <si>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</si>
  <si>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</si>
  <si>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</si>
  <si>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</si>
  <si>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</si>
  <si>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</si>
  <si>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</si>
  <si>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</si>
  <si>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</si>
  <si>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</si>
  <si>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</si>
  <si>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</si>
  <si>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</si>
  <si>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</si>
  <si>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</si>
  <si>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</si>
  <si>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</si>
  <si>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</si>
  <si>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</si>
  <si>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</si>
  <si>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</si>
  <si>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</si>
  <si>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</si>
  <si>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</si>
  <si>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</si>
  <si>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</si>
  <si>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</si>
  <si>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</si>
  <si>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</si>
  <si>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</si>
  <si>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</si>
  <si>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</si>
  <si>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</si>
  <si>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</si>
  <si>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</si>
  <si>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</si>
  <si>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</si>
  <si>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</si>
  <si>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</si>
  <si>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</si>
  <si>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</si>
  <si>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</si>
  <si>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</si>
  <si>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</si>
  <si>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</si>
  <si>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</si>
  <si>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</si>
  <si>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</si>
  <si>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</si>
  <si>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</si>
  <si>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</si>
  <si>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</si>
  <si>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</si>
  <si>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</si>
  <si>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</si>
  <si>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</si>
  <si>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</si>
  <si>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</si>
  <si>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</si>
  <si>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</si>
  <si>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</si>
  <si>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</si>
  <si>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</si>
  <si>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</si>
  <si>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</si>
  <si>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</si>
  <si>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</si>
  <si>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</si>
  <si>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</si>
  <si>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</si>
  <si>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</si>
  <si>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</si>
  <si>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</si>
  <si>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</si>
  <si>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</si>
  <si>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</si>
  <si>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</si>
  <si>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</si>
  <si>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</si>
  <si>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</si>
  <si>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</si>
  <si>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</si>
  <si>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</si>
  <si>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</si>
  <si>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</si>
  <si>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</si>
  <si>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</si>
  <si>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</si>
  <si>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</si>
  <si>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抵押</t>
  </si>
  <si>
    <t>房地产抵押价值</t>
  </si>
  <si>
    <t>北京市</t>
  </si>
  <si>
    <t>企业</t>
  </si>
  <si>
    <t>顺义区顺义新城第1街区01-01-09地块R2二类居住用地、01-01-04地块A334托幼用地</t>
    <phoneticPr fontId="3" type="noConversion"/>
  </si>
  <si>
    <t>通路</t>
  </si>
  <si>
    <t>通电</t>
  </si>
  <si>
    <t>通讯</t>
  </si>
  <si>
    <t>通上水</t>
  </si>
  <si>
    <t>通下水</t>
  </si>
  <si>
    <t>通热</t>
  </si>
  <si>
    <t>燃气</t>
  </si>
  <si>
    <t>1-1-101</t>
  </si>
  <si>
    <t>1-1-102</t>
  </si>
  <si>
    <t>1-1-201</t>
  </si>
  <si>
    <t>1-1-202</t>
  </si>
  <si>
    <t>1-1-301</t>
  </si>
  <si>
    <t>1-1-302</t>
  </si>
  <si>
    <t>1-1-401</t>
  </si>
  <si>
    <t>1-1-402</t>
  </si>
  <si>
    <t>1-1-501</t>
  </si>
  <si>
    <t>1-1-502</t>
  </si>
  <si>
    <t>1-1-601</t>
  </si>
  <si>
    <t>1-1-602</t>
  </si>
  <si>
    <t>1-1-701</t>
  </si>
  <si>
    <t>1-1-702</t>
  </si>
  <si>
    <t>1-1-801</t>
  </si>
  <si>
    <t>1-1-802</t>
  </si>
  <si>
    <t>1-1-901</t>
  </si>
  <si>
    <t>1-1-902</t>
  </si>
  <si>
    <t>1-1-1001</t>
  </si>
  <si>
    <t>1-1-1002</t>
  </si>
  <si>
    <t>1-1-1101</t>
  </si>
  <si>
    <t>1-1-1102</t>
  </si>
  <si>
    <t>1-2-101</t>
  </si>
  <si>
    <t>1-2-102</t>
  </si>
  <si>
    <t>1-2-201</t>
  </si>
  <si>
    <t>1-2-202</t>
  </si>
  <si>
    <t>1-2-301</t>
  </si>
  <si>
    <t>1-2-302</t>
  </si>
  <si>
    <t>1-2-401</t>
  </si>
  <si>
    <t>1-2-402</t>
  </si>
  <si>
    <t>1-2-501</t>
  </si>
  <si>
    <t>1-2-502</t>
  </si>
  <si>
    <t>1-2-601</t>
  </si>
  <si>
    <t>1-2-602</t>
  </si>
  <si>
    <t>1-2-701</t>
  </si>
  <si>
    <t>1-2-702</t>
  </si>
  <si>
    <t>1-2-801</t>
  </si>
  <si>
    <t>1-2-802</t>
  </si>
  <si>
    <t>1-2-901</t>
  </si>
  <si>
    <t>1-2-902</t>
  </si>
  <si>
    <t>1-2-1001</t>
  </si>
  <si>
    <t>1-2-1002</t>
  </si>
  <si>
    <t>1-2-1101</t>
  </si>
  <si>
    <t>1-2-1102</t>
  </si>
  <si>
    <t>1-3-101</t>
  </si>
  <si>
    <t>1-3-102</t>
  </si>
  <si>
    <t>1-3-201</t>
  </si>
  <si>
    <t>1-3-202</t>
  </si>
  <si>
    <t>1-3-301</t>
  </si>
  <si>
    <t>1-3-302</t>
  </si>
  <si>
    <t>1-3-401</t>
  </si>
  <si>
    <t>1-3-402</t>
  </si>
  <si>
    <t>1-3-501</t>
  </si>
  <si>
    <t>1-3-502</t>
  </si>
  <si>
    <t>1-3-601</t>
  </si>
  <si>
    <t>1-3-602</t>
  </si>
  <si>
    <t>1-3-701</t>
  </si>
  <si>
    <t>1-3-702</t>
  </si>
  <si>
    <t>1-3-801</t>
  </si>
  <si>
    <t>1-3-802</t>
  </si>
  <si>
    <t>1-3-901</t>
  </si>
  <si>
    <t>1-3-902</t>
  </si>
  <si>
    <t>1-3-1001</t>
  </si>
  <si>
    <t>1-3-1101</t>
  </si>
  <si>
    <t>1-3-1102</t>
  </si>
  <si>
    <t>2-1-101</t>
  </si>
  <si>
    <t>2-1-102</t>
  </si>
  <si>
    <t>2-1-201</t>
  </si>
  <si>
    <t>2-1-202</t>
  </si>
  <si>
    <t>2-1-301</t>
  </si>
  <si>
    <t>2-1-302</t>
  </si>
  <si>
    <t>2-1-401</t>
  </si>
  <si>
    <t>2-1-402</t>
  </si>
  <si>
    <t>2-1-501</t>
  </si>
  <si>
    <t>2-1-502</t>
  </si>
  <si>
    <t>2-1-601</t>
  </si>
  <si>
    <t>2-1-602</t>
  </si>
  <si>
    <t>2-1-701</t>
  </si>
  <si>
    <t>2-1-702</t>
  </si>
  <si>
    <t>2-1-801</t>
  </si>
  <si>
    <t>2-1-802</t>
  </si>
  <si>
    <t>2-1-901</t>
  </si>
  <si>
    <t>2-1-902</t>
  </si>
  <si>
    <t>2-1-1001</t>
  </si>
  <si>
    <t>2-1-1002</t>
  </si>
  <si>
    <t>2-1-1101</t>
  </si>
  <si>
    <t>2-1-1102</t>
  </si>
  <si>
    <t>2-2-101</t>
  </si>
  <si>
    <t>2-2-102</t>
  </si>
  <si>
    <t>2-2-201</t>
  </si>
  <si>
    <t>2-2-202</t>
  </si>
  <si>
    <t>2-2-301</t>
  </si>
  <si>
    <t>2-2-302</t>
  </si>
  <si>
    <t>2-2-401</t>
  </si>
  <si>
    <t>2-2-402</t>
  </si>
  <si>
    <t>2-2-501</t>
  </si>
  <si>
    <t>2-2-502</t>
  </si>
  <si>
    <t>2-2-601</t>
  </si>
  <si>
    <t>2-2-602</t>
  </si>
  <si>
    <t>2-2-701</t>
  </si>
  <si>
    <t>2-2-702</t>
  </si>
  <si>
    <t>2-2-801</t>
  </si>
  <si>
    <t>2-2-802</t>
  </si>
  <si>
    <t>2-2-901</t>
  </si>
  <si>
    <t>2-2-902</t>
  </si>
  <si>
    <t>2-2-1001</t>
  </si>
  <si>
    <t>2-2-1002</t>
  </si>
  <si>
    <t>2-2-1101</t>
  </si>
  <si>
    <t>2-2-1102</t>
  </si>
  <si>
    <t>2-3-101</t>
  </si>
  <si>
    <t>2-3-102</t>
  </si>
  <si>
    <t>2-3-201</t>
  </si>
  <si>
    <t>2-3-202</t>
  </si>
  <si>
    <t>2-3-301</t>
  </si>
  <si>
    <t>2-3-302</t>
  </si>
  <si>
    <t>2-3-401</t>
  </si>
  <si>
    <t>2-3-402</t>
  </si>
  <si>
    <t>2-3-501</t>
  </si>
  <si>
    <t>2-3-502</t>
  </si>
  <si>
    <t>2-3-601</t>
  </si>
  <si>
    <t>2-3-602</t>
  </si>
  <si>
    <t>2-3-701</t>
  </si>
  <si>
    <t>2-3-702</t>
  </si>
  <si>
    <t>2-3-801</t>
  </si>
  <si>
    <t>2-3-802</t>
  </si>
  <si>
    <t>2-3-901</t>
  </si>
  <si>
    <t>2-3-902</t>
  </si>
  <si>
    <t>2-3-1001</t>
  </si>
  <si>
    <t>2-3-1002</t>
  </si>
  <si>
    <t>2-3-1101</t>
  </si>
  <si>
    <t>2-3-1102</t>
  </si>
  <si>
    <t>3-1-101</t>
  </si>
  <si>
    <t>3-1-102</t>
  </si>
  <si>
    <t>3-1-201</t>
  </si>
  <si>
    <t>3-1-202</t>
  </si>
  <si>
    <t>3-1-301</t>
  </si>
  <si>
    <t>3-1-401</t>
  </si>
  <si>
    <t>3-1-402</t>
  </si>
  <si>
    <t>3-1-501</t>
  </si>
  <si>
    <t>3-1-502</t>
  </si>
  <si>
    <t>3-1-802</t>
  </si>
  <si>
    <t>3-1-902</t>
  </si>
  <si>
    <t>3-1-1001</t>
  </si>
  <si>
    <t>3-1-1102</t>
  </si>
  <si>
    <t>3-2-101</t>
  </si>
  <si>
    <t>3-2-102</t>
  </si>
  <si>
    <t>3-2-201</t>
  </si>
  <si>
    <t>3-2-202</t>
  </si>
  <si>
    <t>3-2-301</t>
  </si>
  <si>
    <t>3-2-302</t>
  </si>
  <si>
    <t>3-2-401</t>
  </si>
  <si>
    <t>3-2-402</t>
  </si>
  <si>
    <t>3-2-501</t>
  </si>
  <si>
    <t>3-2-502</t>
  </si>
  <si>
    <t>3-2-602</t>
  </si>
  <si>
    <t>3-2-701</t>
  </si>
  <si>
    <t>3-2-702</t>
  </si>
  <si>
    <t>3-2-801</t>
  </si>
  <si>
    <t>3-2-802</t>
  </si>
  <si>
    <t>3-2-902</t>
  </si>
  <si>
    <t>3-2-1002</t>
  </si>
  <si>
    <t>3-2-1101</t>
  </si>
  <si>
    <t>3-2-1102</t>
  </si>
  <si>
    <t>4-1-101</t>
  </si>
  <si>
    <t>4-1-102</t>
  </si>
  <si>
    <t>4-1-201</t>
  </si>
  <si>
    <t>4-1-202</t>
  </si>
  <si>
    <t>4-1-301</t>
  </si>
  <si>
    <t>4-1-302</t>
  </si>
  <si>
    <t>4-1-401</t>
  </si>
  <si>
    <t>4-1-402</t>
  </si>
  <si>
    <t>4-1-501</t>
  </si>
  <si>
    <t>4-1-502</t>
  </si>
  <si>
    <t>4-1-601</t>
  </si>
  <si>
    <t>4-1-602</t>
  </si>
  <si>
    <t>4-1-701</t>
  </si>
  <si>
    <t>4-1-702</t>
  </si>
  <si>
    <t>5-1-101</t>
  </si>
  <si>
    <t>5-1-102</t>
  </si>
  <si>
    <t>5-1-201</t>
  </si>
  <si>
    <t>5-1-202</t>
  </si>
  <si>
    <t>5-1-301</t>
  </si>
  <si>
    <t>5-1-302</t>
  </si>
  <si>
    <t>5-1-401</t>
  </si>
  <si>
    <t>5-1-402</t>
  </si>
  <si>
    <t>5-1-501</t>
  </si>
  <si>
    <t>5-1-502</t>
  </si>
  <si>
    <t>5-1-601</t>
  </si>
  <si>
    <t>5-1-602</t>
  </si>
  <si>
    <t>5-2-101</t>
  </si>
  <si>
    <t>5-2-102</t>
  </si>
  <si>
    <t>5-2-201</t>
  </si>
  <si>
    <t>5-2-202</t>
  </si>
  <si>
    <t>5-2-301</t>
  </si>
  <si>
    <t>5-2-302</t>
  </si>
  <si>
    <t>5-2-401</t>
  </si>
  <si>
    <t>5-2-402</t>
  </si>
  <si>
    <t>5-2-501</t>
  </si>
  <si>
    <t>5-2-502</t>
  </si>
  <si>
    <t>5-2-601</t>
  </si>
  <si>
    <t>5-2-602</t>
  </si>
  <si>
    <t>6-1-101</t>
  </si>
  <si>
    <t>6-1-102</t>
  </si>
  <si>
    <t>6-1-201</t>
  </si>
  <si>
    <t>6-1-202</t>
  </si>
  <si>
    <t>6-2-101</t>
  </si>
  <si>
    <t>6-2-102</t>
  </si>
  <si>
    <t>6-2-201</t>
  </si>
  <si>
    <t>6-2-202</t>
  </si>
  <si>
    <t>6-2-801</t>
  </si>
  <si>
    <t>7-1-101</t>
  </si>
  <si>
    <t>7-1-102</t>
  </si>
  <si>
    <t>7-1-103</t>
  </si>
  <si>
    <t>7-1-201</t>
  </si>
  <si>
    <t>7-1-301</t>
  </si>
  <si>
    <t>7-1-401</t>
  </si>
  <si>
    <t>7-1-501</t>
  </si>
  <si>
    <t>7-1-601</t>
  </si>
  <si>
    <t>7-1-701</t>
  </si>
  <si>
    <t>7-1-801</t>
  </si>
  <si>
    <t>7-2-201</t>
  </si>
  <si>
    <t>7-2-301</t>
  </si>
  <si>
    <t>7-2-401</t>
  </si>
  <si>
    <t>7-2-501</t>
  </si>
  <si>
    <t>7-2-601</t>
  </si>
  <si>
    <t>7-2-701</t>
  </si>
  <si>
    <t>7-2-801</t>
  </si>
  <si>
    <t>8-1-101</t>
  </si>
  <si>
    <t>8-1-102</t>
  </si>
  <si>
    <t>8-1-201</t>
  </si>
  <si>
    <t>8-1-202</t>
  </si>
  <si>
    <t>8-1-301</t>
  </si>
  <si>
    <t>8-1-302</t>
  </si>
  <si>
    <t>8-1-401</t>
  </si>
  <si>
    <t>8-1-402</t>
  </si>
  <si>
    <t>8-1-501</t>
  </si>
  <si>
    <t>8-1-502</t>
  </si>
  <si>
    <t>8-1-701</t>
  </si>
  <si>
    <t>8-1-702</t>
  </si>
  <si>
    <t>8-2-101</t>
  </si>
  <si>
    <t>8-2-102</t>
  </si>
  <si>
    <t>8-2-201</t>
  </si>
  <si>
    <t>8-2-202</t>
  </si>
  <si>
    <t>8-2-301</t>
  </si>
  <si>
    <t>8-2-402</t>
  </si>
  <si>
    <t>8-2-501</t>
  </si>
  <si>
    <t>8-2-701</t>
  </si>
  <si>
    <t>9-1-101</t>
  </si>
  <si>
    <t>9-1-102</t>
  </si>
  <si>
    <t>9-1-103</t>
  </si>
  <si>
    <t>9-1-201</t>
  </si>
  <si>
    <t>9-1-301</t>
  </si>
  <si>
    <t>9-1-401</t>
  </si>
  <si>
    <t>9-1-501</t>
  </si>
  <si>
    <t>9-1-601</t>
  </si>
  <si>
    <t>9-1-701</t>
  </si>
  <si>
    <t>9-1-801</t>
  </si>
  <si>
    <t>9-2-201</t>
  </si>
  <si>
    <t>9-2-301</t>
  </si>
  <si>
    <t>9-2-401</t>
  </si>
  <si>
    <t>9-2-501</t>
  </si>
  <si>
    <t>9-2-601</t>
  </si>
  <si>
    <t>9-2-701</t>
  </si>
  <si>
    <t>9-2-801</t>
  </si>
  <si>
    <t>10-1-101</t>
  </si>
  <si>
    <t>10-1-102</t>
  </si>
  <si>
    <t>10-1-201</t>
  </si>
  <si>
    <t>10-1-202</t>
  </si>
  <si>
    <t>10-1-401</t>
  </si>
  <si>
    <t>10-1-402</t>
  </si>
  <si>
    <t>10-1-901</t>
  </si>
  <si>
    <t>10-1-1102</t>
  </si>
  <si>
    <t>10-2-101</t>
  </si>
  <si>
    <t>10-2-102</t>
  </si>
  <si>
    <t>10-2-201</t>
  </si>
  <si>
    <t>10-2-202</t>
  </si>
  <si>
    <t>10-2-301</t>
  </si>
  <si>
    <t>10-2-302</t>
  </si>
  <si>
    <t>10-2-401</t>
  </si>
  <si>
    <t>10-2-402</t>
  </si>
  <si>
    <t>10-2-501</t>
  </si>
  <si>
    <t>10-2-502</t>
  </si>
  <si>
    <t>10-2-701</t>
  </si>
  <si>
    <t>10-2-702</t>
  </si>
  <si>
    <t>10-2-902</t>
  </si>
  <si>
    <t>10-2-1101</t>
  </si>
  <si>
    <t>10-3-101</t>
  </si>
  <si>
    <t>10-3-102</t>
  </si>
  <si>
    <t>10-3-201</t>
  </si>
  <si>
    <t>10-3-202</t>
  </si>
  <si>
    <t>10-3-301</t>
  </si>
  <si>
    <t>10-3-302</t>
  </si>
  <si>
    <t>10-3-401</t>
  </si>
  <si>
    <t>10-3-402</t>
  </si>
  <si>
    <t>10-3-501</t>
  </si>
  <si>
    <t>10-3-601</t>
  </si>
  <si>
    <t>10-3-602</t>
  </si>
  <si>
    <t>10-3-701</t>
  </si>
  <si>
    <t>10-3-802</t>
  </si>
  <si>
    <t>10-3-1001</t>
  </si>
  <si>
    <t>10-3-1101</t>
  </si>
  <si>
    <t>10-4-102</t>
  </si>
  <si>
    <t>10-4-201</t>
  </si>
  <si>
    <t>10-4-302</t>
  </si>
  <si>
    <t>11-1-101</t>
  </si>
  <si>
    <t>11-1-201</t>
  </si>
  <si>
    <t>11-1-202</t>
  </si>
  <si>
    <t>11-1-301</t>
  </si>
  <si>
    <t>11-1-302</t>
  </si>
  <si>
    <t>11-1-401</t>
  </si>
  <si>
    <t>11-1-801</t>
  </si>
  <si>
    <t>11-1-802</t>
  </si>
  <si>
    <t>11-2-101</t>
  </si>
  <si>
    <t>11-2-102</t>
  </si>
  <si>
    <t>11-2-201</t>
  </si>
  <si>
    <t>11-2-202</t>
  </si>
  <si>
    <t>11-2-302</t>
  </si>
  <si>
    <t>11-2-502</t>
  </si>
  <si>
    <t>11-2-801</t>
  </si>
  <si>
    <t>12-1-101</t>
  </si>
  <si>
    <t>12-1-102</t>
  </si>
  <si>
    <t>12-1-201</t>
  </si>
  <si>
    <t>12-1-202</t>
  </si>
  <si>
    <t>12-1-301</t>
  </si>
  <si>
    <t>12-1-302</t>
  </si>
  <si>
    <t>12-1-401</t>
  </si>
  <si>
    <t>12-1-402</t>
  </si>
  <si>
    <t>12-1-501</t>
  </si>
  <si>
    <t>12-1-502</t>
  </si>
  <si>
    <t>12-1-601</t>
  </si>
  <si>
    <t>12-1-602</t>
  </si>
  <si>
    <t>12-1-701</t>
  </si>
  <si>
    <t>12-1-702</t>
  </si>
  <si>
    <t>12-2-101</t>
  </si>
  <si>
    <t>12-2-102</t>
  </si>
  <si>
    <t>12-2-201</t>
  </si>
  <si>
    <t>12-2-202</t>
  </si>
  <si>
    <t>12-2-301</t>
  </si>
  <si>
    <t>12-2-302</t>
  </si>
  <si>
    <t>12-2-401</t>
  </si>
  <si>
    <t>12-2-402</t>
  </si>
  <si>
    <t>12-2-501</t>
  </si>
  <si>
    <t>12-2-502</t>
  </si>
  <si>
    <t>12-2-601</t>
  </si>
  <si>
    <t>12-2-602</t>
  </si>
  <si>
    <t>12-2-701</t>
  </si>
  <si>
    <t>12-2-702</t>
  </si>
  <si>
    <t>12-2-801</t>
  </si>
  <si>
    <t>12-2-802</t>
  </si>
  <si>
    <t>13-1-101</t>
  </si>
  <si>
    <t>13-1-102</t>
  </si>
  <si>
    <t>13-1-103</t>
  </si>
  <si>
    <t>13-1-201</t>
  </si>
  <si>
    <t>13-1-301</t>
  </si>
  <si>
    <t>13-1-401</t>
  </si>
  <si>
    <t>13-1-501</t>
  </si>
  <si>
    <t>13-1-601</t>
  </si>
  <si>
    <t>13-1-701</t>
  </si>
  <si>
    <t>13-1-801</t>
  </si>
  <si>
    <t>13-2-201</t>
  </si>
  <si>
    <t>13-2-301</t>
  </si>
  <si>
    <t>13-2-401</t>
  </si>
  <si>
    <t>13-2-501</t>
  </si>
  <si>
    <t>13-2-601</t>
  </si>
  <si>
    <t>13-2-701</t>
  </si>
  <si>
    <t>13-2-801</t>
  </si>
  <si>
    <t>14-1-101</t>
  </si>
  <si>
    <t>14-1-102</t>
  </si>
  <si>
    <t>14-1-103</t>
  </si>
  <si>
    <t>14-1-201</t>
  </si>
  <si>
    <t>14-1-301</t>
  </si>
  <si>
    <t>14-1-401</t>
  </si>
  <si>
    <t>14-1-501</t>
  </si>
  <si>
    <t>14-1-601</t>
  </si>
  <si>
    <t>14-1-701</t>
  </si>
  <si>
    <t>14-1-801</t>
  </si>
  <si>
    <t>14-2-201</t>
  </si>
  <si>
    <t>14-2-301</t>
  </si>
  <si>
    <t>14-2-401</t>
  </si>
  <si>
    <t>14-2-501</t>
  </si>
  <si>
    <t>14-2-601</t>
  </si>
  <si>
    <t>14-2-701</t>
  </si>
  <si>
    <t>14-2-801</t>
  </si>
  <si>
    <t>15-1-101</t>
  </si>
  <si>
    <t>15-1-102</t>
  </si>
  <si>
    <t>15-1-201</t>
  </si>
  <si>
    <t>15-1-202</t>
  </si>
  <si>
    <t>15-1-301</t>
  </si>
  <si>
    <t>15-1-302</t>
  </si>
  <si>
    <t>15-1-401</t>
  </si>
  <si>
    <t>15-1-402</t>
  </si>
  <si>
    <t>15-1-501</t>
  </si>
  <si>
    <t>15-1-502</t>
  </si>
  <si>
    <t>15-1-601</t>
  </si>
  <si>
    <t>15-1-602</t>
  </si>
  <si>
    <t>15-1-701</t>
  </si>
  <si>
    <t>15-1-702</t>
  </si>
  <si>
    <t>15-2-101</t>
  </si>
  <si>
    <t>15-2-102</t>
  </si>
  <si>
    <t>15-2-201</t>
  </si>
  <si>
    <t>15-2-202</t>
  </si>
  <si>
    <t>15-2-301</t>
  </si>
  <si>
    <t>15-2-302</t>
  </si>
  <si>
    <t>15-2-401</t>
  </si>
  <si>
    <t>15-2-402</t>
  </si>
  <si>
    <t>15-2-501</t>
  </si>
  <si>
    <t>15-2-502</t>
  </si>
  <si>
    <t>15-2-601</t>
  </si>
  <si>
    <t>15-2-602</t>
  </si>
  <si>
    <t>15-2-701</t>
  </si>
  <si>
    <t>15-2-702</t>
  </si>
  <si>
    <t>16-1-101</t>
  </si>
  <si>
    <t>16-1-102</t>
  </si>
  <si>
    <t>16-1-201</t>
  </si>
  <si>
    <t>16-1-202</t>
  </si>
  <si>
    <t>16-1-302</t>
  </si>
  <si>
    <t>16-1-401</t>
  </si>
  <si>
    <t>16-1-402</t>
  </si>
  <si>
    <t>16-1-501</t>
  </si>
  <si>
    <t>16-1-502</t>
  </si>
  <si>
    <t>16-1-601</t>
  </si>
  <si>
    <t>16-1-602</t>
  </si>
  <si>
    <t>16-1-701</t>
  </si>
  <si>
    <t>16-1-801</t>
  </si>
  <si>
    <t>16-1-802</t>
  </si>
  <si>
    <t>16-1-901</t>
  </si>
  <si>
    <t>16-1-902</t>
  </si>
  <si>
    <t>16-1-1001</t>
  </si>
  <si>
    <t>16-1-1002</t>
  </si>
  <si>
    <t>16-1-1102</t>
  </si>
  <si>
    <t>16-2-101</t>
  </si>
  <si>
    <t>16-2-102</t>
  </si>
  <si>
    <t>16-2-201</t>
  </si>
  <si>
    <t>16-2-202</t>
  </si>
  <si>
    <t>16-2-301</t>
  </si>
  <si>
    <t>16-2-302</t>
  </si>
  <si>
    <t>16-2-401</t>
  </si>
  <si>
    <t>16-2-402</t>
  </si>
  <si>
    <t>16-2-501</t>
  </si>
  <si>
    <t>16-2-502</t>
  </si>
  <si>
    <t>16-2-601</t>
  </si>
  <si>
    <t>16-2-602</t>
  </si>
  <si>
    <t>16-2-701</t>
  </si>
  <si>
    <t>16-2-702</t>
  </si>
  <si>
    <t>16-2-801</t>
  </si>
  <si>
    <t>16-2-802</t>
  </si>
  <si>
    <t>16-2-901</t>
  </si>
  <si>
    <t>16-2-902</t>
  </si>
  <si>
    <t>16-2-1001</t>
  </si>
  <si>
    <t>16-2-1002</t>
  </si>
  <si>
    <t>16-2-1101</t>
  </si>
  <si>
    <t>16-2-1102</t>
  </si>
  <si>
    <t>16-3-101</t>
  </si>
  <si>
    <t>16-3-102</t>
  </si>
  <si>
    <t>16-3-201</t>
  </si>
  <si>
    <t>16-3-202</t>
  </si>
  <si>
    <t>16-3-301</t>
  </si>
  <si>
    <t>16-3-302</t>
  </si>
  <si>
    <t>16-3-401</t>
  </si>
  <si>
    <t>16-3-402</t>
  </si>
  <si>
    <t>16-3-501</t>
  </si>
  <si>
    <t>16-3-601</t>
  </si>
  <si>
    <t>16-3-702</t>
  </si>
  <si>
    <t>16-3-801</t>
  </si>
  <si>
    <t>16-3-901</t>
  </si>
  <si>
    <t>16-3-902</t>
  </si>
  <si>
    <t>16-4-101</t>
  </si>
  <si>
    <t>16-4-102</t>
  </si>
  <si>
    <t>16-4-201</t>
  </si>
  <si>
    <t>16-4-202</t>
  </si>
  <si>
    <t>16-4-302</t>
  </si>
  <si>
    <t>16-4-402</t>
  </si>
  <si>
    <t>16-4-502</t>
  </si>
  <si>
    <t>16-4-902</t>
  </si>
  <si>
    <t>17-1-101</t>
  </si>
  <si>
    <t>17-1-102</t>
  </si>
  <si>
    <t>17-1-201</t>
  </si>
  <si>
    <t>17-1-202</t>
  </si>
  <si>
    <t>17-1-301</t>
  </si>
  <si>
    <t>17-1-302</t>
  </si>
  <si>
    <t>17-1-401</t>
  </si>
  <si>
    <t>17-1-402</t>
  </si>
  <si>
    <t>17-1-501</t>
  </si>
  <si>
    <t>17-1-502</t>
  </si>
  <si>
    <t>17-1-601</t>
  </si>
  <si>
    <t>17-1-602</t>
  </si>
  <si>
    <t>17-1-701</t>
  </si>
  <si>
    <t>17-1-702</t>
  </si>
  <si>
    <t>17-1-801</t>
  </si>
  <si>
    <t>17-1-802</t>
  </si>
  <si>
    <t>17-1-901</t>
  </si>
  <si>
    <t>17-1-902</t>
  </si>
  <si>
    <t>17-1-1001</t>
  </si>
  <si>
    <t>17-1-1002</t>
  </si>
  <si>
    <t>17-1-1101</t>
  </si>
  <si>
    <t>17-1-1102</t>
  </si>
  <si>
    <t>17-2-101</t>
  </si>
  <si>
    <t>17-2-102</t>
  </si>
  <si>
    <t>17-2-201</t>
  </si>
  <si>
    <t>17-2-202</t>
  </si>
  <si>
    <t>17-2-301</t>
  </si>
  <si>
    <t>17-2-302</t>
  </si>
  <si>
    <t>17-2-401</t>
  </si>
  <si>
    <t>17-2-402</t>
  </si>
  <si>
    <t>17-2-501</t>
  </si>
  <si>
    <t>17-2-502</t>
  </si>
  <si>
    <t>17-2-601</t>
  </si>
  <si>
    <t>17-2-602</t>
  </si>
  <si>
    <t>17-2-701</t>
  </si>
  <si>
    <t>17-2-702</t>
  </si>
  <si>
    <t>17-3-101</t>
  </si>
  <si>
    <t>17-3-102</t>
  </si>
  <si>
    <t>17-3-201</t>
  </si>
  <si>
    <t>17-3-202</t>
  </si>
  <si>
    <t>17-3-301</t>
  </si>
  <si>
    <t>17-3-302</t>
  </si>
  <si>
    <t>17-3-401</t>
  </si>
  <si>
    <t>17-3-402</t>
  </si>
  <si>
    <t>17-3-501</t>
  </si>
  <si>
    <t>17-3-601</t>
  </si>
  <si>
    <t>17-3-602</t>
  </si>
  <si>
    <t>17-3-702</t>
  </si>
  <si>
    <t>17-4-101</t>
  </si>
  <si>
    <t>17-4-102</t>
  </si>
  <si>
    <t>17-4-201</t>
  </si>
  <si>
    <t>17-4-202</t>
  </si>
  <si>
    <t>17-4-301</t>
  </si>
  <si>
    <t>17-4-302</t>
  </si>
  <si>
    <t>17-4-401</t>
  </si>
  <si>
    <t>17-4-402</t>
  </si>
  <si>
    <t>17-4-501</t>
  </si>
  <si>
    <t>17-4-502</t>
  </si>
  <si>
    <t>17-4-601</t>
  </si>
  <si>
    <t>17-4-602</t>
  </si>
  <si>
    <t>17-4-701</t>
  </si>
  <si>
    <t>17-4-702</t>
  </si>
  <si>
    <t>17-4-801</t>
  </si>
  <si>
    <t>17-4-802</t>
  </si>
  <si>
    <t>17-4-901</t>
  </si>
  <si>
    <t>17-4-902</t>
  </si>
  <si>
    <t>18-1-101</t>
  </si>
  <si>
    <t>18-1-102</t>
  </si>
  <si>
    <t>18-1-201</t>
  </si>
  <si>
    <t>18-1-301</t>
  </si>
  <si>
    <t>18-2-101</t>
  </si>
  <si>
    <t>18-2-102</t>
  </si>
  <si>
    <t>18-2-302</t>
  </si>
  <si>
    <t>18-2-602</t>
  </si>
  <si>
    <t>19-1-101</t>
  </si>
  <si>
    <t>19-1-102</t>
  </si>
  <si>
    <t>19-1-201</t>
  </si>
  <si>
    <t>19-1-202</t>
  </si>
  <si>
    <t>19-1-302</t>
  </si>
  <si>
    <t>19-1-502</t>
  </si>
  <si>
    <t>19-1-601</t>
  </si>
  <si>
    <t>19-1-702</t>
  </si>
  <si>
    <t>19-2-101</t>
  </si>
  <si>
    <t>19-2-102</t>
  </si>
  <si>
    <t>19-2-201</t>
  </si>
  <si>
    <t>19-2-202</t>
  </si>
  <si>
    <t>19-2-301</t>
  </si>
  <si>
    <t>19-2-302</t>
  </si>
  <si>
    <t>19-2-401</t>
  </si>
  <si>
    <t>19-2-402</t>
  </si>
  <si>
    <t>19-2-501</t>
  </si>
  <si>
    <t>19-2-601</t>
  </si>
  <si>
    <t>19-2-602</t>
  </si>
  <si>
    <t>19-2-701</t>
  </si>
  <si>
    <t>19-2-702</t>
  </si>
  <si>
    <t>19-2-801</t>
  </si>
  <si>
    <t>19-2-802</t>
  </si>
  <si>
    <t>20-1-101</t>
  </si>
  <si>
    <t>20-1-102</t>
  </si>
  <si>
    <t>20-1-201</t>
  </si>
  <si>
    <t>20-1-202</t>
  </si>
  <si>
    <t>20-1-301</t>
  </si>
  <si>
    <t>20-1-302</t>
  </si>
  <si>
    <t>20-1-502</t>
  </si>
  <si>
    <t>20-2-101</t>
  </si>
  <si>
    <t>20-2-102</t>
  </si>
  <si>
    <t>20-2-1101</t>
  </si>
  <si>
    <t>20-2-1102</t>
  </si>
  <si>
    <t>20-2-201</t>
  </si>
  <si>
    <t>20-2-202</t>
  </si>
  <si>
    <t>20-2-401</t>
  </si>
  <si>
    <t>20-2-502</t>
  </si>
  <si>
    <t>20-2-601</t>
  </si>
  <si>
    <t>20-2-602</t>
  </si>
  <si>
    <t>20-2-701</t>
  </si>
  <si>
    <t>20-2-801</t>
  </si>
  <si>
    <t>20-2-901</t>
  </si>
  <si>
    <t>21-1-101</t>
  </si>
  <si>
    <t>21-1-102</t>
  </si>
  <si>
    <t>21-1-201</t>
  </si>
  <si>
    <t>21-1-202</t>
  </si>
  <si>
    <t>21-1-302</t>
  </si>
  <si>
    <t>21-1-401</t>
  </si>
  <si>
    <t>21-1-802</t>
  </si>
  <si>
    <t>21-2-101</t>
  </si>
  <si>
    <t>21-2-102</t>
  </si>
  <si>
    <t>21-2-201</t>
  </si>
  <si>
    <t>21-2-901</t>
  </si>
  <si>
    <t>21-3-101</t>
  </si>
  <si>
    <t>21-3-102</t>
  </si>
  <si>
    <r>
      <rPr>
        <b/>
        <sz val="11"/>
        <color rgb="FF000000"/>
        <rFont val="宋体"/>
        <family val="3"/>
        <charset val="134"/>
      </rPr>
      <t>序号</t>
    </r>
    <phoneticPr fontId="134" type="noConversion"/>
  </si>
  <si>
    <r>
      <rPr>
        <b/>
        <sz val="11"/>
        <color rgb="FF000000"/>
        <rFont val="宋体"/>
        <family val="3"/>
        <charset val="134"/>
      </rPr>
      <t>房号</t>
    </r>
    <phoneticPr fontId="134" type="noConversion"/>
  </si>
  <si>
    <t>——</t>
    <phoneticPr fontId="134" type="noConversion"/>
  </si>
  <si>
    <t>住宅小计</t>
    <phoneticPr fontId="134" type="noConversion"/>
  </si>
  <si>
    <t>规划建筑面积（㎡）</t>
    <phoneticPr fontId="134" type="noConversion"/>
  </si>
  <si>
    <t>地下车库</t>
    <phoneticPr fontId="134" type="noConversion"/>
  </si>
  <si>
    <t>戊类储藏间</t>
  </si>
  <si>
    <t>储藏间</t>
  </si>
  <si>
    <t>地下仓储</t>
    <phoneticPr fontId="134" type="noConversion"/>
  </si>
  <si>
    <t>仓储用房小计</t>
    <phoneticPr fontId="134" type="noConversion"/>
  </si>
  <si>
    <t>地下车库小计</t>
    <phoneticPr fontId="134" type="noConversion"/>
  </si>
  <si>
    <t>合计</t>
    <phoneticPr fontId="134" type="noConversion"/>
  </si>
  <si>
    <t>地上</t>
  </si>
  <si>
    <t>地下</t>
  </si>
  <si>
    <t>住宅</t>
  </si>
  <si>
    <t>地块</t>
    <phoneticPr fontId="134" type="noConversion"/>
  </si>
  <si>
    <t>楼号</t>
    <phoneticPr fontId="134" type="noConversion"/>
  </si>
  <si>
    <t>总建筑面积</t>
    <phoneticPr fontId="134" type="noConversion"/>
  </si>
  <si>
    <t>地上建面</t>
    <phoneticPr fontId="134" type="noConversion"/>
  </si>
  <si>
    <t>地下建面</t>
    <phoneticPr fontId="134" type="noConversion"/>
  </si>
  <si>
    <t>地上</t>
    <phoneticPr fontId="134" type="noConversion"/>
  </si>
  <si>
    <t>地下</t>
    <phoneticPr fontId="134" type="noConversion"/>
  </si>
  <si>
    <t>消防水箱间、风道、楼梯间</t>
    <phoneticPr fontId="134" type="noConversion"/>
  </si>
  <si>
    <t>人防警报控制室</t>
    <phoneticPr fontId="134" type="noConversion"/>
  </si>
  <si>
    <t>低基配电室及高压分界室</t>
    <phoneticPr fontId="134" type="noConversion"/>
  </si>
  <si>
    <t>物业服务用房</t>
    <phoneticPr fontId="134" type="noConversion"/>
  </si>
  <si>
    <t>菜市场电梯</t>
    <phoneticPr fontId="134" type="noConversion"/>
  </si>
  <si>
    <t>1、2、3#人防出入口</t>
    <phoneticPr fontId="134" type="noConversion"/>
  </si>
  <si>
    <t>戊类储藏间</t>
    <phoneticPr fontId="134" type="noConversion"/>
  </si>
  <si>
    <t>设备用房</t>
    <phoneticPr fontId="134" type="noConversion"/>
  </si>
  <si>
    <t>非机动车库</t>
    <phoneticPr fontId="134" type="noConversion"/>
  </si>
  <si>
    <t>小型商服（便利店）</t>
    <phoneticPr fontId="134" type="noConversion"/>
  </si>
  <si>
    <t>其他商业服务</t>
    <phoneticPr fontId="134" type="noConversion"/>
  </si>
  <si>
    <t>机动车库</t>
    <phoneticPr fontId="134" type="noConversion"/>
  </si>
  <si>
    <t>分布式能源站（热力站）</t>
    <phoneticPr fontId="134" type="noConversion"/>
  </si>
  <si>
    <t>室内覆盖机房</t>
    <phoneticPr fontId="134" type="noConversion"/>
  </si>
  <si>
    <t>固定通讯设备间</t>
    <phoneticPr fontId="134" type="noConversion"/>
  </si>
  <si>
    <t>有线电视光电转换间</t>
    <phoneticPr fontId="134" type="noConversion"/>
  </si>
  <si>
    <t>固定通讯机房</t>
    <phoneticPr fontId="134" type="noConversion"/>
  </si>
  <si>
    <t>有线电视机房</t>
    <phoneticPr fontId="134" type="noConversion"/>
  </si>
  <si>
    <t>菜市场</t>
    <phoneticPr fontId="134" type="noConversion"/>
  </si>
  <si>
    <t>地上层数</t>
    <phoneticPr fontId="134" type="noConversion"/>
  </si>
  <si>
    <r>
      <t>0</t>
    </r>
    <r>
      <rPr>
        <sz val="11"/>
        <color theme="1"/>
        <rFont val="宋体"/>
        <family val="3"/>
        <charset val="134"/>
        <scheme val="minor"/>
      </rPr>
      <t>1-01-09地块</t>
    </r>
    <phoneticPr fontId="134" type="noConversion"/>
  </si>
  <si>
    <t>1#住宅楼</t>
    <phoneticPr fontId="13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</si>
  <si>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</si>
  <si>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</si>
  <si>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</si>
  <si>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</si>
  <si>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</si>
  <si>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</si>
  <si>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</si>
  <si>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</si>
  <si>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</si>
  <si>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</si>
  <si>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</si>
  <si>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</si>
  <si>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</si>
  <si>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</si>
  <si>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</si>
  <si>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</si>
  <si>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</si>
  <si>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19#住宅楼</t>
    </r>
    <r>
      <rPr>
        <sz val="11"/>
        <color theme="1"/>
        <rFont val="宋体"/>
        <family val="3"/>
        <charset val="134"/>
        <scheme val="minor"/>
      </rPr>
      <t/>
    </r>
  </si>
  <si>
    <r>
      <t>20#住宅楼</t>
    </r>
    <r>
      <rPr>
        <sz val="11"/>
        <color theme="1"/>
        <rFont val="宋体"/>
        <family val="3"/>
        <charset val="134"/>
        <scheme val="minor"/>
      </rPr>
      <t/>
    </r>
  </si>
  <si>
    <r>
      <t>21#住宅楼</t>
    </r>
    <r>
      <rPr>
        <sz val="11"/>
        <color theme="1"/>
        <rFont val="宋体"/>
        <family val="3"/>
        <charset val="134"/>
        <scheme val="minor"/>
      </rPr>
      <t/>
    </r>
  </si>
  <si>
    <t>配套</t>
    <phoneticPr fontId="134" type="noConversion"/>
  </si>
  <si>
    <t>22#配套楼</t>
    <phoneticPr fontId="134" type="noConversion"/>
  </si>
  <si>
    <t>23#配套楼</t>
  </si>
  <si>
    <t>24#配套楼</t>
  </si>
  <si>
    <t>人防</t>
    <phoneticPr fontId="134" type="noConversion"/>
  </si>
  <si>
    <t>人防工程（平时为机动车库）</t>
    <phoneticPr fontId="134" type="noConversion"/>
  </si>
  <si>
    <t>不含人防合计</t>
    <phoneticPr fontId="134" type="noConversion"/>
  </si>
  <si>
    <t>地上楼层</t>
    <phoneticPr fontId="134" type="noConversion"/>
  </si>
  <si>
    <t>地下楼层</t>
    <phoneticPr fontId="134" type="noConversion"/>
  </si>
  <si>
    <t>商业</t>
    <phoneticPr fontId="134" type="noConversion"/>
  </si>
  <si>
    <r>
      <t>01-01-0</t>
    </r>
    <r>
      <rPr>
        <sz val="11"/>
        <color theme="1"/>
        <rFont val="宋体"/>
        <family val="3"/>
        <charset val="134"/>
        <scheme val="minor"/>
      </rPr>
      <t>4</t>
    </r>
    <r>
      <rPr>
        <sz val="11"/>
        <color theme="1"/>
        <rFont val="宋体"/>
        <family val="3"/>
        <charset val="134"/>
        <scheme val="minor"/>
      </rPr>
      <t>地块</t>
    </r>
    <phoneticPr fontId="134" type="noConversion"/>
  </si>
  <si>
    <r>
      <t>1</t>
    </r>
    <r>
      <rPr>
        <sz val="11"/>
        <color theme="1"/>
        <rFont val="宋体"/>
        <family val="3"/>
        <charset val="134"/>
        <scheme val="minor"/>
      </rPr>
      <t>#幼儿园</t>
    </r>
    <phoneticPr fontId="134" type="noConversion"/>
  </si>
  <si>
    <r>
      <t>2</t>
    </r>
    <r>
      <rPr>
        <sz val="11"/>
        <color theme="1"/>
        <rFont val="宋体"/>
        <family val="3"/>
        <charset val="134"/>
        <scheme val="minor"/>
      </rPr>
      <t>#教育咨询室</t>
    </r>
    <phoneticPr fontId="134" type="noConversion"/>
  </si>
  <si>
    <r>
      <t>3</t>
    </r>
    <r>
      <rPr>
        <sz val="11"/>
        <color theme="1"/>
        <rFont val="宋体"/>
        <family val="3"/>
        <charset val="134"/>
        <scheme val="minor"/>
      </rPr>
      <t>#高压分界室</t>
    </r>
    <phoneticPr fontId="134" type="noConversion"/>
  </si>
  <si>
    <t>土地面积</t>
    <phoneticPr fontId="134" type="noConversion"/>
  </si>
  <si>
    <t>建筑面积总计</t>
    <phoneticPr fontId="134" type="noConversion"/>
  </si>
  <si>
    <t>分摊土地面积</t>
    <phoneticPr fontId="134" type="noConversion"/>
  </si>
  <si>
    <t>本次抵押</t>
    <phoneticPr fontId="134" type="noConversion"/>
  </si>
  <si>
    <t>是</t>
  </si>
  <si>
    <t>住宅</t>
    <phoneticPr fontId="7" type="noConversion"/>
  </si>
  <si>
    <t>地下仓储</t>
    <phoneticPr fontId="7" type="noConversion"/>
  </si>
  <si>
    <t>地下车库</t>
    <phoneticPr fontId="7" type="noConversion"/>
  </si>
  <si>
    <t>工程进度/成新度</t>
  </si>
  <si>
    <t>地块名称</t>
  </si>
  <si>
    <t>城市</t>
  </si>
  <si>
    <t>板块</t>
  </si>
  <si>
    <t>地块编号</t>
  </si>
  <si>
    <t>建设用地面积(㎡)</t>
  </si>
  <si>
    <t>规划建筑面积(㎡)</t>
  </si>
  <si>
    <t>成交保障房面积(㎡)</t>
  </si>
  <si>
    <t>成交自住房面积(㎡)</t>
  </si>
  <si>
    <t>用地性质</t>
  </si>
  <si>
    <t>详细规划</t>
  </si>
  <si>
    <t>容积率</t>
  </si>
  <si>
    <t>容积率上限</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</si>
  <si>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</si>
  <si>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</si>
  <si>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</si>
  <si>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</si>
  <si>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</si>
  <si>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</si>
  <si>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</si>
  <si>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</si>
  <si>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</si>
  <si>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</si>
  <si>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</si>
  <si>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</si>
  <si>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</si>
  <si>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</si>
  <si>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</si>
  <si>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</si>
  <si>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</si>
  <si>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</si>
  <si>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</si>
  <si>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</si>
  <si>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</si>
  <si>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</si>
  <si>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</si>
  <si>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</si>
  <si>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挂牌</t>
  </si>
  <si>
    <t/>
  </si>
  <si>
    <t>2024-09-12</t>
  </si>
  <si>
    <t>已成交</t>
  </si>
  <si>
    <t>北京懋源宏展房地产开发有限公司 、北京懋源鸿竺房地产开发有限公司</t>
  </si>
  <si>
    <t>2024-09-11 17:00</t>
  </si>
  <si>
    <t>10740元/㎡(七级住宅用途2021-01-01)</t>
  </si>
  <si>
    <t>北京市顺义区仁和镇临河村棚户区改造土地开发A片区项目SY00-0702-15、26地块R2二类居住用地、SY00-0702-16地块A334托幼用地</t>
  </si>
  <si>
    <t>仁和</t>
  </si>
  <si>
    <t>京土储挂(顺)[2024]020号</t>
  </si>
  <si>
    <t>R2二类居住用地、A334托幼用地</t>
  </si>
  <si>
    <t>15:1.6、16:0.8、26:1.6</t>
  </si>
  <si>
    <t>2024-06-27</t>
  </si>
  <si>
    <t>北京城建投资发展股份有限公司 、苏州南山新吴房地产开发有限公司</t>
  </si>
  <si>
    <t>2024-06-27 15:00</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</si>
  <si>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</si>
  <si>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</si>
  <si>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</si>
  <si>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</si>
  <si>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</si>
  <si>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</si>
  <si>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</si>
  <si>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2024-03-15 15:00</t>
  </si>
  <si>
    <t>7830元/㎡(八级住宅用途2021-01-01)</t>
  </si>
  <si>
    <t>北京市顺义区空港六期SY00-2301-0001地块R2二类居住用地</t>
  </si>
  <si>
    <t>新国展</t>
  </si>
  <si>
    <t>京土储挂(顺)[2024]007号</t>
  </si>
  <si>
    <t>住宅用地</t>
  </si>
  <si>
    <t>二类居住用地(R2)</t>
  </si>
  <si>
    <t>2</t>
  </si>
  <si>
    <t>北京建工地产有限责任公司</t>
  </si>
  <si>
    <t>13850元/㎡(六级住宅用途2021-01-01)</t>
  </si>
  <si>
    <t>北京市顺义区顺义新城第1街区01-03-21地块R2二类居住用地</t>
  </si>
  <si>
    <t>旺泉</t>
  </si>
  <si>
    <t>京土储挂(顺)[2024]002号</t>
  </si>
  <si>
    <t>城镇住宅-普通商品住房用地</t>
  </si>
  <si>
    <t>2024-02-21</t>
  </si>
  <si>
    <t>北京住总置业有限公司</t>
  </si>
  <si>
    <t>2024-02-16 15:00</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</si>
  <si>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</si>
  <si>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</si>
  <si>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</si>
  <si>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</si>
  <si>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</si>
  <si>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</si>
  <si>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</si>
  <si>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2023-12-28 15:00</t>
  </si>
  <si>
    <t>北京市顺义区顺义新城第1街区01-01-09地块R2二类居住用地、01-01-04地块A334托幼用地</t>
  </si>
  <si>
    <t>京土储挂(顺)[2023]036号</t>
  </si>
  <si>
    <t>01-01-09地块容积率1.8;01-01-04地块容积率0.8</t>
  </si>
  <si>
    <t>2023-07-25</t>
  </si>
  <si>
    <t>北京首都开发股份有限公司</t>
  </si>
  <si>
    <t>2023-07-25 15:00</t>
  </si>
  <si>
    <t>北京市顺义区顺义新城第2街区SY00-0002-6022、SY00-0002-6023-1地块二类居住用地</t>
  </si>
  <si>
    <t>胜利</t>
  </si>
  <si>
    <t>京土储挂(顺)[2023]017号</t>
  </si>
  <si>
    <t>2.2-2.4</t>
  </si>
  <si>
    <t>2023-06-14</t>
  </si>
  <si>
    <t>石家庄创世纪房地产开发有限公司</t>
  </si>
  <si>
    <t>北京市顺义区顺义新城第20街区SY00-0020-6001地块二类居住用地</t>
  </si>
  <si>
    <t>后沙峪东部</t>
  </si>
  <si>
    <t>京土储挂(顺)[2023]011号</t>
  </si>
  <si>
    <t>1.80</t>
  </si>
  <si>
    <t>2023-06-01</t>
  </si>
  <si>
    <t>中能建城市投资发展有限公司</t>
  </si>
  <si>
    <t>2023-06-01 15:00</t>
  </si>
  <si>
    <t>北京市顺义区顺义新城第19街区19-69地块二类居住用地</t>
  </si>
  <si>
    <t>京土储挂(顺)[2023]010号</t>
  </si>
  <si>
    <t>福建雄旺房地产开发有限公司</t>
  </si>
  <si>
    <t>北京市顺义区顺义新城第5街区SY00-0005-6021、6024、6033、6035地块二类居住用地、6034地块托幼用地</t>
  </si>
  <si>
    <t>石园</t>
  </si>
  <si>
    <t>京土储挂(顺)[2022]061号</t>
  </si>
  <si>
    <t>sy00-0005-6021、6024、6035容积率1.6,6033容积率1.8</t>
  </si>
  <si>
    <t>2022年第3批次</t>
  </si>
  <si>
    <t>2022-09-22</t>
  </si>
  <si>
    <t>北京城建兴顺房地产开发有限公司</t>
  </si>
  <si>
    <t>2022-09-21 15:00</t>
  </si>
  <si>
    <t>北京市顺义区顺义新城第1街区SY00-0001-0320地块R2二类居住用地</t>
  </si>
  <si>
    <t>京土储挂(顺)[2022]054号</t>
  </si>
  <si>
    <t>R2二类居住用地</t>
  </si>
  <si>
    <t>1.60</t>
  </si>
  <si>
    <t>北京盟科置业有限公司 、北京天竺房地产开发有限公司</t>
  </si>
  <si>
    <t>北京市顺义区顺义新城第19街区19-85地块二类居住用地、19-86地块托幼用地</t>
  </si>
  <si>
    <t>京土储挂(顺)[2022]032号</t>
  </si>
  <si>
    <t>19-85地块容积率1.2,19-86地块容积率0.8</t>
  </si>
  <si>
    <t>2022年第2批次</t>
  </si>
  <si>
    <t>2022-06-01</t>
  </si>
  <si>
    <t>北京中海地产有限公司</t>
  </si>
  <si>
    <t>2022-05-31 15:00</t>
  </si>
  <si>
    <t>北京市顺义区薛大人庄村剩余2号地块SY00-0025-6001地块R2二类居住用地、SY00-0025-6003地块A334托幼用地</t>
  </si>
  <si>
    <t>中央别墅区</t>
  </si>
  <si>
    <t>京土储挂(顺)[2022]033号</t>
  </si>
  <si>
    <t>sy00-0025-6001地块:容积率1.6;sy00-0025-6003地块:容积率0.8</t>
  </si>
  <si>
    <t>2022-05-31</t>
  </si>
  <si>
    <t>北京懋源宏展房地产开发有限公司 、北京懋源置业有限公司</t>
  </si>
  <si>
    <t>北京市顺义区顺义新城第13街区SY00-0013-6050、6053地块二类居住用地</t>
  </si>
  <si>
    <t>京土储挂(顺)[2022]013号</t>
  </si>
  <si>
    <t>2022年第1批次</t>
  </si>
  <si>
    <t>2022-02-16</t>
  </si>
  <si>
    <t>保利(北京)房地产开发有限公司 、北京金地兴业房地产有限公司</t>
  </si>
  <si>
    <t>2022-02-15 15:00</t>
  </si>
  <si>
    <t>北京市顺义区顺义新城第5街区平各庄旧村改造项目SY00-0005-6046地块R2二类居住用地、SY00-0005-6045地块A334托幼用地</t>
  </si>
  <si>
    <t>京土储挂(顺)[2022]012号</t>
  </si>
  <si>
    <t>sy00-0005-6046地块容积率2.0,sy00-0005-6045地块容积率0.8</t>
  </si>
  <si>
    <t>北京旭科置业有限公司</t>
  </si>
  <si>
    <t>政府指导价</t>
  </si>
  <si>
    <t>规则</t>
  </si>
  <si>
    <t>较规则</t>
  </si>
  <si>
    <t>较不规则</t>
  </si>
  <si>
    <t>不规则</t>
  </si>
  <si>
    <t>较适宜</t>
    <phoneticPr fontId="3" type="noConversion"/>
  </si>
  <si>
    <t>七通</t>
  </si>
  <si>
    <t>六通</t>
  </si>
  <si>
    <t>五通</t>
  </si>
  <si>
    <t>四通</t>
  </si>
  <si>
    <t>三通</t>
  </si>
  <si>
    <t>较好</t>
    <phoneticPr fontId="3" type="noConversion"/>
  </si>
  <si>
    <t>一般</t>
  </si>
  <si>
    <t>一般</t>
    <phoneticPr fontId="3" type="noConversion"/>
  </si>
  <si>
    <t>七通</t>
    <phoneticPr fontId="3" type="noConversion"/>
  </si>
  <si>
    <t>较好</t>
  </si>
  <si>
    <t>较适宜</t>
  </si>
  <si>
    <t>未包含在土地购买价格中</t>
  </si>
  <si>
    <t>已包含在土地取得成本中</t>
  </si>
  <si>
    <t>基础</t>
    <phoneticPr fontId="134" type="noConversion"/>
  </si>
  <si>
    <t>结构</t>
    <phoneticPr fontId="134" type="noConversion"/>
  </si>
  <si>
    <t>设备</t>
    <phoneticPr fontId="134" type="noConversion"/>
  </si>
  <si>
    <t>外装</t>
    <phoneticPr fontId="134" type="noConversion"/>
  </si>
  <si>
    <t>内装</t>
    <phoneticPr fontId="134" type="noConversion"/>
  </si>
  <si>
    <t>正常</t>
  </si>
  <si>
    <t>小高层、洋房</t>
  </si>
  <si>
    <t>钢混</t>
  </si>
  <si>
    <t>中高档</t>
  </si>
  <si>
    <t>精装修</t>
  </si>
  <si>
    <t>专业</t>
  </si>
  <si>
    <r>
      <rPr>
        <sz val="11"/>
        <color theme="9" tint="-0.249977111117893"/>
        <rFont val="宋体"/>
        <family val="3"/>
        <charset val="134"/>
      </rPr>
      <t>招商中建</t>
    </r>
    <r>
      <rPr>
        <sz val="11"/>
        <color theme="9" tint="-0.249977111117893"/>
        <rFont val="Arial"/>
        <family val="2"/>
      </rPr>
      <t>·</t>
    </r>
    <r>
      <rPr>
        <sz val="11"/>
        <color theme="9" tint="-0.249977111117893"/>
        <rFont val="宋体"/>
        <family val="3"/>
        <charset val="134"/>
      </rPr>
      <t>顺义臻珑府</t>
    </r>
    <phoneticPr fontId="24"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</si>
  <si>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御湖境</t>
    </r>
    <phoneticPr fontId="24" type="noConversion"/>
  </si>
  <si>
    <t>和锦华宸</t>
    <phoneticPr fontId="24" type="noConversion"/>
  </si>
  <si>
    <t>高档</t>
  </si>
  <si>
    <t>60-70（含）</t>
  </si>
  <si>
    <t>50-60（含）</t>
  </si>
  <si>
    <t>40-50（含）</t>
  </si>
  <si>
    <t>30-40（含）</t>
  </si>
  <si>
    <t>叠拼</t>
    <phoneticPr fontId="3" type="noConversion"/>
  </si>
  <si>
    <t>小高层、洋房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</si>
  <si>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</si>
  <si>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</si>
  <si>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</si>
  <si>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</si>
  <si>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</si>
  <si>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</si>
  <si>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</si>
  <si>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</si>
  <si>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</si>
  <si>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</si>
  <si>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</si>
  <si>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</si>
  <si>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</si>
  <si>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</si>
  <si>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</si>
  <si>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</si>
  <si>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</si>
  <si>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项目模式</t>
  </si>
  <si>
    <t>售价</t>
  </si>
  <si>
    <t>和锦华宸</t>
    <phoneticPr fontId="3" type="noConversion"/>
  </si>
  <si>
    <r>
      <rPr>
        <sz val="11"/>
        <color indexed="8"/>
        <rFont val="仿宋_GB2312"/>
        <family val="3"/>
        <charset val="134"/>
      </rPr>
      <t>正常</t>
    </r>
    <phoneticPr fontId="3" type="noConversion"/>
  </si>
  <si>
    <t>地下</t>
    <phoneticPr fontId="31" type="noConversion"/>
  </si>
  <si>
    <t>住宅配套下跃</t>
    <phoneticPr fontId="3" type="noConversion"/>
  </si>
  <si>
    <t>独立仓储</t>
    <phoneticPr fontId="3" type="noConversion"/>
  </si>
  <si>
    <t>仓储类型</t>
    <phoneticPr fontId="3" type="noConversion"/>
  </si>
  <si>
    <t>地下仓储</t>
  </si>
  <si>
    <t>地下车库</t>
  </si>
  <si>
    <t>平面车位</t>
    <phoneticPr fontId="3" type="noConversion"/>
  </si>
  <si>
    <t>否</t>
    <phoneticPr fontId="31" type="noConversion"/>
  </si>
  <si>
    <t>平面车位</t>
  </si>
  <si>
    <t>北京城建星誉</t>
    <phoneticPr fontId="3" type="noConversion"/>
  </si>
  <si>
    <t>车库</t>
    <phoneticPr fontId="31" type="noConversion"/>
  </si>
  <si>
    <t>恒大上和府</t>
    <phoneticPr fontId="3" type="noConversion"/>
  </si>
  <si>
    <t>公园都会</t>
    <phoneticPr fontId="31" type="noConversion"/>
  </si>
  <si>
    <t>在建</t>
  </si>
  <si>
    <t>项目局部</t>
  </si>
  <si>
    <t>成本法</t>
  </si>
  <si>
    <t>假设开发法</t>
  </si>
  <si>
    <t>总价</t>
  </si>
  <si>
    <t>成本比率</t>
  </si>
  <si>
    <t>——</t>
    <phoneticPr fontId="134" type="noConversion"/>
  </si>
  <si>
    <t>规划用途</t>
    <phoneticPr fontId="134" type="noConversion"/>
  </si>
  <si>
    <t>住宅</t>
    <phoneticPr fontId="134" type="noConversion"/>
  </si>
  <si>
    <t>仓储</t>
    <phoneticPr fontId="134" type="noConversion"/>
  </si>
  <si>
    <t>车库</t>
    <phoneticPr fontId="134" type="noConversion"/>
  </si>
  <si>
    <t>配套</t>
    <phoneticPr fontId="134" type="noConversion"/>
  </si>
  <si>
    <t>设备及人防</t>
    <phoneticPr fontId="134" type="noConversion"/>
  </si>
  <si>
    <t>旺泉街道</t>
    <phoneticPr fontId="3" type="noConversion"/>
  </si>
  <si>
    <t>中建宸庐</t>
    <phoneticPr fontId="3" type="noConversion"/>
  </si>
  <si>
    <t>和锦华宸</t>
  </si>
  <si>
    <t>和锦华宸</t>
    <phoneticPr fontId="3" type="noConversion"/>
  </si>
  <si>
    <t>仓储验证</t>
    <phoneticPr fontId="134" type="noConversion"/>
  </si>
  <si>
    <r>
      <t>1</t>
    </r>
    <r>
      <rPr>
        <sz val="11"/>
        <color theme="1"/>
        <rFont val="宋体"/>
        <family val="3"/>
        <charset val="134"/>
        <scheme val="minor"/>
      </rPr>
      <t>2平以内</t>
    </r>
    <phoneticPr fontId="134" type="noConversion"/>
  </si>
  <si>
    <t>12-18平</t>
    <phoneticPr fontId="134" type="noConversion"/>
  </si>
  <si>
    <t>18-22平</t>
    <phoneticPr fontId="134" type="noConversion"/>
  </si>
  <si>
    <t>22平以上</t>
    <phoneticPr fontId="134" type="noConversion"/>
  </si>
  <si>
    <t>北京城建星誉</t>
    <phoneticPr fontId="134" type="noConversion"/>
  </si>
  <si>
    <t>住宅去化率87.41%，成交均价37966；车位去化32.3%，均价14万元/车位，均为负一层</t>
    <phoneticPr fontId="134" type="noConversion"/>
  </si>
  <si>
    <t>住宅去化率98.3%，均价37919；车位去化94%，均价16.4万元/车位，均为负一层</t>
    <phoneticPr fontId="134" type="noConversion"/>
  </si>
  <si>
    <t>恒大上和府</t>
    <phoneticPr fontId="134" type="noConversion"/>
  </si>
  <si>
    <t>住宅去化率100%，成交均价34253；车位去化100%？，均价17.2万元/车位，负一及负二层</t>
    <phoneticPr fontId="134" type="noConversion"/>
  </si>
  <si>
    <t>中建宸庐</t>
    <phoneticPr fontId="134" type="noConversion"/>
  </si>
  <si>
    <t>车位案例</t>
    <phoneticPr fontId="134" type="noConversion"/>
  </si>
  <si>
    <t>住宅案例</t>
    <phoneticPr fontId="134" type="noConversion"/>
  </si>
  <si>
    <t>住宅去化率100%，均价41677；车位去化100%？，均价18.3万元/车位，负一层19.9万元/车位，负2、3层5.02万元/车位</t>
    <phoneticPr fontId="134" type="noConversion"/>
  </si>
  <si>
    <t>璞瑅润府</t>
    <phoneticPr fontId="134" type="noConversion"/>
  </si>
  <si>
    <t>住宅去化率31.41%，均价37829；车位去化0.6%%，均价15.8万元/车位，均为负一层</t>
    <phoneticPr fontId="134" type="noConversion"/>
  </si>
  <si>
    <t>公园都会</t>
    <phoneticPr fontId="134" type="noConversion"/>
  </si>
  <si>
    <t>住宅去化率96.42%，均价37209；车位去化58.9%，均价17.5万元/车位，负一层为主，17-18万元/车位，负二层12万元</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</si>
</sst>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0.0"/>
    <numFmt numFmtId="198" formatCode="0.00000_ "/>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theme="9" tint="-0.249977111117893"/>
      <name val="仿宋_GB2312"/>
      <family val="3"/>
      <charset val="134"/>
    </font>
    <font>
      <sz val="12"/>
      <color rgb="FFFF0000"/>
      <name val="仿宋_GB2312"/>
      <family val="3"/>
      <charset val="134"/>
    </font>
    <font>
      <b/>
      <sz val="11"/>
      <color rgb="FF000000"/>
      <name val="宋体"/>
      <family val="3"/>
      <charset val="134"/>
    </font>
    <font>
      <sz val="11"/>
      <color rgb="FF000000"/>
      <name val="宋体"/>
      <family val="3"/>
      <charset val="134"/>
    </font>
    <font>
      <sz val="11"/>
      <color rgb="FF000000"/>
      <name val="Arial"/>
      <family val="2"/>
    </font>
    <font>
      <sz val="11"/>
      <color rgb="FFFF0000"/>
      <name val="宋体"/>
      <family val="3"/>
      <charset val="134"/>
      <scheme val="minor"/>
    </font>
    <font>
      <sz val="11"/>
      <name val="宋体"/>
      <family val="3"/>
      <charset val="134"/>
      <scheme val="minor"/>
    </font>
    <font>
      <sz val="11"/>
      <color theme="9" tint="-0.249977111117893"/>
      <name val="仿宋_GB2312"/>
      <family val="3"/>
      <charset val="134"/>
    </font>
    <font>
      <sz val="11"/>
      <color indexed="8"/>
      <name val="仿宋_GB2312"/>
      <family val="3"/>
      <charset val="134"/>
    </font>
    <font>
      <sz val="10"/>
      <name val="华文细黑"/>
      <family val="3"/>
      <charset val="134"/>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7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0" borderId="4" xfId="0" applyNumberFormat="1" applyFont="1" applyBorder="1" applyAlignment="1" applyProtection="1">
      <alignment horizontal="left" vertical="center"/>
      <protection locked="0"/>
    </xf>
    <xf numFmtId="49" fontId="271" fillId="5" borderId="1" xfId="0" applyNumberFormat="1" applyFont="1" applyFill="1" applyBorder="1" applyAlignment="1" applyProtection="1">
      <alignment horizontal="center" vertical="center" wrapText="1"/>
      <protection locked="0"/>
    </xf>
    <xf numFmtId="0" fontId="95" fillId="10" borderId="1" xfId="10" applyFill="1" applyBorder="1" applyAlignment="1">
      <alignment horizontal="center" vertical="center"/>
    </xf>
    <xf numFmtId="0" fontId="275" fillId="10" borderId="1" xfId="10" applyFont="1" applyFill="1" applyBorder="1" applyAlignment="1">
      <alignment horizontal="center" vertical="center"/>
    </xf>
    <xf numFmtId="0" fontId="95" fillId="0" borderId="1" xfId="10" applyBorder="1" applyAlignment="1">
      <alignment horizontal="left" vertical="center"/>
    </xf>
    <xf numFmtId="0" fontId="95" fillId="0" borderId="0" xfId="10" applyAlignment="1">
      <alignment horizontal="left" vertical="center"/>
    </xf>
    <xf numFmtId="0" fontId="95" fillId="10" borderId="1" xfId="10" applyFill="1" applyBorder="1" applyAlignment="1">
      <alignment horizontal="left" vertical="center"/>
    </xf>
    <xf numFmtId="0" fontId="275" fillId="10" borderId="1" xfId="10" applyFont="1" applyFill="1" applyBorder="1" applyAlignment="1">
      <alignment horizontal="left" vertical="center"/>
    </xf>
    <xf numFmtId="0" fontId="95" fillId="22" borderId="1" xfId="10" applyFill="1" applyBorder="1" applyAlignment="1">
      <alignment horizontal="left" vertical="center"/>
    </xf>
    <xf numFmtId="0" fontId="276" fillId="0" borderId="1" xfId="10" applyFont="1" applyBorder="1" applyAlignment="1">
      <alignment horizontal="left" vertical="center"/>
    </xf>
    <xf numFmtId="0" fontId="276" fillId="10" borderId="1" xfId="10" applyFont="1" applyFill="1" applyBorder="1" applyAlignment="1">
      <alignment horizontal="left" vertical="center"/>
    </xf>
    <xf numFmtId="0" fontId="276" fillId="22" borderId="1" xfId="10" applyFont="1" applyFill="1" applyBorder="1" applyAlignment="1">
      <alignment horizontal="left" vertical="center"/>
    </xf>
    <xf numFmtId="0" fontId="276" fillId="0" borderId="0" xfId="10" applyFont="1" applyAlignment="1">
      <alignment horizontal="left" vertical="center"/>
    </xf>
    <xf numFmtId="0" fontId="275" fillId="0" borderId="1" xfId="10" applyFont="1" applyBorder="1" applyAlignment="1">
      <alignment horizontal="left" vertical="center"/>
    </xf>
    <xf numFmtId="0" fontId="275" fillId="0" borderId="1" xfId="10" applyFont="1" applyBorder="1" applyAlignment="1">
      <alignment horizontal="left" vertical="center" wrapText="1"/>
    </xf>
    <xf numFmtId="0" fontId="275" fillId="22" borderId="1" xfId="10" applyFont="1" applyFill="1" applyBorder="1" applyAlignment="1">
      <alignment horizontal="left" vertical="center"/>
    </xf>
    <xf numFmtId="0" fontId="275" fillId="0" borderId="0" xfId="10" applyFont="1" applyAlignment="1">
      <alignment horizontal="left" vertical="center"/>
    </xf>
    <xf numFmtId="0" fontId="96" fillId="0" borderId="1" xfId="10" applyFont="1" applyBorder="1" applyAlignment="1">
      <alignment horizontal="left" vertical="center"/>
    </xf>
    <xf numFmtId="0" fontId="108" fillId="0" borderId="1" xfId="10" applyFont="1" applyBorder="1" applyAlignment="1">
      <alignment horizontal="left" vertical="center"/>
    </xf>
    <xf numFmtId="0" fontId="96" fillId="0" borderId="0" xfId="10" applyFont="1" applyAlignment="1">
      <alignment horizontal="left" vertical="center"/>
    </xf>
    <xf numFmtId="1" fontId="95" fillId="0" borderId="0" xfId="10" applyNumberFormat="1" applyAlignment="1">
      <alignment horizontal="left" vertical="center"/>
    </xf>
    <xf numFmtId="0" fontId="95" fillId="22" borderId="0" xfId="10" applyFill="1" applyAlignment="1">
      <alignment horizontal="left" vertical="center"/>
    </xf>
    <xf numFmtId="2" fontId="95" fillId="22" borderId="0" xfId="10" applyNumberFormat="1" applyFill="1" applyAlignment="1">
      <alignment horizontal="left" vertical="center"/>
    </xf>
    <xf numFmtId="181" fontId="98" fillId="0" borderId="1" xfId="0" applyNumberFormat="1" applyFont="1" applyBorder="1" applyAlignment="1" applyProtection="1">
      <alignment horizontal="center" vertical="center"/>
      <protection locked="0"/>
    </xf>
    <xf numFmtId="0" fontId="100" fillId="2" borderId="24" xfId="0" applyFont="1" applyFill="1" applyBorder="1" applyAlignment="1" applyProtection="1">
      <alignment horizontal="center" vertical="center"/>
      <protection locked="0"/>
    </xf>
    <xf numFmtId="49" fontId="166" fillId="0" borderId="24" xfId="0" applyNumberFormat="1" applyFont="1" applyBorder="1" applyAlignment="1" applyProtection="1">
      <alignment horizontal="left" vertical="center" wrapText="1"/>
      <protection locked="0"/>
    </xf>
    <xf numFmtId="0" fontId="166" fillId="0" borderId="49" xfId="0" applyFont="1" applyBorder="1" applyAlignment="1" applyProtection="1">
      <alignment horizontal="lef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49" fontId="277" fillId="0" borderId="10" xfId="0" applyNumberFormat="1" applyFont="1" applyBorder="1" applyAlignment="1" applyProtection="1">
      <alignment horizontal="left" vertical="center" wrapText="1"/>
      <protection locked="0"/>
    </xf>
    <xf numFmtId="0" fontId="277" fillId="0" borderId="24" xfId="0" applyFont="1" applyBorder="1" applyAlignment="1" applyProtection="1">
      <alignment horizontal="left" vertical="center" wrapText="1"/>
      <protection locked="0"/>
    </xf>
    <xf numFmtId="0" fontId="70" fillId="13" borderId="51" xfId="0" applyFont="1" applyFill="1" applyBorder="1" applyAlignment="1" applyProtection="1">
      <alignment vertical="center" wrapText="1"/>
      <protection locked="0"/>
    </xf>
    <xf numFmtId="0" fontId="94" fillId="0" borderId="0" xfId="0" applyFont="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2" fontId="44" fillId="0" borderId="37" xfId="0" applyNumberFormat="1" applyFont="1" applyBorder="1" applyAlignment="1" applyProtection="1">
      <alignment horizontal="center" vertical="center" wrapText="1"/>
      <protection locked="0"/>
    </xf>
    <xf numFmtId="2" fontId="60" fillId="0" borderId="1" xfId="0" applyNumberFormat="1"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2" fontId="102" fillId="0" borderId="1" xfId="0" applyNumberFormat="1" applyFont="1" applyBorder="1" applyAlignment="1" applyProtection="1">
      <alignment horizontal="center" vertical="center"/>
      <protection locked="0"/>
    </xf>
    <xf numFmtId="2" fontId="47" fillId="7" borderId="0" xfId="0" applyNumberFormat="1" applyFont="1" applyFill="1" applyProtection="1">
      <alignment vertical="center"/>
      <protection locked="0"/>
    </xf>
    <xf numFmtId="0" fontId="47" fillId="6" borderId="1" xfId="0" applyFont="1" applyFill="1" applyBorder="1" applyAlignment="1" applyProtection="1">
      <alignment horizontal="center" vertical="center"/>
      <protection locked="0"/>
    </xf>
    <xf numFmtId="0" fontId="274" fillId="0" borderId="1" xfId="0" applyFont="1" applyBorder="1" applyAlignment="1">
      <alignment horizontal="center" vertical="center"/>
    </xf>
    <xf numFmtId="0" fontId="272" fillId="0" borderId="1" xfId="0" applyFont="1" applyBorder="1" applyAlignment="1">
      <alignment horizontal="center" vertical="center"/>
    </xf>
    <xf numFmtId="196" fontId="274" fillId="0" borderId="1" xfId="0" applyNumberFormat="1" applyFont="1" applyBorder="1" applyAlignment="1">
      <alignment horizontal="center" vertical="center"/>
    </xf>
    <xf numFmtId="196" fontId="273" fillId="0" borderId="1" xfId="0" applyNumberFormat="1" applyFont="1" applyBorder="1" applyAlignment="1">
      <alignment horizontal="center" vertical="center"/>
    </xf>
    <xf numFmtId="10" fontId="279" fillId="0" borderId="1" xfId="0" applyNumberFormat="1" applyFont="1" applyBorder="1" applyAlignment="1">
      <alignment horizontal="center" vertical="center"/>
    </xf>
    <xf numFmtId="2" fontId="44" fillId="0" borderId="1" xfId="0" applyNumberFormat="1" applyFont="1" applyBorder="1" applyAlignment="1">
      <alignment horizontal="center" vertical="center"/>
    </xf>
    <xf numFmtId="49" fontId="51" fillId="0" borderId="1" xfId="0" applyNumberFormat="1" applyFont="1" applyBorder="1" applyAlignment="1">
      <alignment horizontal="center" vertical="center" wrapText="1"/>
    </xf>
    <xf numFmtId="2" fontId="51" fillId="0" borderId="1" xfId="0" applyNumberFormat="1" applyFont="1" applyBorder="1" applyAlignment="1">
      <alignment horizontal="center" vertical="center"/>
    </xf>
    <xf numFmtId="0" fontId="51" fillId="0" borderId="1" xfId="0" applyFont="1" applyBorder="1" applyAlignment="1">
      <alignment horizontal="center" vertical="center" wrapText="1"/>
    </xf>
    <xf numFmtId="0" fontId="95" fillId="23" borderId="0" xfId="10" applyFill="1" applyAlignment="1">
      <alignment horizontal="left" vertical="center"/>
    </xf>
    <xf numFmtId="177" fontId="47" fillId="23" borderId="1" xfId="1" applyNumberFormat="1" applyFont="1" applyFill="1" applyBorder="1" applyAlignment="1" applyProtection="1">
      <alignment horizontal="center" vertical="center"/>
      <protection locked="0"/>
    </xf>
    <xf numFmtId="9" fontId="47" fillId="23" borderId="5" xfId="0" applyNumberFormat="1" applyFont="1" applyFill="1" applyBorder="1" applyAlignment="1" applyProtection="1">
      <alignment horizontal="center" vertical="center"/>
      <protection locked="0"/>
    </xf>
    <xf numFmtId="10" fontId="44" fillId="23" borderId="61" xfId="0" applyNumberFormat="1" applyFont="1" applyFill="1" applyBorder="1" applyAlignment="1" applyProtection="1">
      <alignment horizontal="center" vertical="center"/>
      <protection locked="0"/>
    </xf>
    <xf numFmtId="9" fontId="51" fillId="23" borderId="0" xfId="0" applyNumberFormat="1" applyFont="1" applyFill="1" applyAlignment="1" applyProtection="1">
      <alignment horizontal="center" vertical="center"/>
      <protection locked="0"/>
    </xf>
    <xf numFmtId="0" fontId="128" fillId="23" borderId="46" xfId="0" applyFont="1" applyFill="1" applyBorder="1" applyAlignment="1" applyProtection="1">
      <alignment horizontal="center" vertical="center" wrapText="1"/>
      <protection locked="0"/>
    </xf>
    <xf numFmtId="0" fontId="128" fillId="12" borderId="0" xfId="0" applyFont="1" applyFill="1" applyProtection="1">
      <alignment vertical="center"/>
      <protection locked="0"/>
    </xf>
    <xf numFmtId="197" fontId="0" fillId="0" borderId="0" xfId="0" applyNumberFormat="1">
      <alignment vertical="center"/>
    </xf>
    <xf numFmtId="0" fontId="274" fillId="5" borderId="1" xfId="0" applyFont="1" applyFill="1" applyBorder="1" applyAlignment="1">
      <alignment horizontal="center" vertical="center"/>
    </xf>
    <xf numFmtId="0" fontId="51" fillId="5" borderId="1" xfId="0" applyFont="1" applyFill="1" applyBorder="1" applyAlignment="1">
      <alignment horizontal="center" vertical="center" wrapText="1"/>
    </xf>
    <xf numFmtId="2" fontId="44" fillId="5" borderId="1" xfId="0" applyNumberFormat="1" applyFont="1" applyFill="1" applyBorder="1" applyAlignment="1">
      <alignment horizontal="center" vertical="center"/>
    </xf>
    <xf numFmtId="196" fontId="273" fillId="5" borderId="1" xfId="0" applyNumberFormat="1" applyFont="1" applyFill="1" applyBorder="1" applyAlignment="1">
      <alignment horizontal="center" vertical="center"/>
    </xf>
    <xf numFmtId="0" fontId="0" fillId="5" borderId="0" xfId="0" applyFill="1">
      <alignment vertical="center"/>
    </xf>
    <xf numFmtId="197" fontId="0" fillId="5" borderId="0" xfId="0" applyNumberFormat="1" applyFill="1">
      <alignment vertical="center"/>
    </xf>
    <xf numFmtId="0" fontId="274" fillId="18" borderId="1" xfId="0" applyFont="1" applyFill="1" applyBorder="1" applyAlignment="1">
      <alignment horizontal="center" vertical="center"/>
    </xf>
    <xf numFmtId="0" fontId="51" fillId="18" borderId="1" xfId="0" applyFont="1" applyFill="1" applyBorder="1" applyAlignment="1">
      <alignment horizontal="center" vertical="center" wrapText="1"/>
    </xf>
    <xf numFmtId="2" fontId="44" fillId="18" borderId="1" xfId="0" applyNumberFormat="1" applyFont="1" applyFill="1" applyBorder="1" applyAlignment="1">
      <alignment horizontal="center" vertical="center"/>
    </xf>
    <xf numFmtId="196" fontId="273" fillId="18" borderId="1" xfId="0" applyNumberFormat="1" applyFont="1" applyFill="1" applyBorder="1" applyAlignment="1">
      <alignment horizontal="center" vertical="center"/>
    </xf>
    <xf numFmtId="0" fontId="0" fillId="18" borderId="0" xfId="0" applyFill="1">
      <alignment vertical="center"/>
    </xf>
    <xf numFmtId="197" fontId="0" fillId="18" borderId="0" xfId="0" applyNumberFormat="1" applyFill="1">
      <alignment vertical="center"/>
    </xf>
    <xf numFmtId="0" fontId="95" fillId="8" borderId="0" xfId="0" applyFont="1" applyFill="1">
      <alignment vertical="center"/>
    </xf>
    <xf numFmtId="198" fontId="0" fillId="8" borderId="0" xfId="0" applyNumberFormat="1" applyFill="1">
      <alignment vertical="center"/>
    </xf>
    <xf numFmtId="9" fontId="0" fillId="0" borderId="0" xfId="17"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3" xfId="10" applyBorder="1" applyAlignment="1">
      <alignment horizontal="center" vertical="center" wrapText="1"/>
    </xf>
    <xf numFmtId="0" fontId="95" fillId="0" borderId="15" xfId="10" applyBorder="1" applyAlignment="1">
      <alignment horizontal="center" vertical="center" wrapText="1"/>
    </xf>
    <xf numFmtId="0" fontId="95" fillId="0" borderId="2" xfId="10" applyBorder="1" applyAlignment="1">
      <alignment horizontal="center" vertical="center" wrapText="1"/>
    </xf>
    <xf numFmtId="0" fontId="95" fillId="0" borderId="13" xfId="10" applyBorder="1" applyAlignment="1">
      <alignment horizontal="center" vertical="center"/>
    </xf>
    <xf numFmtId="0" fontId="95" fillId="0" borderId="15" xfId="10" applyBorder="1" applyAlignment="1">
      <alignment horizontal="center" vertical="center"/>
    </xf>
    <xf numFmtId="0" fontId="95" fillId="0" borderId="2" xfId="10" applyBorder="1" applyAlignment="1">
      <alignment horizontal="center" vertical="center"/>
    </xf>
    <xf numFmtId="0" fontId="95" fillId="22" borderId="5" xfId="10" applyFill="1" applyBorder="1" applyAlignment="1">
      <alignment horizontal="center" vertical="center"/>
    </xf>
    <xf numFmtId="0" fontId="95" fillId="22" borderId="54" xfId="10" applyFill="1" applyBorder="1" applyAlignment="1">
      <alignment horizontal="center" vertical="center"/>
    </xf>
    <xf numFmtId="0" fontId="95" fillId="22" borderId="3" xfId="10" applyFill="1" applyBorder="1" applyAlignment="1">
      <alignment horizontal="center" vertical="center"/>
    </xf>
    <xf numFmtId="0" fontId="95" fillId="0" borderId="1" xfId="10" applyBorder="1" applyAlignment="1">
      <alignment horizontal="center" vertical="center"/>
    </xf>
    <xf numFmtId="0" fontId="96" fillId="0" borderId="5" xfId="10" applyFont="1" applyBorder="1" applyAlignment="1">
      <alignment horizontal="center" vertical="center"/>
    </xf>
    <xf numFmtId="0" fontId="96" fillId="0" borderId="3" xfId="10" applyFont="1" applyBorder="1" applyAlignment="1">
      <alignment horizontal="center" vertical="center"/>
    </xf>
    <xf numFmtId="0" fontId="95" fillId="10" borderId="1" xfId="10" applyFill="1" applyBorder="1" applyAlignment="1">
      <alignment horizontal="center" vertical="center"/>
    </xf>
    <xf numFmtId="0" fontId="273" fillId="0" borderId="5" xfId="0" applyFont="1" applyBorder="1" applyAlignment="1">
      <alignment horizontal="center" vertical="center"/>
    </xf>
    <xf numFmtId="0" fontId="274" fillId="0" borderId="3" xfId="0" applyFont="1" applyBorder="1" applyAlignment="1">
      <alignment horizontal="center" vertical="center"/>
    </xf>
    <xf numFmtId="0" fontId="94" fillId="0" borderId="5" xfId="0" applyFont="1" applyBorder="1" applyAlignment="1">
      <alignment horizontal="center" vertical="center" wrapText="1"/>
    </xf>
    <xf numFmtId="0" fontId="51" fillId="0" borderId="3" xfId="0" applyFont="1" applyBorder="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80" fillId="0" borderId="2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80"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628650</xdr:colOff>
      <xdr:row>43</xdr:row>
      <xdr:rowOff>47625</xdr:rowOff>
    </xdr:from>
    <xdr:to>
      <xdr:col>17</xdr:col>
      <xdr:colOff>1249327</xdr:colOff>
      <xdr:row>76</xdr:row>
      <xdr:rowOff>151680</xdr:rowOff>
    </xdr:to>
    <xdr:pic>
      <xdr:nvPicPr>
        <xdr:cNvPr id="2" name="图片 1">
          <a:extLst>
            <a:ext uri="{FF2B5EF4-FFF2-40B4-BE49-F238E27FC236}">
              <a16:creationId xmlns:a16="http://schemas.microsoft.com/office/drawing/2014/main" id="{5CD8EECE-BE57-489D-9AD1-E5B8EC488F2A}"/>
            </a:ext>
          </a:extLst>
        </xdr:cNvPr>
        <xdr:cNvPicPr>
          <a:picLocks noChangeAspect="1"/>
        </xdr:cNvPicPr>
      </xdr:nvPicPr>
      <xdr:blipFill>
        <a:blip xmlns:r="http://schemas.openxmlformats.org/officeDocument/2006/relationships" r:embed="rId1"/>
        <a:stretch>
          <a:fillRect/>
        </a:stretch>
      </xdr:blipFill>
      <xdr:spPr>
        <a:xfrm>
          <a:off x="6419850" y="7762875"/>
          <a:ext cx="9364627" cy="5761905"/>
        </a:xfrm>
        <a:prstGeom prst="rect">
          <a:avLst/>
        </a:prstGeom>
      </xdr:spPr>
    </xdr:pic>
    <xdr:clientData/>
  </xdr:twoCellAnchor>
  <xdr:twoCellAnchor editAs="oneCell">
    <xdr:from>
      <xdr:col>0</xdr:col>
      <xdr:colOff>0</xdr:colOff>
      <xdr:row>43</xdr:row>
      <xdr:rowOff>133350</xdr:rowOff>
    </xdr:from>
    <xdr:to>
      <xdr:col>7</xdr:col>
      <xdr:colOff>361181</xdr:colOff>
      <xdr:row>76</xdr:row>
      <xdr:rowOff>46929</xdr:rowOff>
    </xdr:to>
    <xdr:pic>
      <xdr:nvPicPr>
        <xdr:cNvPr id="3" name="图片 2">
          <a:extLst>
            <a:ext uri="{FF2B5EF4-FFF2-40B4-BE49-F238E27FC236}">
              <a16:creationId xmlns:a16="http://schemas.microsoft.com/office/drawing/2014/main" id="{81B830E9-1F8A-45EA-AA5F-0CA615705C97}"/>
            </a:ext>
          </a:extLst>
        </xdr:cNvPr>
        <xdr:cNvPicPr>
          <a:picLocks noChangeAspect="1"/>
        </xdr:cNvPicPr>
      </xdr:nvPicPr>
      <xdr:blipFill>
        <a:blip xmlns:r="http://schemas.openxmlformats.org/officeDocument/2006/relationships" r:embed="rId2"/>
        <a:stretch>
          <a:fillRect/>
        </a:stretch>
      </xdr:blipFill>
      <xdr:spPr>
        <a:xfrm>
          <a:off x="0" y="7848600"/>
          <a:ext cx="6152381" cy="5571429"/>
        </a:xfrm>
        <a:prstGeom prst="rect">
          <a:avLst/>
        </a:prstGeom>
      </xdr:spPr>
    </xdr:pic>
    <xdr:clientData/>
  </xdr:twoCellAnchor>
  <xdr:twoCellAnchor editAs="oneCell">
    <xdr:from>
      <xdr:col>0</xdr:col>
      <xdr:colOff>0</xdr:colOff>
      <xdr:row>78</xdr:row>
      <xdr:rowOff>85725</xdr:rowOff>
    </xdr:from>
    <xdr:to>
      <xdr:col>5</xdr:col>
      <xdr:colOff>399483</xdr:colOff>
      <xdr:row>98</xdr:row>
      <xdr:rowOff>75773</xdr:rowOff>
    </xdr:to>
    <xdr:pic>
      <xdr:nvPicPr>
        <xdr:cNvPr id="4" name="图片 3">
          <a:extLst>
            <a:ext uri="{FF2B5EF4-FFF2-40B4-BE49-F238E27FC236}">
              <a16:creationId xmlns:a16="http://schemas.microsoft.com/office/drawing/2014/main" id="{5420ADDB-72FF-47B1-941B-E5871A2BF5FC}"/>
            </a:ext>
          </a:extLst>
        </xdr:cNvPr>
        <xdr:cNvPicPr>
          <a:picLocks noChangeAspect="1"/>
        </xdr:cNvPicPr>
      </xdr:nvPicPr>
      <xdr:blipFill>
        <a:blip xmlns:r="http://schemas.openxmlformats.org/officeDocument/2006/relationships" r:embed="rId3"/>
        <a:stretch>
          <a:fillRect/>
        </a:stretch>
      </xdr:blipFill>
      <xdr:spPr>
        <a:xfrm>
          <a:off x="0" y="13801725"/>
          <a:ext cx="4533333" cy="3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281</xdr:row>
      <xdr:rowOff>0</xdr:rowOff>
    </xdr:from>
    <xdr:to>
      <xdr:col>2</xdr:col>
      <xdr:colOff>894080</xdr:colOff>
      <xdr:row>284</xdr:row>
      <xdr:rowOff>63500</xdr:rowOff>
    </xdr:to>
    <xdr:sp macro="" textlink="">
      <xdr:nvSpPr>
        <xdr:cNvPr id="2" name="Host Control  32" hidden="1">
          <a:extLst>
            <a:ext uri="{FF2B5EF4-FFF2-40B4-BE49-F238E27FC236}">
              <a16:creationId xmlns:a16="http://schemas.microsoft.com/office/drawing/2014/main" id="{9D30787D-D0AC-400F-ACB7-CD5B341B22B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 name="Host Control  33" hidden="1">
          <a:extLst>
            <a:ext uri="{FF2B5EF4-FFF2-40B4-BE49-F238E27FC236}">
              <a16:creationId xmlns:a16="http://schemas.microsoft.com/office/drawing/2014/main" id="{546B0DA9-7D66-4C81-884A-CC275EDEE9F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 name="Host Control  34" hidden="1">
          <a:extLst>
            <a:ext uri="{FF2B5EF4-FFF2-40B4-BE49-F238E27FC236}">
              <a16:creationId xmlns:a16="http://schemas.microsoft.com/office/drawing/2014/main" id="{8AF4EFAF-8439-4D0F-812E-7176B29CE4B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 name="Host Control  35" hidden="1">
          <a:extLst>
            <a:ext uri="{FF2B5EF4-FFF2-40B4-BE49-F238E27FC236}">
              <a16:creationId xmlns:a16="http://schemas.microsoft.com/office/drawing/2014/main" id="{321C8BB7-2EA0-43D3-965E-40769078242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 name="Host Control  36" hidden="1">
          <a:extLst>
            <a:ext uri="{FF2B5EF4-FFF2-40B4-BE49-F238E27FC236}">
              <a16:creationId xmlns:a16="http://schemas.microsoft.com/office/drawing/2014/main" id="{A07FDB6E-6A06-44FF-80C1-60145152021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 name="Host Control  37" hidden="1">
          <a:extLst>
            <a:ext uri="{FF2B5EF4-FFF2-40B4-BE49-F238E27FC236}">
              <a16:creationId xmlns:a16="http://schemas.microsoft.com/office/drawing/2014/main" id="{1D619C95-9914-4090-ACF3-E19379CB9A1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 name="Host Control  38" hidden="1">
          <a:extLst>
            <a:ext uri="{FF2B5EF4-FFF2-40B4-BE49-F238E27FC236}">
              <a16:creationId xmlns:a16="http://schemas.microsoft.com/office/drawing/2014/main" id="{3233CC6C-31C7-40A9-9725-027BF590B3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 name="Host Control  39" hidden="1">
          <a:extLst>
            <a:ext uri="{FF2B5EF4-FFF2-40B4-BE49-F238E27FC236}">
              <a16:creationId xmlns:a16="http://schemas.microsoft.com/office/drawing/2014/main" id="{4D8CD464-D04A-4738-8596-7A17C41AAD8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 name="Host Control  40" hidden="1">
          <a:extLst>
            <a:ext uri="{FF2B5EF4-FFF2-40B4-BE49-F238E27FC236}">
              <a16:creationId xmlns:a16="http://schemas.microsoft.com/office/drawing/2014/main" id="{5EF590A7-F89C-407F-BA6B-B600BF61420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 name="Host Control  41" hidden="1">
          <a:extLst>
            <a:ext uri="{FF2B5EF4-FFF2-40B4-BE49-F238E27FC236}">
              <a16:creationId xmlns:a16="http://schemas.microsoft.com/office/drawing/2014/main" id="{6E820F0E-5286-4D9F-AC61-858D0A31B96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 name="Host Control  42" hidden="1">
          <a:extLst>
            <a:ext uri="{FF2B5EF4-FFF2-40B4-BE49-F238E27FC236}">
              <a16:creationId xmlns:a16="http://schemas.microsoft.com/office/drawing/2014/main" id="{7DBCC3E2-A135-42EF-BBA5-F2F10C59217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 name="Host Control  43" hidden="1">
          <a:extLst>
            <a:ext uri="{FF2B5EF4-FFF2-40B4-BE49-F238E27FC236}">
              <a16:creationId xmlns:a16="http://schemas.microsoft.com/office/drawing/2014/main" id="{8450340E-C5B1-4C0D-B74C-A53046564CB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 name="Host Control  44" hidden="1">
          <a:extLst>
            <a:ext uri="{FF2B5EF4-FFF2-40B4-BE49-F238E27FC236}">
              <a16:creationId xmlns:a16="http://schemas.microsoft.com/office/drawing/2014/main" id="{F88A7645-D3D8-4BFA-AFDA-3BDC4F5A80F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 name="Host Control  45" hidden="1">
          <a:extLst>
            <a:ext uri="{FF2B5EF4-FFF2-40B4-BE49-F238E27FC236}">
              <a16:creationId xmlns:a16="http://schemas.microsoft.com/office/drawing/2014/main" id="{7FE96C13-EAF6-4178-B734-504B3B3C858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 name="Host Control  46" hidden="1">
          <a:extLst>
            <a:ext uri="{FF2B5EF4-FFF2-40B4-BE49-F238E27FC236}">
              <a16:creationId xmlns:a16="http://schemas.microsoft.com/office/drawing/2014/main" id="{E66B054D-D756-4B65-AF06-CEFE3F25D7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 name="Host Control  47" hidden="1">
          <a:extLst>
            <a:ext uri="{FF2B5EF4-FFF2-40B4-BE49-F238E27FC236}">
              <a16:creationId xmlns:a16="http://schemas.microsoft.com/office/drawing/2014/main" id="{2154524B-0B2B-4DFF-A843-AEAE8F005EA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 name="Host Control  48" hidden="1">
          <a:extLst>
            <a:ext uri="{FF2B5EF4-FFF2-40B4-BE49-F238E27FC236}">
              <a16:creationId xmlns:a16="http://schemas.microsoft.com/office/drawing/2014/main" id="{A8BECF30-F3B6-433A-87A2-9F8896D07D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 name="Host Control  49" hidden="1">
          <a:extLst>
            <a:ext uri="{FF2B5EF4-FFF2-40B4-BE49-F238E27FC236}">
              <a16:creationId xmlns:a16="http://schemas.microsoft.com/office/drawing/2014/main" id="{646CFCB3-E3C6-467B-875B-0C2A9C73407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 name="Host Control  50" hidden="1">
          <a:extLst>
            <a:ext uri="{FF2B5EF4-FFF2-40B4-BE49-F238E27FC236}">
              <a16:creationId xmlns:a16="http://schemas.microsoft.com/office/drawing/2014/main" id="{202F23D4-56F7-4881-80E4-ACEA677F10C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 name="Host Control  51" hidden="1">
          <a:extLst>
            <a:ext uri="{FF2B5EF4-FFF2-40B4-BE49-F238E27FC236}">
              <a16:creationId xmlns:a16="http://schemas.microsoft.com/office/drawing/2014/main" id="{D0A5CFC7-CF0A-4636-83EE-EEA5EC2A2E3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 name="Host Control  52" hidden="1">
          <a:extLst>
            <a:ext uri="{FF2B5EF4-FFF2-40B4-BE49-F238E27FC236}">
              <a16:creationId xmlns:a16="http://schemas.microsoft.com/office/drawing/2014/main" id="{B12CE93B-F4DC-4E31-BCEC-2BC2FB6211C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 name="Host Control  53" hidden="1">
          <a:extLst>
            <a:ext uri="{FF2B5EF4-FFF2-40B4-BE49-F238E27FC236}">
              <a16:creationId xmlns:a16="http://schemas.microsoft.com/office/drawing/2014/main" id="{EA0F301C-02DB-45EB-878B-457A14ED74F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 name="Host Control  54" hidden="1">
          <a:extLst>
            <a:ext uri="{FF2B5EF4-FFF2-40B4-BE49-F238E27FC236}">
              <a16:creationId xmlns:a16="http://schemas.microsoft.com/office/drawing/2014/main" id="{2CE0C4D2-D5E6-461F-A99D-5ABF86BB021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5" name="Host Control  55" hidden="1">
          <a:extLst>
            <a:ext uri="{FF2B5EF4-FFF2-40B4-BE49-F238E27FC236}">
              <a16:creationId xmlns:a16="http://schemas.microsoft.com/office/drawing/2014/main" id="{D3481984-DCF8-4694-B467-4BCBE67935B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6" name="Host Control  56" hidden="1">
          <a:extLst>
            <a:ext uri="{FF2B5EF4-FFF2-40B4-BE49-F238E27FC236}">
              <a16:creationId xmlns:a16="http://schemas.microsoft.com/office/drawing/2014/main" id="{12AB88F4-C376-4C09-80BD-D9C6055D2EB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7" name="Host Control  57" hidden="1">
          <a:extLst>
            <a:ext uri="{FF2B5EF4-FFF2-40B4-BE49-F238E27FC236}">
              <a16:creationId xmlns:a16="http://schemas.microsoft.com/office/drawing/2014/main" id="{C51E67AD-600E-449D-83AD-DDE040E847F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8" name="Host Control  58" hidden="1">
          <a:extLst>
            <a:ext uri="{FF2B5EF4-FFF2-40B4-BE49-F238E27FC236}">
              <a16:creationId xmlns:a16="http://schemas.microsoft.com/office/drawing/2014/main" id="{93499A20-857B-4F59-8EBA-1F2B7DAAE98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9" name="Host Control  59" hidden="1">
          <a:extLst>
            <a:ext uri="{FF2B5EF4-FFF2-40B4-BE49-F238E27FC236}">
              <a16:creationId xmlns:a16="http://schemas.microsoft.com/office/drawing/2014/main" id="{44268888-EE48-4EC7-89F1-693BAF48536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0" name="Host Control  60" hidden="1">
          <a:extLst>
            <a:ext uri="{FF2B5EF4-FFF2-40B4-BE49-F238E27FC236}">
              <a16:creationId xmlns:a16="http://schemas.microsoft.com/office/drawing/2014/main" id="{3E85BEF0-1115-4B2F-8BC8-2323DE83884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1" name="Host Control  61" hidden="1">
          <a:extLst>
            <a:ext uri="{FF2B5EF4-FFF2-40B4-BE49-F238E27FC236}">
              <a16:creationId xmlns:a16="http://schemas.microsoft.com/office/drawing/2014/main" id="{B6A731F3-F060-4F0B-81F6-4D8CFCCA111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2" name="Host Control  65" hidden="1">
          <a:extLst>
            <a:ext uri="{FF2B5EF4-FFF2-40B4-BE49-F238E27FC236}">
              <a16:creationId xmlns:a16="http://schemas.microsoft.com/office/drawing/2014/main" id="{41621655-3EDF-4D83-8202-8B194FDD37B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3" name="Host Control  66" hidden="1">
          <a:extLst>
            <a:ext uri="{FF2B5EF4-FFF2-40B4-BE49-F238E27FC236}">
              <a16:creationId xmlns:a16="http://schemas.microsoft.com/office/drawing/2014/main" id="{5D46BCFD-F375-4E48-A7F0-CE126540AE8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4" name="Host Control  67" hidden="1">
          <a:extLst>
            <a:ext uri="{FF2B5EF4-FFF2-40B4-BE49-F238E27FC236}">
              <a16:creationId xmlns:a16="http://schemas.microsoft.com/office/drawing/2014/main" id="{221B8A1F-BF19-4A9E-BB4E-F52EC9B3187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5" name="Host Control  68" hidden="1">
          <a:extLst>
            <a:ext uri="{FF2B5EF4-FFF2-40B4-BE49-F238E27FC236}">
              <a16:creationId xmlns:a16="http://schemas.microsoft.com/office/drawing/2014/main" id="{0E112917-0480-4640-9B8C-1791AF16F5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6" name="Host Control  69" hidden="1">
          <a:extLst>
            <a:ext uri="{FF2B5EF4-FFF2-40B4-BE49-F238E27FC236}">
              <a16:creationId xmlns:a16="http://schemas.microsoft.com/office/drawing/2014/main" id="{7B430A56-8C3D-4E57-B7CE-3C6F52022F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7" name="Host Control  70" hidden="1">
          <a:extLst>
            <a:ext uri="{FF2B5EF4-FFF2-40B4-BE49-F238E27FC236}">
              <a16:creationId xmlns:a16="http://schemas.microsoft.com/office/drawing/2014/main" id="{7073AEBA-C329-410B-AFE5-1C36330B9F6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8" name="Host Control  71" hidden="1">
          <a:extLst>
            <a:ext uri="{FF2B5EF4-FFF2-40B4-BE49-F238E27FC236}">
              <a16:creationId xmlns:a16="http://schemas.microsoft.com/office/drawing/2014/main" id="{EBC5C890-A940-4BBF-974C-83D6E94DB79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9" name="Host Control  72" hidden="1">
          <a:extLst>
            <a:ext uri="{FF2B5EF4-FFF2-40B4-BE49-F238E27FC236}">
              <a16:creationId xmlns:a16="http://schemas.microsoft.com/office/drawing/2014/main" id="{5624E828-9677-4F72-A860-B2C4F36F5E2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0" name="Host Control  73" hidden="1">
          <a:extLst>
            <a:ext uri="{FF2B5EF4-FFF2-40B4-BE49-F238E27FC236}">
              <a16:creationId xmlns:a16="http://schemas.microsoft.com/office/drawing/2014/main" id="{7391DDBE-C735-4467-9AFA-54B3A81600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1" name="Host Control  74" hidden="1">
          <a:extLst>
            <a:ext uri="{FF2B5EF4-FFF2-40B4-BE49-F238E27FC236}">
              <a16:creationId xmlns:a16="http://schemas.microsoft.com/office/drawing/2014/main" id="{1F0466D1-5EAC-44B8-B907-A497E845F82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2" name="Host Control  75" hidden="1">
          <a:extLst>
            <a:ext uri="{FF2B5EF4-FFF2-40B4-BE49-F238E27FC236}">
              <a16:creationId xmlns:a16="http://schemas.microsoft.com/office/drawing/2014/main" id="{258F9D39-031A-48C6-9A84-D296CEC9063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3" name="Host Control  76" hidden="1">
          <a:extLst>
            <a:ext uri="{FF2B5EF4-FFF2-40B4-BE49-F238E27FC236}">
              <a16:creationId xmlns:a16="http://schemas.microsoft.com/office/drawing/2014/main" id="{70D2822D-3763-41F3-B93D-38D08B7F3A4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4" name="Host Control  77" hidden="1">
          <a:extLst>
            <a:ext uri="{FF2B5EF4-FFF2-40B4-BE49-F238E27FC236}">
              <a16:creationId xmlns:a16="http://schemas.microsoft.com/office/drawing/2014/main" id="{16353342-88B3-4E8F-9EE1-248E514DA91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5" name="Host Control  78" hidden="1">
          <a:extLst>
            <a:ext uri="{FF2B5EF4-FFF2-40B4-BE49-F238E27FC236}">
              <a16:creationId xmlns:a16="http://schemas.microsoft.com/office/drawing/2014/main" id="{D3B2B362-C193-444A-BA36-6B74CF95D93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6" name="Host Control  79" hidden="1">
          <a:extLst>
            <a:ext uri="{FF2B5EF4-FFF2-40B4-BE49-F238E27FC236}">
              <a16:creationId xmlns:a16="http://schemas.microsoft.com/office/drawing/2014/main" id="{60BEF1C3-C4FD-4A00-961A-20AE7712C3B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7" name="Host Control  80" hidden="1">
          <a:extLst>
            <a:ext uri="{FF2B5EF4-FFF2-40B4-BE49-F238E27FC236}">
              <a16:creationId xmlns:a16="http://schemas.microsoft.com/office/drawing/2014/main" id="{A7FB6794-3A5F-4094-BD7B-CD06002AC07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8" name="Host Control  81" hidden="1">
          <a:extLst>
            <a:ext uri="{FF2B5EF4-FFF2-40B4-BE49-F238E27FC236}">
              <a16:creationId xmlns:a16="http://schemas.microsoft.com/office/drawing/2014/main" id="{7A54DFCE-C595-4824-A6F6-25E1515C994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9" name="Host Control  82" hidden="1">
          <a:extLst>
            <a:ext uri="{FF2B5EF4-FFF2-40B4-BE49-F238E27FC236}">
              <a16:creationId xmlns:a16="http://schemas.microsoft.com/office/drawing/2014/main" id="{02A62C25-8144-41EB-8B2B-C9B7EEA3BD5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0" name="Host Control  83" hidden="1">
          <a:extLst>
            <a:ext uri="{FF2B5EF4-FFF2-40B4-BE49-F238E27FC236}">
              <a16:creationId xmlns:a16="http://schemas.microsoft.com/office/drawing/2014/main" id="{F9805707-C50C-4F66-92CF-38F0C53E60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1" name="Host Control  84" hidden="1">
          <a:extLst>
            <a:ext uri="{FF2B5EF4-FFF2-40B4-BE49-F238E27FC236}">
              <a16:creationId xmlns:a16="http://schemas.microsoft.com/office/drawing/2014/main" id="{B2CAB786-68C3-4451-A280-86CA094E0A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2" name="Host Control  85" hidden="1">
          <a:extLst>
            <a:ext uri="{FF2B5EF4-FFF2-40B4-BE49-F238E27FC236}">
              <a16:creationId xmlns:a16="http://schemas.microsoft.com/office/drawing/2014/main" id="{C25DD6B6-5642-45D8-BFC5-7A86DDEB3D2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3" name="Host Control  86" hidden="1">
          <a:extLst>
            <a:ext uri="{FF2B5EF4-FFF2-40B4-BE49-F238E27FC236}">
              <a16:creationId xmlns:a16="http://schemas.microsoft.com/office/drawing/2014/main" id="{51B35F8B-58D9-4189-A7BD-11FEB1C784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4" name="Host Control  87" hidden="1">
          <a:extLst>
            <a:ext uri="{FF2B5EF4-FFF2-40B4-BE49-F238E27FC236}">
              <a16:creationId xmlns:a16="http://schemas.microsoft.com/office/drawing/2014/main" id="{9567B5C1-8C6F-40D1-8762-8EFD980FA82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5" name="Host Control  88" hidden="1">
          <a:extLst>
            <a:ext uri="{FF2B5EF4-FFF2-40B4-BE49-F238E27FC236}">
              <a16:creationId xmlns:a16="http://schemas.microsoft.com/office/drawing/2014/main" id="{6D66DC1F-919B-4C32-9A88-683E3E5C65C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6" name="Host Control  89" hidden="1">
          <a:extLst>
            <a:ext uri="{FF2B5EF4-FFF2-40B4-BE49-F238E27FC236}">
              <a16:creationId xmlns:a16="http://schemas.microsoft.com/office/drawing/2014/main" id="{9C52AF81-5157-4049-B39A-A5D02F46460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7" name="Host Control  90" hidden="1">
          <a:extLst>
            <a:ext uri="{FF2B5EF4-FFF2-40B4-BE49-F238E27FC236}">
              <a16:creationId xmlns:a16="http://schemas.microsoft.com/office/drawing/2014/main" id="{B660AC7D-DE72-47EA-8165-0AE337B9D96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8" name="Host Control  91" hidden="1">
          <a:extLst>
            <a:ext uri="{FF2B5EF4-FFF2-40B4-BE49-F238E27FC236}">
              <a16:creationId xmlns:a16="http://schemas.microsoft.com/office/drawing/2014/main" id="{875BC22A-D358-43F6-B8F5-AC453C0BA02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9" name="Host Control  92" hidden="1">
          <a:extLst>
            <a:ext uri="{FF2B5EF4-FFF2-40B4-BE49-F238E27FC236}">
              <a16:creationId xmlns:a16="http://schemas.microsoft.com/office/drawing/2014/main" id="{1F9E6FCF-47F6-4909-A9C0-4FC8FF5A0C9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0" name="Host Control  93" hidden="1">
          <a:extLst>
            <a:ext uri="{FF2B5EF4-FFF2-40B4-BE49-F238E27FC236}">
              <a16:creationId xmlns:a16="http://schemas.microsoft.com/office/drawing/2014/main" id="{9BB370FC-89A9-40B2-BAD0-9E038F8C623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1" name="Host Control  94" hidden="1">
          <a:extLst>
            <a:ext uri="{FF2B5EF4-FFF2-40B4-BE49-F238E27FC236}">
              <a16:creationId xmlns:a16="http://schemas.microsoft.com/office/drawing/2014/main" id="{3752C48A-CE18-4975-8887-8AD306B7719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2" name="Host Control  98" hidden="1">
          <a:extLst>
            <a:ext uri="{FF2B5EF4-FFF2-40B4-BE49-F238E27FC236}">
              <a16:creationId xmlns:a16="http://schemas.microsoft.com/office/drawing/2014/main" id="{21452428-7B1D-4C1A-B3AB-874B5809F91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3" name="Host Control  99" hidden="1">
          <a:extLst>
            <a:ext uri="{FF2B5EF4-FFF2-40B4-BE49-F238E27FC236}">
              <a16:creationId xmlns:a16="http://schemas.microsoft.com/office/drawing/2014/main" id="{18D4BD09-7883-46F9-A785-053A531100E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4" name="Host Control  100" hidden="1">
          <a:extLst>
            <a:ext uri="{FF2B5EF4-FFF2-40B4-BE49-F238E27FC236}">
              <a16:creationId xmlns:a16="http://schemas.microsoft.com/office/drawing/2014/main" id="{51FC1B49-8F5A-4EAB-A054-215421DE159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5" name="Host Control  101" hidden="1">
          <a:extLst>
            <a:ext uri="{FF2B5EF4-FFF2-40B4-BE49-F238E27FC236}">
              <a16:creationId xmlns:a16="http://schemas.microsoft.com/office/drawing/2014/main" id="{2081AE55-9A27-4C78-965D-620323A97E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6" name="Host Control  102" hidden="1">
          <a:extLst>
            <a:ext uri="{FF2B5EF4-FFF2-40B4-BE49-F238E27FC236}">
              <a16:creationId xmlns:a16="http://schemas.microsoft.com/office/drawing/2014/main" id="{A4E97E93-3455-4182-A0AF-8E1C2932C36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7" name="Host Control  103" hidden="1">
          <a:extLst>
            <a:ext uri="{FF2B5EF4-FFF2-40B4-BE49-F238E27FC236}">
              <a16:creationId xmlns:a16="http://schemas.microsoft.com/office/drawing/2014/main" id="{32C23225-C969-4B48-9B65-EE6C6B412F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8" name="Host Control  104" hidden="1">
          <a:extLst>
            <a:ext uri="{FF2B5EF4-FFF2-40B4-BE49-F238E27FC236}">
              <a16:creationId xmlns:a16="http://schemas.microsoft.com/office/drawing/2014/main" id="{3BA5A05C-BFCF-466D-B2AF-4E7EB9809EA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9" name="Host Control  105" hidden="1">
          <a:extLst>
            <a:ext uri="{FF2B5EF4-FFF2-40B4-BE49-F238E27FC236}">
              <a16:creationId xmlns:a16="http://schemas.microsoft.com/office/drawing/2014/main" id="{0D38D64C-4E9E-4C77-AB89-61DC2628A2D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0" name="Host Control  106" hidden="1">
          <a:extLst>
            <a:ext uri="{FF2B5EF4-FFF2-40B4-BE49-F238E27FC236}">
              <a16:creationId xmlns:a16="http://schemas.microsoft.com/office/drawing/2014/main" id="{E05606EB-1661-4C1D-AB8A-225AD3118D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1" name="Host Control  107" hidden="1">
          <a:extLst>
            <a:ext uri="{FF2B5EF4-FFF2-40B4-BE49-F238E27FC236}">
              <a16:creationId xmlns:a16="http://schemas.microsoft.com/office/drawing/2014/main" id="{B21FDDE3-772B-41D9-BA17-6F3DAA1897E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2" name="Host Control  108" hidden="1">
          <a:extLst>
            <a:ext uri="{FF2B5EF4-FFF2-40B4-BE49-F238E27FC236}">
              <a16:creationId xmlns:a16="http://schemas.microsoft.com/office/drawing/2014/main" id="{DE8E68D4-F00E-4946-82F3-FF060BDE6CE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3" name="Host Control  109" hidden="1">
          <a:extLst>
            <a:ext uri="{FF2B5EF4-FFF2-40B4-BE49-F238E27FC236}">
              <a16:creationId xmlns:a16="http://schemas.microsoft.com/office/drawing/2014/main" id="{42A24001-E976-48ED-92B2-3FDF891B145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4" name="Host Control  110" hidden="1">
          <a:extLst>
            <a:ext uri="{FF2B5EF4-FFF2-40B4-BE49-F238E27FC236}">
              <a16:creationId xmlns:a16="http://schemas.microsoft.com/office/drawing/2014/main" id="{0F2EF7C6-D128-4CC7-B967-BB90231EEA6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5" name="Host Control  111" hidden="1">
          <a:extLst>
            <a:ext uri="{FF2B5EF4-FFF2-40B4-BE49-F238E27FC236}">
              <a16:creationId xmlns:a16="http://schemas.microsoft.com/office/drawing/2014/main" id="{B240BAC6-388C-4F23-B622-12E813A41D7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6" name="Host Control  112" hidden="1">
          <a:extLst>
            <a:ext uri="{FF2B5EF4-FFF2-40B4-BE49-F238E27FC236}">
              <a16:creationId xmlns:a16="http://schemas.microsoft.com/office/drawing/2014/main" id="{EBF16C13-B7D3-4109-B21D-79C3DF7593E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7" name="Host Control  113" hidden="1">
          <a:extLst>
            <a:ext uri="{FF2B5EF4-FFF2-40B4-BE49-F238E27FC236}">
              <a16:creationId xmlns:a16="http://schemas.microsoft.com/office/drawing/2014/main" id="{00A1CD36-6CD3-4E9E-BEF1-F5FAD55958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8" name="Host Control  114" hidden="1">
          <a:extLst>
            <a:ext uri="{FF2B5EF4-FFF2-40B4-BE49-F238E27FC236}">
              <a16:creationId xmlns:a16="http://schemas.microsoft.com/office/drawing/2014/main" id="{35F3F1C1-C65E-4E7F-B6C0-CC6769BA04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9" name="Host Control  115" hidden="1">
          <a:extLst>
            <a:ext uri="{FF2B5EF4-FFF2-40B4-BE49-F238E27FC236}">
              <a16:creationId xmlns:a16="http://schemas.microsoft.com/office/drawing/2014/main" id="{8FFCFCA2-83B1-484B-B599-F5C857A7ABA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0" name="Host Control  116" hidden="1">
          <a:extLst>
            <a:ext uri="{FF2B5EF4-FFF2-40B4-BE49-F238E27FC236}">
              <a16:creationId xmlns:a16="http://schemas.microsoft.com/office/drawing/2014/main" id="{333A18F8-6419-4BE1-97AE-6B363BAB699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1" name="Host Control  117" hidden="1">
          <a:extLst>
            <a:ext uri="{FF2B5EF4-FFF2-40B4-BE49-F238E27FC236}">
              <a16:creationId xmlns:a16="http://schemas.microsoft.com/office/drawing/2014/main" id="{388523B0-E603-4ED3-B31D-C9CC297D832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2" name="Host Control  118" hidden="1">
          <a:extLst>
            <a:ext uri="{FF2B5EF4-FFF2-40B4-BE49-F238E27FC236}">
              <a16:creationId xmlns:a16="http://schemas.microsoft.com/office/drawing/2014/main" id="{20CB4BE8-159C-46B1-B69D-6FE3441BEB3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3" name="Host Control  119" hidden="1">
          <a:extLst>
            <a:ext uri="{FF2B5EF4-FFF2-40B4-BE49-F238E27FC236}">
              <a16:creationId xmlns:a16="http://schemas.microsoft.com/office/drawing/2014/main" id="{6FAA3036-F2AC-4E04-870D-C8DC9DDBE00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4" name="Host Control  120" hidden="1">
          <a:extLst>
            <a:ext uri="{FF2B5EF4-FFF2-40B4-BE49-F238E27FC236}">
              <a16:creationId xmlns:a16="http://schemas.microsoft.com/office/drawing/2014/main" id="{12E4CA8F-0DB3-40E7-904A-715700DD7C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5" name="Host Control  121" hidden="1">
          <a:extLst>
            <a:ext uri="{FF2B5EF4-FFF2-40B4-BE49-F238E27FC236}">
              <a16:creationId xmlns:a16="http://schemas.microsoft.com/office/drawing/2014/main" id="{D5835002-743B-452D-AC1A-F1E8825F8F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6" name="Host Control  122" hidden="1">
          <a:extLst>
            <a:ext uri="{FF2B5EF4-FFF2-40B4-BE49-F238E27FC236}">
              <a16:creationId xmlns:a16="http://schemas.microsoft.com/office/drawing/2014/main" id="{C56D194E-04EC-4CB4-8F4F-61613F9237C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7" name="Host Control  123" hidden="1">
          <a:extLst>
            <a:ext uri="{FF2B5EF4-FFF2-40B4-BE49-F238E27FC236}">
              <a16:creationId xmlns:a16="http://schemas.microsoft.com/office/drawing/2014/main" id="{572FA380-C412-4BEB-94B9-F0D4C350183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8" name="Host Control  124" hidden="1">
          <a:extLst>
            <a:ext uri="{FF2B5EF4-FFF2-40B4-BE49-F238E27FC236}">
              <a16:creationId xmlns:a16="http://schemas.microsoft.com/office/drawing/2014/main" id="{D890A60C-47DB-4361-90BB-E969ACE09B3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9" name="Host Control  125" hidden="1">
          <a:extLst>
            <a:ext uri="{FF2B5EF4-FFF2-40B4-BE49-F238E27FC236}">
              <a16:creationId xmlns:a16="http://schemas.microsoft.com/office/drawing/2014/main" id="{AC441848-BE4D-413E-8003-C0D2B44038B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0" name="Host Control  126" hidden="1">
          <a:extLst>
            <a:ext uri="{FF2B5EF4-FFF2-40B4-BE49-F238E27FC236}">
              <a16:creationId xmlns:a16="http://schemas.microsoft.com/office/drawing/2014/main" id="{91ADD354-DC0F-482E-BBA2-3D124814CE1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1" name="Host Control  127" hidden="1">
          <a:extLst>
            <a:ext uri="{FF2B5EF4-FFF2-40B4-BE49-F238E27FC236}">
              <a16:creationId xmlns:a16="http://schemas.microsoft.com/office/drawing/2014/main" id="{56682640-26C8-4867-8BBD-E220CBB602D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2" name="Host Control  135" hidden="1">
          <a:extLst>
            <a:ext uri="{FF2B5EF4-FFF2-40B4-BE49-F238E27FC236}">
              <a16:creationId xmlns:a16="http://schemas.microsoft.com/office/drawing/2014/main" id="{3D8A1429-2FB7-4829-9B4C-9EFF8616897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3" name="Host Control  136" hidden="1">
          <a:extLst>
            <a:ext uri="{FF2B5EF4-FFF2-40B4-BE49-F238E27FC236}">
              <a16:creationId xmlns:a16="http://schemas.microsoft.com/office/drawing/2014/main" id="{3DE50CDA-85B7-469D-8501-C7BDD28E4AB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4" name="Host Control  137" hidden="1">
          <a:extLst>
            <a:ext uri="{FF2B5EF4-FFF2-40B4-BE49-F238E27FC236}">
              <a16:creationId xmlns:a16="http://schemas.microsoft.com/office/drawing/2014/main" id="{A2803F23-F8C2-4865-B79F-817F539744D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5" name="Host Control  138" hidden="1">
          <a:extLst>
            <a:ext uri="{FF2B5EF4-FFF2-40B4-BE49-F238E27FC236}">
              <a16:creationId xmlns:a16="http://schemas.microsoft.com/office/drawing/2014/main" id="{FC2AB2D4-7AFC-4650-8EBB-B50CB4C599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6" name="Host Control  139" hidden="1">
          <a:extLst>
            <a:ext uri="{FF2B5EF4-FFF2-40B4-BE49-F238E27FC236}">
              <a16:creationId xmlns:a16="http://schemas.microsoft.com/office/drawing/2014/main" id="{08A9309D-986E-44D0-8AB1-C62DAE06357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7" name="Host Control  140" hidden="1">
          <a:extLst>
            <a:ext uri="{FF2B5EF4-FFF2-40B4-BE49-F238E27FC236}">
              <a16:creationId xmlns:a16="http://schemas.microsoft.com/office/drawing/2014/main" id="{4BF6A723-3CC5-4225-87BD-5B29A4FEA48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8" name="Host Control  141" hidden="1">
          <a:extLst>
            <a:ext uri="{FF2B5EF4-FFF2-40B4-BE49-F238E27FC236}">
              <a16:creationId xmlns:a16="http://schemas.microsoft.com/office/drawing/2014/main" id="{4DC10156-E3BF-41A7-8C8D-86DDDBE750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9" name="Host Control  142" hidden="1">
          <a:extLst>
            <a:ext uri="{FF2B5EF4-FFF2-40B4-BE49-F238E27FC236}">
              <a16:creationId xmlns:a16="http://schemas.microsoft.com/office/drawing/2014/main" id="{29A0FCA1-E765-48B8-8DF5-F7A931D23E6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0" name="Host Control  143" hidden="1">
          <a:extLst>
            <a:ext uri="{FF2B5EF4-FFF2-40B4-BE49-F238E27FC236}">
              <a16:creationId xmlns:a16="http://schemas.microsoft.com/office/drawing/2014/main" id="{D05ADA11-6316-4453-B77A-406DDBBCC73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1" name="Host Control  144" hidden="1">
          <a:extLst>
            <a:ext uri="{FF2B5EF4-FFF2-40B4-BE49-F238E27FC236}">
              <a16:creationId xmlns:a16="http://schemas.microsoft.com/office/drawing/2014/main" id="{849ADC45-AE40-4260-9ADE-D27328DDC75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2" name="Host Control  145" hidden="1">
          <a:extLst>
            <a:ext uri="{FF2B5EF4-FFF2-40B4-BE49-F238E27FC236}">
              <a16:creationId xmlns:a16="http://schemas.microsoft.com/office/drawing/2014/main" id="{D20D6962-EB30-4129-B0EA-F974BE8FD91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3" name="Host Control  146" hidden="1">
          <a:extLst>
            <a:ext uri="{FF2B5EF4-FFF2-40B4-BE49-F238E27FC236}">
              <a16:creationId xmlns:a16="http://schemas.microsoft.com/office/drawing/2014/main" id="{B554A444-E7A8-4789-91D6-3981A384B72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4" name="Host Control  147" hidden="1">
          <a:extLst>
            <a:ext uri="{FF2B5EF4-FFF2-40B4-BE49-F238E27FC236}">
              <a16:creationId xmlns:a16="http://schemas.microsoft.com/office/drawing/2014/main" id="{23B9514B-CC5A-4F71-A77C-442569A0585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5" name="Host Control  148" hidden="1">
          <a:extLst>
            <a:ext uri="{FF2B5EF4-FFF2-40B4-BE49-F238E27FC236}">
              <a16:creationId xmlns:a16="http://schemas.microsoft.com/office/drawing/2014/main" id="{641FB9F2-8FB3-4121-A787-618D0627D31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6" name="Host Control  149" hidden="1">
          <a:extLst>
            <a:ext uri="{FF2B5EF4-FFF2-40B4-BE49-F238E27FC236}">
              <a16:creationId xmlns:a16="http://schemas.microsoft.com/office/drawing/2014/main" id="{E03425B5-9185-419D-BD78-DD175D6CF3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7" name="Host Control  150" hidden="1">
          <a:extLst>
            <a:ext uri="{FF2B5EF4-FFF2-40B4-BE49-F238E27FC236}">
              <a16:creationId xmlns:a16="http://schemas.microsoft.com/office/drawing/2014/main" id="{342E3C04-2959-4FA5-9AC1-573F974325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8" name="Host Control  151" hidden="1">
          <a:extLst>
            <a:ext uri="{FF2B5EF4-FFF2-40B4-BE49-F238E27FC236}">
              <a16:creationId xmlns:a16="http://schemas.microsoft.com/office/drawing/2014/main" id="{30726DA6-0A48-41F4-A6D1-CE7B3179BB4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9" name="Host Control  152" hidden="1">
          <a:extLst>
            <a:ext uri="{FF2B5EF4-FFF2-40B4-BE49-F238E27FC236}">
              <a16:creationId xmlns:a16="http://schemas.microsoft.com/office/drawing/2014/main" id="{D638549E-E7AD-4280-B297-B0F9D83FD68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0" name="Host Control  153" hidden="1">
          <a:extLst>
            <a:ext uri="{FF2B5EF4-FFF2-40B4-BE49-F238E27FC236}">
              <a16:creationId xmlns:a16="http://schemas.microsoft.com/office/drawing/2014/main" id="{10AB528E-60F5-4DCC-A55E-6DB346DA0CC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1" name="Host Control  154" hidden="1">
          <a:extLst>
            <a:ext uri="{FF2B5EF4-FFF2-40B4-BE49-F238E27FC236}">
              <a16:creationId xmlns:a16="http://schemas.microsoft.com/office/drawing/2014/main" id="{3E297034-7773-4B5B-80F1-EF771A5DEDF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2" name="Host Control  155" hidden="1">
          <a:extLst>
            <a:ext uri="{FF2B5EF4-FFF2-40B4-BE49-F238E27FC236}">
              <a16:creationId xmlns:a16="http://schemas.microsoft.com/office/drawing/2014/main" id="{6259128B-8F65-4557-9D69-56E47E2CCF4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3" name="Host Control  156" hidden="1">
          <a:extLst>
            <a:ext uri="{FF2B5EF4-FFF2-40B4-BE49-F238E27FC236}">
              <a16:creationId xmlns:a16="http://schemas.microsoft.com/office/drawing/2014/main" id="{35941359-6A66-4406-8824-C8A479CC6C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4" name="Host Control  157" hidden="1">
          <a:extLst>
            <a:ext uri="{FF2B5EF4-FFF2-40B4-BE49-F238E27FC236}">
              <a16:creationId xmlns:a16="http://schemas.microsoft.com/office/drawing/2014/main" id="{F787182B-15C4-4121-A3BA-18C7465E1BE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5" name="Host Control  158" hidden="1">
          <a:extLst>
            <a:ext uri="{FF2B5EF4-FFF2-40B4-BE49-F238E27FC236}">
              <a16:creationId xmlns:a16="http://schemas.microsoft.com/office/drawing/2014/main" id="{9B14CD49-31B5-4AD0-89CB-DBD38E750D9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6" name="Host Control  159" hidden="1">
          <a:extLst>
            <a:ext uri="{FF2B5EF4-FFF2-40B4-BE49-F238E27FC236}">
              <a16:creationId xmlns:a16="http://schemas.microsoft.com/office/drawing/2014/main" id="{90E3ADBC-1A2A-4298-BAD5-923F16FD3E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7" name="Host Control  160" hidden="1">
          <a:extLst>
            <a:ext uri="{FF2B5EF4-FFF2-40B4-BE49-F238E27FC236}">
              <a16:creationId xmlns:a16="http://schemas.microsoft.com/office/drawing/2014/main" id="{2351D397-5D50-4E6B-94DB-A3E17BBB58C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8" name="Host Control  161" hidden="1">
          <a:extLst>
            <a:ext uri="{FF2B5EF4-FFF2-40B4-BE49-F238E27FC236}">
              <a16:creationId xmlns:a16="http://schemas.microsoft.com/office/drawing/2014/main" id="{B8D9203D-0386-440E-9D9B-87E070A69FB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9" name="Host Control  162" hidden="1">
          <a:extLst>
            <a:ext uri="{FF2B5EF4-FFF2-40B4-BE49-F238E27FC236}">
              <a16:creationId xmlns:a16="http://schemas.microsoft.com/office/drawing/2014/main" id="{3D6190E4-3CA7-440C-BBA4-F73E9343F47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0" name="Host Control  163" hidden="1">
          <a:extLst>
            <a:ext uri="{FF2B5EF4-FFF2-40B4-BE49-F238E27FC236}">
              <a16:creationId xmlns:a16="http://schemas.microsoft.com/office/drawing/2014/main" id="{9FF3CCF5-D8B3-4105-A26F-210A908FE93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1" name="Host Control  164" hidden="1">
          <a:extLst>
            <a:ext uri="{FF2B5EF4-FFF2-40B4-BE49-F238E27FC236}">
              <a16:creationId xmlns:a16="http://schemas.microsoft.com/office/drawing/2014/main" id="{04613649-D2EE-44CA-86C1-E4170F3303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2" name="Host Control  168" hidden="1">
          <a:extLst>
            <a:ext uri="{FF2B5EF4-FFF2-40B4-BE49-F238E27FC236}">
              <a16:creationId xmlns:a16="http://schemas.microsoft.com/office/drawing/2014/main" id="{815DDA6C-3270-4DA1-8522-F3BA2DC9D6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3" name="Host Control  169" hidden="1">
          <a:extLst>
            <a:ext uri="{FF2B5EF4-FFF2-40B4-BE49-F238E27FC236}">
              <a16:creationId xmlns:a16="http://schemas.microsoft.com/office/drawing/2014/main" id="{9983E75D-043F-4D91-993E-C99DDBFCAC2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4" name="Host Control  170" hidden="1">
          <a:extLst>
            <a:ext uri="{FF2B5EF4-FFF2-40B4-BE49-F238E27FC236}">
              <a16:creationId xmlns:a16="http://schemas.microsoft.com/office/drawing/2014/main" id="{DE58DF3C-1941-4305-B5E9-8B50D001255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5" name="Host Control  171" hidden="1">
          <a:extLst>
            <a:ext uri="{FF2B5EF4-FFF2-40B4-BE49-F238E27FC236}">
              <a16:creationId xmlns:a16="http://schemas.microsoft.com/office/drawing/2014/main" id="{4C7A52CE-A99B-4AE2-8C4F-0033C1C572B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6" name="Host Control  172" hidden="1">
          <a:extLst>
            <a:ext uri="{FF2B5EF4-FFF2-40B4-BE49-F238E27FC236}">
              <a16:creationId xmlns:a16="http://schemas.microsoft.com/office/drawing/2014/main" id="{7D556BAE-6E62-43E0-AA91-2DDC8B69EBB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7" name="Host Control  173" hidden="1">
          <a:extLst>
            <a:ext uri="{FF2B5EF4-FFF2-40B4-BE49-F238E27FC236}">
              <a16:creationId xmlns:a16="http://schemas.microsoft.com/office/drawing/2014/main" id="{34DFF870-02D7-45A6-87C2-F97C4F4B62D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8" name="Host Control  174" hidden="1">
          <a:extLst>
            <a:ext uri="{FF2B5EF4-FFF2-40B4-BE49-F238E27FC236}">
              <a16:creationId xmlns:a16="http://schemas.microsoft.com/office/drawing/2014/main" id="{48E0255D-CF5B-454E-AE63-9DBA72825AC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9" name="Host Control  175" hidden="1">
          <a:extLst>
            <a:ext uri="{FF2B5EF4-FFF2-40B4-BE49-F238E27FC236}">
              <a16:creationId xmlns:a16="http://schemas.microsoft.com/office/drawing/2014/main" id="{52FEFADA-BAD2-4550-B284-9D4FE4D8DCB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0" name="Host Control  176" hidden="1">
          <a:extLst>
            <a:ext uri="{FF2B5EF4-FFF2-40B4-BE49-F238E27FC236}">
              <a16:creationId xmlns:a16="http://schemas.microsoft.com/office/drawing/2014/main" id="{BAA3AB2B-808D-42BD-97D3-B6A1BA29303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1" name="Host Control  177" hidden="1">
          <a:extLst>
            <a:ext uri="{FF2B5EF4-FFF2-40B4-BE49-F238E27FC236}">
              <a16:creationId xmlns:a16="http://schemas.microsoft.com/office/drawing/2014/main" id="{91D62426-8CF1-445F-875A-4D044A9EE4C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2" name="Host Control  178" hidden="1">
          <a:extLst>
            <a:ext uri="{FF2B5EF4-FFF2-40B4-BE49-F238E27FC236}">
              <a16:creationId xmlns:a16="http://schemas.microsoft.com/office/drawing/2014/main" id="{37EA3D0A-4901-4310-A635-7CD4308D730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3" name="Host Control  179" hidden="1">
          <a:extLst>
            <a:ext uri="{FF2B5EF4-FFF2-40B4-BE49-F238E27FC236}">
              <a16:creationId xmlns:a16="http://schemas.microsoft.com/office/drawing/2014/main" id="{3872A191-401A-4FFE-B3CD-1CA7DEF511C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4" name="Host Control  180" hidden="1">
          <a:extLst>
            <a:ext uri="{FF2B5EF4-FFF2-40B4-BE49-F238E27FC236}">
              <a16:creationId xmlns:a16="http://schemas.microsoft.com/office/drawing/2014/main" id="{4B9D77E3-A492-4762-AEE4-7625E9C774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5" name="Host Control  181" hidden="1">
          <a:extLst>
            <a:ext uri="{FF2B5EF4-FFF2-40B4-BE49-F238E27FC236}">
              <a16:creationId xmlns:a16="http://schemas.microsoft.com/office/drawing/2014/main" id="{451C5B19-DBE7-4236-998B-B480AD1BB1E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6" name="Host Control  182" hidden="1">
          <a:extLst>
            <a:ext uri="{FF2B5EF4-FFF2-40B4-BE49-F238E27FC236}">
              <a16:creationId xmlns:a16="http://schemas.microsoft.com/office/drawing/2014/main" id="{BE7C2A08-6C7C-4BFC-9627-73056F60669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7" name="Host Control  183" hidden="1">
          <a:extLst>
            <a:ext uri="{FF2B5EF4-FFF2-40B4-BE49-F238E27FC236}">
              <a16:creationId xmlns:a16="http://schemas.microsoft.com/office/drawing/2014/main" id="{722F7841-075B-43B1-9A74-3CE465BC43A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8" name="Host Control  184" hidden="1">
          <a:extLst>
            <a:ext uri="{FF2B5EF4-FFF2-40B4-BE49-F238E27FC236}">
              <a16:creationId xmlns:a16="http://schemas.microsoft.com/office/drawing/2014/main" id="{61336AB3-1B5D-4C1A-B5BC-0DD861B82E4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9" name="Host Control  185" hidden="1">
          <a:extLst>
            <a:ext uri="{FF2B5EF4-FFF2-40B4-BE49-F238E27FC236}">
              <a16:creationId xmlns:a16="http://schemas.microsoft.com/office/drawing/2014/main" id="{7180E347-DABD-46F5-A71B-0EEF9580753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0" name="Host Control  186" hidden="1">
          <a:extLst>
            <a:ext uri="{FF2B5EF4-FFF2-40B4-BE49-F238E27FC236}">
              <a16:creationId xmlns:a16="http://schemas.microsoft.com/office/drawing/2014/main" id="{04E136D9-D807-4D42-92C0-1BCE8FC9C4D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1" name="Host Control  187" hidden="1">
          <a:extLst>
            <a:ext uri="{FF2B5EF4-FFF2-40B4-BE49-F238E27FC236}">
              <a16:creationId xmlns:a16="http://schemas.microsoft.com/office/drawing/2014/main" id="{522011B2-E6A3-4E7F-8273-AE49130CFE8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2" name="Host Control  188" hidden="1">
          <a:extLst>
            <a:ext uri="{FF2B5EF4-FFF2-40B4-BE49-F238E27FC236}">
              <a16:creationId xmlns:a16="http://schemas.microsoft.com/office/drawing/2014/main" id="{6A7726EF-2FD6-4144-AB11-50012EBDD98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3" name="Host Control  189" hidden="1">
          <a:extLst>
            <a:ext uri="{FF2B5EF4-FFF2-40B4-BE49-F238E27FC236}">
              <a16:creationId xmlns:a16="http://schemas.microsoft.com/office/drawing/2014/main" id="{BDB035D1-CC84-4C4E-8736-68E059D6F00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4" name="Host Control  190" hidden="1">
          <a:extLst>
            <a:ext uri="{FF2B5EF4-FFF2-40B4-BE49-F238E27FC236}">
              <a16:creationId xmlns:a16="http://schemas.microsoft.com/office/drawing/2014/main" id="{7AC964CB-8CFA-4BE5-9A9F-E78F3DC027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5" name="Host Control  191" hidden="1">
          <a:extLst>
            <a:ext uri="{FF2B5EF4-FFF2-40B4-BE49-F238E27FC236}">
              <a16:creationId xmlns:a16="http://schemas.microsoft.com/office/drawing/2014/main" id="{8FA9C6E0-F6EA-4156-8635-BB0BFADACD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6" name="Host Control  192" hidden="1">
          <a:extLst>
            <a:ext uri="{FF2B5EF4-FFF2-40B4-BE49-F238E27FC236}">
              <a16:creationId xmlns:a16="http://schemas.microsoft.com/office/drawing/2014/main" id="{9527E94A-3F24-4778-95CF-BEC128FE46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7" name="Host Control  193" hidden="1">
          <a:extLst>
            <a:ext uri="{FF2B5EF4-FFF2-40B4-BE49-F238E27FC236}">
              <a16:creationId xmlns:a16="http://schemas.microsoft.com/office/drawing/2014/main" id="{47BA5106-4B9E-4BA9-BF50-BEDCF299727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8" name="Host Control  194" hidden="1">
          <a:extLst>
            <a:ext uri="{FF2B5EF4-FFF2-40B4-BE49-F238E27FC236}">
              <a16:creationId xmlns:a16="http://schemas.microsoft.com/office/drawing/2014/main" id="{98B41857-4CE5-4FBA-A994-1EEA575D714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9" name="Host Control  195" hidden="1">
          <a:extLst>
            <a:ext uri="{FF2B5EF4-FFF2-40B4-BE49-F238E27FC236}">
              <a16:creationId xmlns:a16="http://schemas.microsoft.com/office/drawing/2014/main" id="{1FA8785B-DA25-4A56-B2B5-C61B4C28FFD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0" name="Host Control  196" hidden="1">
          <a:extLst>
            <a:ext uri="{FF2B5EF4-FFF2-40B4-BE49-F238E27FC236}">
              <a16:creationId xmlns:a16="http://schemas.microsoft.com/office/drawing/2014/main" id="{0036143E-AB39-4516-AFAA-9332247A4B7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1" name="Host Control  197" hidden="1">
          <a:extLst>
            <a:ext uri="{FF2B5EF4-FFF2-40B4-BE49-F238E27FC236}">
              <a16:creationId xmlns:a16="http://schemas.microsoft.com/office/drawing/2014/main" id="{DA8D8C81-2C0A-44FA-BDDC-EA7ECE6B733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2" name="Host Control  201" hidden="1">
          <a:extLst>
            <a:ext uri="{FF2B5EF4-FFF2-40B4-BE49-F238E27FC236}">
              <a16:creationId xmlns:a16="http://schemas.microsoft.com/office/drawing/2014/main" id="{84C7E700-50EF-4D3C-AA28-A0B52EA7769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3" name="Host Control  202" hidden="1">
          <a:extLst>
            <a:ext uri="{FF2B5EF4-FFF2-40B4-BE49-F238E27FC236}">
              <a16:creationId xmlns:a16="http://schemas.microsoft.com/office/drawing/2014/main" id="{F670791D-1A14-47B0-8591-483330E7DE9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4" name="Host Control  203" hidden="1">
          <a:extLst>
            <a:ext uri="{FF2B5EF4-FFF2-40B4-BE49-F238E27FC236}">
              <a16:creationId xmlns:a16="http://schemas.microsoft.com/office/drawing/2014/main" id="{686901B6-8B66-4EE9-9C8E-83D7079A46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5" name="Host Control  204" hidden="1">
          <a:extLst>
            <a:ext uri="{FF2B5EF4-FFF2-40B4-BE49-F238E27FC236}">
              <a16:creationId xmlns:a16="http://schemas.microsoft.com/office/drawing/2014/main" id="{A583862A-4198-4C53-AB67-F220E94B57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6" name="Host Control  205" hidden="1">
          <a:extLst>
            <a:ext uri="{FF2B5EF4-FFF2-40B4-BE49-F238E27FC236}">
              <a16:creationId xmlns:a16="http://schemas.microsoft.com/office/drawing/2014/main" id="{7A59648F-9B7C-418C-B451-CDC25EE0EDC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7" name="Host Control  206" hidden="1">
          <a:extLst>
            <a:ext uri="{FF2B5EF4-FFF2-40B4-BE49-F238E27FC236}">
              <a16:creationId xmlns:a16="http://schemas.microsoft.com/office/drawing/2014/main" id="{81C489C8-0EA1-4A75-B9FA-52C94D874BC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8" name="Host Control  207" hidden="1">
          <a:extLst>
            <a:ext uri="{FF2B5EF4-FFF2-40B4-BE49-F238E27FC236}">
              <a16:creationId xmlns:a16="http://schemas.microsoft.com/office/drawing/2014/main" id="{7BBBE96C-4066-4128-AC78-1AAF92AE50C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9" name="Host Control  208" hidden="1">
          <a:extLst>
            <a:ext uri="{FF2B5EF4-FFF2-40B4-BE49-F238E27FC236}">
              <a16:creationId xmlns:a16="http://schemas.microsoft.com/office/drawing/2014/main" id="{F7FAB25E-FB7E-4A3B-A9F2-D821B67CB00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0" name="Host Control  209" hidden="1">
          <a:extLst>
            <a:ext uri="{FF2B5EF4-FFF2-40B4-BE49-F238E27FC236}">
              <a16:creationId xmlns:a16="http://schemas.microsoft.com/office/drawing/2014/main" id="{DB529CDB-E307-44D7-89AD-54DCD4EB50C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1" name="Host Control  210" hidden="1">
          <a:extLst>
            <a:ext uri="{FF2B5EF4-FFF2-40B4-BE49-F238E27FC236}">
              <a16:creationId xmlns:a16="http://schemas.microsoft.com/office/drawing/2014/main" id="{65858A3E-2236-4403-BB12-6D9BD43C68A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2" name="Host Control  211" hidden="1">
          <a:extLst>
            <a:ext uri="{FF2B5EF4-FFF2-40B4-BE49-F238E27FC236}">
              <a16:creationId xmlns:a16="http://schemas.microsoft.com/office/drawing/2014/main" id="{C4356892-3437-48A7-ADCF-2954F68A69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3" name="Host Control  212" hidden="1">
          <a:extLst>
            <a:ext uri="{FF2B5EF4-FFF2-40B4-BE49-F238E27FC236}">
              <a16:creationId xmlns:a16="http://schemas.microsoft.com/office/drawing/2014/main" id="{B485CD80-41C4-4D76-BEC5-62FCB2EB317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4" name="Host Control  213" hidden="1">
          <a:extLst>
            <a:ext uri="{FF2B5EF4-FFF2-40B4-BE49-F238E27FC236}">
              <a16:creationId xmlns:a16="http://schemas.microsoft.com/office/drawing/2014/main" id="{38FB4D90-1484-4553-8E7A-091AD4FC7D2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5" name="Host Control  214" hidden="1">
          <a:extLst>
            <a:ext uri="{FF2B5EF4-FFF2-40B4-BE49-F238E27FC236}">
              <a16:creationId xmlns:a16="http://schemas.microsoft.com/office/drawing/2014/main" id="{29FAAF4E-09A1-47C9-8B33-C5E0A698663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6" name="Host Control  215" hidden="1">
          <a:extLst>
            <a:ext uri="{FF2B5EF4-FFF2-40B4-BE49-F238E27FC236}">
              <a16:creationId xmlns:a16="http://schemas.microsoft.com/office/drawing/2014/main" id="{C87A8205-13D3-4901-A12A-7AEF9333C4D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7" name="Host Control  216" hidden="1">
          <a:extLst>
            <a:ext uri="{FF2B5EF4-FFF2-40B4-BE49-F238E27FC236}">
              <a16:creationId xmlns:a16="http://schemas.microsoft.com/office/drawing/2014/main" id="{54068050-B880-46D8-93AF-6C9057A041F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8" name="Host Control  217" hidden="1">
          <a:extLst>
            <a:ext uri="{FF2B5EF4-FFF2-40B4-BE49-F238E27FC236}">
              <a16:creationId xmlns:a16="http://schemas.microsoft.com/office/drawing/2014/main" id="{BBD80ECF-556B-45CE-9BCC-B7B3518A13A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9" name="Host Control  218" hidden="1">
          <a:extLst>
            <a:ext uri="{FF2B5EF4-FFF2-40B4-BE49-F238E27FC236}">
              <a16:creationId xmlns:a16="http://schemas.microsoft.com/office/drawing/2014/main" id="{61AA49B1-6E5F-4635-A1FC-0E57FB0FBE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0" name="Host Control  219" hidden="1">
          <a:extLst>
            <a:ext uri="{FF2B5EF4-FFF2-40B4-BE49-F238E27FC236}">
              <a16:creationId xmlns:a16="http://schemas.microsoft.com/office/drawing/2014/main" id="{C319AB17-9573-4A3C-8B1E-48B695B454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1" name="Host Control  220" hidden="1">
          <a:extLst>
            <a:ext uri="{FF2B5EF4-FFF2-40B4-BE49-F238E27FC236}">
              <a16:creationId xmlns:a16="http://schemas.microsoft.com/office/drawing/2014/main" id="{3ED84B95-376C-45AE-A61A-54769DB9748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2" name="Host Control  221" hidden="1">
          <a:extLst>
            <a:ext uri="{FF2B5EF4-FFF2-40B4-BE49-F238E27FC236}">
              <a16:creationId xmlns:a16="http://schemas.microsoft.com/office/drawing/2014/main" id="{BFDEB82F-78BE-47D4-BDC5-7C0C9C151A1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3" name="Host Control  222" hidden="1">
          <a:extLst>
            <a:ext uri="{FF2B5EF4-FFF2-40B4-BE49-F238E27FC236}">
              <a16:creationId xmlns:a16="http://schemas.microsoft.com/office/drawing/2014/main" id="{4D87ECE4-E1A0-493E-9499-7D2285CCFD4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4" name="Host Control  223" hidden="1">
          <a:extLst>
            <a:ext uri="{FF2B5EF4-FFF2-40B4-BE49-F238E27FC236}">
              <a16:creationId xmlns:a16="http://schemas.microsoft.com/office/drawing/2014/main" id="{373399EA-6992-4A49-912F-A1D34137E4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5" name="Host Control  224" hidden="1">
          <a:extLst>
            <a:ext uri="{FF2B5EF4-FFF2-40B4-BE49-F238E27FC236}">
              <a16:creationId xmlns:a16="http://schemas.microsoft.com/office/drawing/2014/main" id="{71AE53FB-2D32-41F1-BE1D-3C0E010B182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6" name="Host Control  225" hidden="1">
          <a:extLst>
            <a:ext uri="{FF2B5EF4-FFF2-40B4-BE49-F238E27FC236}">
              <a16:creationId xmlns:a16="http://schemas.microsoft.com/office/drawing/2014/main" id="{1A0CC509-AE23-4158-B0E0-EB811E25CF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7" name="Host Control  226" hidden="1">
          <a:extLst>
            <a:ext uri="{FF2B5EF4-FFF2-40B4-BE49-F238E27FC236}">
              <a16:creationId xmlns:a16="http://schemas.microsoft.com/office/drawing/2014/main" id="{4969A7A8-FA05-45CF-9B08-E2E6E1FFDD1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8" name="Host Control  227" hidden="1">
          <a:extLst>
            <a:ext uri="{FF2B5EF4-FFF2-40B4-BE49-F238E27FC236}">
              <a16:creationId xmlns:a16="http://schemas.microsoft.com/office/drawing/2014/main" id="{1D721169-4ECC-4583-94D1-5886E9984D2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9" name="Host Control  228" hidden="1">
          <a:extLst>
            <a:ext uri="{FF2B5EF4-FFF2-40B4-BE49-F238E27FC236}">
              <a16:creationId xmlns:a16="http://schemas.microsoft.com/office/drawing/2014/main" id="{5EBE21B7-DA8A-4BA1-A048-337C4A35E3D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0" name="Host Control  229" hidden="1">
          <a:extLst>
            <a:ext uri="{FF2B5EF4-FFF2-40B4-BE49-F238E27FC236}">
              <a16:creationId xmlns:a16="http://schemas.microsoft.com/office/drawing/2014/main" id="{8928ABE9-D65F-46A6-8F10-24BBBA18DB0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1" name="Host Control  230" hidden="1">
          <a:extLst>
            <a:ext uri="{FF2B5EF4-FFF2-40B4-BE49-F238E27FC236}">
              <a16:creationId xmlns:a16="http://schemas.microsoft.com/office/drawing/2014/main" id="{4C1FC71B-17A5-4955-85D6-2600B90F5D1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2" name="Host Control  234" hidden="1">
          <a:extLst>
            <a:ext uri="{FF2B5EF4-FFF2-40B4-BE49-F238E27FC236}">
              <a16:creationId xmlns:a16="http://schemas.microsoft.com/office/drawing/2014/main" id="{051811EA-A46B-4578-9846-846F5BD662F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3" name="Host Control  235" hidden="1">
          <a:extLst>
            <a:ext uri="{FF2B5EF4-FFF2-40B4-BE49-F238E27FC236}">
              <a16:creationId xmlns:a16="http://schemas.microsoft.com/office/drawing/2014/main" id="{73237C30-DC15-4240-9466-52ACA089DC8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4" name="Host Control  236" hidden="1">
          <a:extLst>
            <a:ext uri="{FF2B5EF4-FFF2-40B4-BE49-F238E27FC236}">
              <a16:creationId xmlns:a16="http://schemas.microsoft.com/office/drawing/2014/main" id="{31C08B2F-0701-4A41-8D32-0005D423868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5" name="Host Control  237" hidden="1">
          <a:extLst>
            <a:ext uri="{FF2B5EF4-FFF2-40B4-BE49-F238E27FC236}">
              <a16:creationId xmlns:a16="http://schemas.microsoft.com/office/drawing/2014/main" id="{AAC2516C-3B43-4AB0-A9E1-25387018AEF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6" name="Host Control  238" hidden="1">
          <a:extLst>
            <a:ext uri="{FF2B5EF4-FFF2-40B4-BE49-F238E27FC236}">
              <a16:creationId xmlns:a16="http://schemas.microsoft.com/office/drawing/2014/main" id="{0A366D7F-6DC7-47AE-86BB-D3243A845D6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7" name="Host Control  239" hidden="1">
          <a:extLst>
            <a:ext uri="{FF2B5EF4-FFF2-40B4-BE49-F238E27FC236}">
              <a16:creationId xmlns:a16="http://schemas.microsoft.com/office/drawing/2014/main" id="{577BA742-23F7-4C2A-9995-D9EB61550F4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8" name="Host Control  240" hidden="1">
          <a:extLst>
            <a:ext uri="{FF2B5EF4-FFF2-40B4-BE49-F238E27FC236}">
              <a16:creationId xmlns:a16="http://schemas.microsoft.com/office/drawing/2014/main" id="{EBC7C5B8-27D1-434E-8344-12C26464C7B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9" name="Host Control  241" hidden="1">
          <a:extLst>
            <a:ext uri="{FF2B5EF4-FFF2-40B4-BE49-F238E27FC236}">
              <a16:creationId xmlns:a16="http://schemas.microsoft.com/office/drawing/2014/main" id="{B2EDD676-BBA0-4C29-8411-BC45ACA0A50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0" name="Host Control  242" hidden="1">
          <a:extLst>
            <a:ext uri="{FF2B5EF4-FFF2-40B4-BE49-F238E27FC236}">
              <a16:creationId xmlns:a16="http://schemas.microsoft.com/office/drawing/2014/main" id="{6BCDB2C6-2556-4A58-AA09-4F7924BFF9F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1" name="Host Control  243" hidden="1">
          <a:extLst>
            <a:ext uri="{FF2B5EF4-FFF2-40B4-BE49-F238E27FC236}">
              <a16:creationId xmlns:a16="http://schemas.microsoft.com/office/drawing/2014/main" id="{9033EDF6-453E-4243-9964-F337E2E8AEF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2" name="Host Control  244" hidden="1">
          <a:extLst>
            <a:ext uri="{FF2B5EF4-FFF2-40B4-BE49-F238E27FC236}">
              <a16:creationId xmlns:a16="http://schemas.microsoft.com/office/drawing/2014/main" id="{59B5F454-C522-4EFD-98A5-66242481ADF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3" name="Host Control  245" hidden="1">
          <a:extLst>
            <a:ext uri="{FF2B5EF4-FFF2-40B4-BE49-F238E27FC236}">
              <a16:creationId xmlns:a16="http://schemas.microsoft.com/office/drawing/2014/main" id="{C9639D83-0E38-4459-BE16-45B9040E00E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4" name="Host Control  246" hidden="1">
          <a:extLst>
            <a:ext uri="{FF2B5EF4-FFF2-40B4-BE49-F238E27FC236}">
              <a16:creationId xmlns:a16="http://schemas.microsoft.com/office/drawing/2014/main" id="{45668B6A-B99E-4961-90FA-9737A686467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5" name="Host Control  247" hidden="1">
          <a:extLst>
            <a:ext uri="{FF2B5EF4-FFF2-40B4-BE49-F238E27FC236}">
              <a16:creationId xmlns:a16="http://schemas.microsoft.com/office/drawing/2014/main" id="{E62E7468-7B46-4E9B-8D0A-BCE71545D42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6" name="Host Control  248" hidden="1">
          <a:extLst>
            <a:ext uri="{FF2B5EF4-FFF2-40B4-BE49-F238E27FC236}">
              <a16:creationId xmlns:a16="http://schemas.microsoft.com/office/drawing/2014/main" id="{14EA7E6B-2E3D-42EB-A5AB-078F82B6095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7" name="Host Control  249" hidden="1">
          <a:extLst>
            <a:ext uri="{FF2B5EF4-FFF2-40B4-BE49-F238E27FC236}">
              <a16:creationId xmlns:a16="http://schemas.microsoft.com/office/drawing/2014/main" id="{D6780A5F-1964-4F43-92DB-EA4307A21DD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8" name="Host Control  250" hidden="1">
          <a:extLst>
            <a:ext uri="{FF2B5EF4-FFF2-40B4-BE49-F238E27FC236}">
              <a16:creationId xmlns:a16="http://schemas.microsoft.com/office/drawing/2014/main" id="{1451C076-B96F-4DC1-9962-99C5EE0D7D0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9" name="Host Control  251" hidden="1">
          <a:extLst>
            <a:ext uri="{FF2B5EF4-FFF2-40B4-BE49-F238E27FC236}">
              <a16:creationId xmlns:a16="http://schemas.microsoft.com/office/drawing/2014/main" id="{3CD1B75E-1AC1-404F-8E34-89EFA22A510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0" name="Host Control  252" hidden="1">
          <a:extLst>
            <a:ext uri="{FF2B5EF4-FFF2-40B4-BE49-F238E27FC236}">
              <a16:creationId xmlns:a16="http://schemas.microsoft.com/office/drawing/2014/main" id="{50E5990B-DF26-4340-9220-1220E112FB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1" name="Host Control  253" hidden="1">
          <a:extLst>
            <a:ext uri="{FF2B5EF4-FFF2-40B4-BE49-F238E27FC236}">
              <a16:creationId xmlns:a16="http://schemas.microsoft.com/office/drawing/2014/main" id="{CC0DD183-910E-4E8A-BB74-1A47C2B2F61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2" name="Host Control  254" hidden="1">
          <a:extLst>
            <a:ext uri="{FF2B5EF4-FFF2-40B4-BE49-F238E27FC236}">
              <a16:creationId xmlns:a16="http://schemas.microsoft.com/office/drawing/2014/main" id="{67393BC8-AB53-4DF5-A2FD-B25AF42C62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3" name="Host Control  255" hidden="1">
          <a:extLst>
            <a:ext uri="{FF2B5EF4-FFF2-40B4-BE49-F238E27FC236}">
              <a16:creationId xmlns:a16="http://schemas.microsoft.com/office/drawing/2014/main" id="{0486E842-36DD-4453-BC3F-F57883A595E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4" name="Host Control  256" hidden="1">
          <a:extLst>
            <a:ext uri="{FF2B5EF4-FFF2-40B4-BE49-F238E27FC236}">
              <a16:creationId xmlns:a16="http://schemas.microsoft.com/office/drawing/2014/main" id="{685320E1-AA0F-4E23-A13B-D06825207C4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5" name="Host Control  257" hidden="1">
          <a:extLst>
            <a:ext uri="{FF2B5EF4-FFF2-40B4-BE49-F238E27FC236}">
              <a16:creationId xmlns:a16="http://schemas.microsoft.com/office/drawing/2014/main" id="{2371FC3D-0BCE-4928-A652-C329614D0F9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6" name="Host Control  258" hidden="1">
          <a:extLst>
            <a:ext uri="{FF2B5EF4-FFF2-40B4-BE49-F238E27FC236}">
              <a16:creationId xmlns:a16="http://schemas.microsoft.com/office/drawing/2014/main" id="{5E35D8AD-ADD4-4765-A051-0C641A24F0A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7" name="Host Control  259" hidden="1">
          <a:extLst>
            <a:ext uri="{FF2B5EF4-FFF2-40B4-BE49-F238E27FC236}">
              <a16:creationId xmlns:a16="http://schemas.microsoft.com/office/drawing/2014/main" id="{72E99DE3-D858-47D8-9809-B2F68F8C6FA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8" name="Host Control  260" hidden="1">
          <a:extLst>
            <a:ext uri="{FF2B5EF4-FFF2-40B4-BE49-F238E27FC236}">
              <a16:creationId xmlns:a16="http://schemas.microsoft.com/office/drawing/2014/main" id="{08A3E31D-7FFA-4A62-AF97-815FECCA50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9" name="Host Control  261" hidden="1">
          <a:extLst>
            <a:ext uri="{FF2B5EF4-FFF2-40B4-BE49-F238E27FC236}">
              <a16:creationId xmlns:a16="http://schemas.microsoft.com/office/drawing/2014/main" id="{B99DE567-4552-4DE4-B6B4-68A7A2C967C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0" name="Host Control  262" hidden="1">
          <a:extLst>
            <a:ext uri="{FF2B5EF4-FFF2-40B4-BE49-F238E27FC236}">
              <a16:creationId xmlns:a16="http://schemas.microsoft.com/office/drawing/2014/main" id="{D0701C2A-5E60-4DD7-8CDD-015171C4E6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1" name="Host Control  263" hidden="1">
          <a:extLst>
            <a:ext uri="{FF2B5EF4-FFF2-40B4-BE49-F238E27FC236}">
              <a16:creationId xmlns:a16="http://schemas.microsoft.com/office/drawing/2014/main" id="{EA0032E2-BE9C-4B4F-BED6-9E4BE67C031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2" name="Host Control  267" hidden="1">
          <a:extLst>
            <a:ext uri="{FF2B5EF4-FFF2-40B4-BE49-F238E27FC236}">
              <a16:creationId xmlns:a16="http://schemas.microsoft.com/office/drawing/2014/main" id="{6F1F5E3A-ADFB-49C9-A440-9802A048D48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3" name="Host Control  268" hidden="1">
          <a:extLst>
            <a:ext uri="{FF2B5EF4-FFF2-40B4-BE49-F238E27FC236}">
              <a16:creationId xmlns:a16="http://schemas.microsoft.com/office/drawing/2014/main" id="{D990E911-AA19-4752-AA71-427FF990F4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4" name="Host Control  269" hidden="1">
          <a:extLst>
            <a:ext uri="{FF2B5EF4-FFF2-40B4-BE49-F238E27FC236}">
              <a16:creationId xmlns:a16="http://schemas.microsoft.com/office/drawing/2014/main" id="{65993EF3-B313-42AE-9953-030A0BB43B1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5" name="Host Control  270" hidden="1">
          <a:extLst>
            <a:ext uri="{FF2B5EF4-FFF2-40B4-BE49-F238E27FC236}">
              <a16:creationId xmlns:a16="http://schemas.microsoft.com/office/drawing/2014/main" id="{B9DA9185-24D5-441D-84D4-404623641AD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6" name="Host Control  271" hidden="1">
          <a:extLst>
            <a:ext uri="{FF2B5EF4-FFF2-40B4-BE49-F238E27FC236}">
              <a16:creationId xmlns:a16="http://schemas.microsoft.com/office/drawing/2014/main" id="{13346654-C5F7-4323-A7BA-21AEB51DC72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7" name="Host Control  272" hidden="1">
          <a:extLst>
            <a:ext uri="{FF2B5EF4-FFF2-40B4-BE49-F238E27FC236}">
              <a16:creationId xmlns:a16="http://schemas.microsoft.com/office/drawing/2014/main" id="{ABC0EA2D-929E-4ABE-BA20-B112F80817E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8" name="Host Control  273" hidden="1">
          <a:extLst>
            <a:ext uri="{FF2B5EF4-FFF2-40B4-BE49-F238E27FC236}">
              <a16:creationId xmlns:a16="http://schemas.microsoft.com/office/drawing/2014/main" id="{40F8A507-4792-4531-AD33-4F33447DBEA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9" name="Host Control  274" hidden="1">
          <a:extLst>
            <a:ext uri="{FF2B5EF4-FFF2-40B4-BE49-F238E27FC236}">
              <a16:creationId xmlns:a16="http://schemas.microsoft.com/office/drawing/2014/main" id="{91031EE6-51BC-4E41-B598-B2BAFF343D4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0" name="Host Control  275" hidden="1">
          <a:extLst>
            <a:ext uri="{FF2B5EF4-FFF2-40B4-BE49-F238E27FC236}">
              <a16:creationId xmlns:a16="http://schemas.microsoft.com/office/drawing/2014/main" id="{D5ACE7F4-0CDC-4C35-A0D1-4DE22A3FD2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1" name="Host Control  276" hidden="1">
          <a:extLst>
            <a:ext uri="{FF2B5EF4-FFF2-40B4-BE49-F238E27FC236}">
              <a16:creationId xmlns:a16="http://schemas.microsoft.com/office/drawing/2014/main" id="{81A7202B-AF82-4BBD-9B3E-19466468F84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2" name="Host Control  277" hidden="1">
          <a:extLst>
            <a:ext uri="{FF2B5EF4-FFF2-40B4-BE49-F238E27FC236}">
              <a16:creationId xmlns:a16="http://schemas.microsoft.com/office/drawing/2014/main" id="{B8BDA183-F197-47C5-BD4F-2E4271ADA50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3" name="Host Control  278" hidden="1">
          <a:extLst>
            <a:ext uri="{FF2B5EF4-FFF2-40B4-BE49-F238E27FC236}">
              <a16:creationId xmlns:a16="http://schemas.microsoft.com/office/drawing/2014/main" id="{739F98E0-1088-40E7-BAAF-C54EEC79580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4" name="Host Control  279" hidden="1">
          <a:extLst>
            <a:ext uri="{FF2B5EF4-FFF2-40B4-BE49-F238E27FC236}">
              <a16:creationId xmlns:a16="http://schemas.microsoft.com/office/drawing/2014/main" id="{62473157-AC48-4F51-9F74-7C160D73DC1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5" name="Host Control  280" hidden="1">
          <a:extLst>
            <a:ext uri="{FF2B5EF4-FFF2-40B4-BE49-F238E27FC236}">
              <a16:creationId xmlns:a16="http://schemas.microsoft.com/office/drawing/2014/main" id="{7C2395C8-0E51-4275-A2CA-EB8E535F7DF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6" name="Host Control  281" hidden="1">
          <a:extLst>
            <a:ext uri="{FF2B5EF4-FFF2-40B4-BE49-F238E27FC236}">
              <a16:creationId xmlns:a16="http://schemas.microsoft.com/office/drawing/2014/main" id="{D9999610-6604-402E-BA9A-E76F06A11C6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7" name="Host Control  282" hidden="1">
          <a:extLst>
            <a:ext uri="{FF2B5EF4-FFF2-40B4-BE49-F238E27FC236}">
              <a16:creationId xmlns:a16="http://schemas.microsoft.com/office/drawing/2014/main" id="{F9477D11-4935-42E7-9AAA-6C4A509A79A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8" name="Host Control  283" hidden="1">
          <a:extLst>
            <a:ext uri="{FF2B5EF4-FFF2-40B4-BE49-F238E27FC236}">
              <a16:creationId xmlns:a16="http://schemas.microsoft.com/office/drawing/2014/main" id="{ADFE3737-8DF2-4AC5-B5B8-98BC9CE59CB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9" name="Host Control  284" hidden="1">
          <a:extLst>
            <a:ext uri="{FF2B5EF4-FFF2-40B4-BE49-F238E27FC236}">
              <a16:creationId xmlns:a16="http://schemas.microsoft.com/office/drawing/2014/main" id="{48B9770A-1B0D-4545-BDCC-41472B45376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0" name="Host Control  285" hidden="1">
          <a:extLst>
            <a:ext uri="{FF2B5EF4-FFF2-40B4-BE49-F238E27FC236}">
              <a16:creationId xmlns:a16="http://schemas.microsoft.com/office/drawing/2014/main" id="{C06C48F9-65B8-4E52-AC64-8B63A97338E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1" name="Host Control  286" hidden="1">
          <a:extLst>
            <a:ext uri="{FF2B5EF4-FFF2-40B4-BE49-F238E27FC236}">
              <a16:creationId xmlns:a16="http://schemas.microsoft.com/office/drawing/2014/main" id="{ACC9B86B-9B35-4343-8BDF-C23EF678B84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2" name="Host Control  287" hidden="1">
          <a:extLst>
            <a:ext uri="{FF2B5EF4-FFF2-40B4-BE49-F238E27FC236}">
              <a16:creationId xmlns:a16="http://schemas.microsoft.com/office/drawing/2014/main" id="{E9FB512D-E961-4B5E-92A8-EC855E331E5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3" name="Host Control  288" hidden="1">
          <a:extLst>
            <a:ext uri="{FF2B5EF4-FFF2-40B4-BE49-F238E27FC236}">
              <a16:creationId xmlns:a16="http://schemas.microsoft.com/office/drawing/2014/main" id="{E16CCB17-8BDC-473C-B313-1F2B1E9E507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4" name="Host Control  289" hidden="1">
          <a:extLst>
            <a:ext uri="{FF2B5EF4-FFF2-40B4-BE49-F238E27FC236}">
              <a16:creationId xmlns:a16="http://schemas.microsoft.com/office/drawing/2014/main" id="{5B99BE50-7DAA-4F0C-8AC1-250AF7FFE1D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5" name="Host Control  290" hidden="1">
          <a:extLst>
            <a:ext uri="{FF2B5EF4-FFF2-40B4-BE49-F238E27FC236}">
              <a16:creationId xmlns:a16="http://schemas.microsoft.com/office/drawing/2014/main" id="{302958C5-37AC-4F04-B9F0-5F0876C1689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6" name="Host Control  291" hidden="1">
          <a:extLst>
            <a:ext uri="{FF2B5EF4-FFF2-40B4-BE49-F238E27FC236}">
              <a16:creationId xmlns:a16="http://schemas.microsoft.com/office/drawing/2014/main" id="{2BC8D775-DDA0-4340-9A8C-85980290EA6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7" name="Host Control  292" hidden="1">
          <a:extLst>
            <a:ext uri="{FF2B5EF4-FFF2-40B4-BE49-F238E27FC236}">
              <a16:creationId xmlns:a16="http://schemas.microsoft.com/office/drawing/2014/main" id="{F120D802-F631-432B-AA18-1535936183B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8" name="Host Control  293" hidden="1">
          <a:extLst>
            <a:ext uri="{FF2B5EF4-FFF2-40B4-BE49-F238E27FC236}">
              <a16:creationId xmlns:a16="http://schemas.microsoft.com/office/drawing/2014/main" id="{42AC1BB1-FC78-430D-BC74-CA58C6571A3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9" name="Host Control  294" hidden="1">
          <a:extLst>
            <a:ext uri="{FF2B5EF4-FFF2-40B4-BE49-F238E27FC236}">
              <a16:creationId xmlns:a16="http://schemas.microsoft.com/office/drawing/2014/main" id="{931182CB-D3FC-444D-B578-C49CEB87CFA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0" name="Host Control  295" hidden="1">
          <a:extLst>
            <a:ext uri="{FF2B5EF4-FFF2-40B4-BE49-F238E27FC236}">
              <a16:creationId xmlns:a16="http://schemas.microsoft.com/office/drawing/2014/main" id="{B2982FD7-5764-4C31-A8E2-7E6B92A622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1" name="Host Control  296" hidden="1">
          <a:extLst>
            <a:ext uri="{FF2B5EF4-FFF2-40B4-BE49-F238E27FC236}">
              <a16:creationId xmlns:a16="http://schemas.microsoft.com/office/drawing/2014/main" id="{E30279C7-CB52-4801-A598-9E9ABA318A6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2" name="Host Control  32">
          <a:extLst>
            <a:ext uri="{FF2B5EF4-FFF2-40B4-BE49-F238E27FC236}">
              <a16:creationId xmlns:a16="http://schemas.microsoft.com/office/drawing/2014/main" id="{D5D6F24F-A259-47D7-B83A-60318663AA0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3" name="Host Control  33">
          <a:extLst>
            <a:ext uri="{FF2B5EF4-FFF2-40B4-BE49-F238E27FC236}">
              <a16:creationId xmlns:a16="http://schemas.microsoft.com/office/drawing/2014/main" id="{7ECE9F08-C041-4D23-8E70-93C6C7D6ED6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4" name="Host Control  34">
          <a:extLst>
            <a:ext uri="{FF2B5EF4-FFF2-40B4-BE49-F238E27FC236}">
              <a16:creationId xmlns:a16="http://schemas.microsoft.com/office/drawing/2014/main" id="{73FF30C1-CA11-4DB5-8B54-74B49CD861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5" name="Host Control  35">
          <a:extLst>
            <a:ext uri="{FF2B5EF4-FFF2-40B4-BE49-F238E27FC236}">
              <a16:creationId xmlns:a16="http://schemas.microsoft.com/office/drawing/2014/main" id="{FC4F68A2-FCE3-46E5-A724-1DA370DC575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6" name="Host Control  36">
          <a:extLst>
            <a:ext uri="{FF2B5EF4-FFF2-40B4-BE49-F238E27FC236}">
              <a16:creationId xmlns:a16="http://schemas.microsoft.com/office/drawing/2014/main" id="{F324B104-C149-442C-957D-9E15F7643B8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7" name="Host Control  37">
          <a:extLst>
            <a:ext uri="{FF2B5EF4-FFF2-40B4-BE49-F238E27FC236}">
              <a16:creationId xmlns:a16="http://schemas.microsoft.com/office/drawing/2014/main" id="{47D09E68-27A3-4BD6-AAF6-A97C7588199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8" name="Host Control  38">
          <a:extLst>
            <a:ext uri="{FF2B5EF4-FFF2-40B4-BE49-F238E27FC236}">
              <a16:creationId xmlns:a16="http://schemas.microsoft.com/office/drawing/2014/main" id="{057A36D3-9FEA-4ADF-88A6-EFE76DC7C74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9" name="Host Control  39">
          <a:extLst>
            <a:ext uri="{FF2B5EF4-FFF2-40B4-BE49-F238E27FC236}">
              <a16:creationId xmlns:a16="http://schemas.microsoft.com/office/drawing/2014/main" id="{DCBA3097-53B9-4791-B1EF-D2B46F77158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0" name="Host Control  40">
          <a:extLst>
            <a:ext uri="{FF2B5EF4-FFF2-40B4-BE49-F238E27FC236}">
              <a16:creationId xmlns:a16="http://schemas.microsoft.com/office/drawing/2014/main" id="{3B7CA6F2-90EC-453E-A7DB-DF398F5630E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1" name="Host Control  41">
          <a:extLst>
            <a:ext uri="{FF2B5EF4-FFF2-40B4-BE49-F238E27FC236}">
              <a16:creationId xmlns:a16="http://schemas.microsoft.com/office/drawing/2014/main" id="{76938999-A5E8-482A-8AAF-80C0FD91024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2" name="Host Control  42">
          <a:extLst>
            <a:ext uri="{FF2B5EF4-FFF2-40B4-BE49-F238E27FC236}">
              <a16:creationId xmlns:a16="http://schemas.microsoft.com/office/drawing/2014/main" id="{4BD71545-3959-4B10-BD66-BFCF7C8A282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3" name="Host Control  43">
          <a:extLst>
            <a:ext uri="{FF2B5EF4-FFF2-40B4-BE49-F238E27FC236}">
              <a16:creationId xmlns:a16="http://schemas.microsoft.com/office/drawing/2014/main" id="{ADA3BCDC-E263-4D09-BCAC-0811BCD36C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4" name="Host Control  44">
          <a:extLst>
            <a:ext uri="{FF2B5EF4-FFF2-40B4-BE49-F238E27FC236}">
              <a16:creationId xmlns:a16="http://schemas.microsoft.com/office/drawing/2014/main" id="{1039B72B-49C8-437E-A7FB-6A7A35B554C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5" name="Host Control  45">
          <a:extLst>
            <a:ext uri="{FF2B5EF4-FFF2-40B4-BE49-F238E27FC236}">
              <a16:creationId xmlns:a16="http://schemas.microsoft.com/office/drawing/2014/main" id="{CAAF600D-BE8D-40FC-AC49-C5C3E0B0EEC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6" name="Host Control  46">
          <a:extLst>
            <a:ext uri="{FF2B5EF4-FFF2-40B4-BE49-F238E27FC236}">
              <a16:creationId xmlns:a16="http://schemas.microsoft.com/office/drawing/2014/main" id="{D901193C-D739-4F44-A82E-28EFD06A8C8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7" name="Host Control  47">
          <a:extLst>
            <a:ext uri="{FF2B5EF4-FFF2-40B4-BE49-F238E27FC236}">
              <a16:creationId xmlns:a16="http://schemas.microsoft.com/office/drawing/2014/main" id="{F828AC8E-D8B3-45F0-8DD3-5B470500A67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8" name="Host Control  48">
          <a:extLst>
            <a:ext uri="{FF2B5EF4-FFF2-40B4-BE49-F238E27FC236}">
              <a16:creationId xmlns:a16="http://schemas.microsoft.com/office/drawing/2014/main" id="{50450C0D-00C0-43F0-9D46-40B3813378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9" name="Host Control  49">
          <a:extLst>
            <a:ext uri="{FF2B5EF4-FFF2-40B4-BE49-F238E27FC236}">
              <a16:creationId xmlns:a16="http://schemas.microsoft.com/office/drawing/2014/main" id="{69F8D79E-7FF2-4959-90AC-A8C97ECE488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0" name="Host Control  50">
          <a:extLst>
            <a:ext uri="{FF2B5EF4-FFF2-40B4-BE49-F238E27FC236}">
              <a16:creationId xmlns:a16="http://schemas.microsoft.com/office/drawing/2014/main" id="{950719CF-CE5B-40D6-A938-D6222254B54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1" name="Host Control  51">
          <a:extLst>
            <a:ext uri="{FF2B5EF4-FFF2-40B4-BE49-F238E27FC236}">
              <a16:creationId xmlns:a16="http://schemas.microsoft.com/office/drawing/2014/main" id="{B721E691-8580-46DC-A88C-72A3474B4D1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2" name="Host Control  52">
          <a:extLst>
            <a:ext uri="{FF2B5EF4-FFF2-40B4-BE49-F238E27FC236}">
              <a16:creationId xmlns:a16="http://schemas.microsoft.com/office/drawing/2014/main" id="{4DBE88E5-800F-4749-8103-4F69B2F4E4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3" name="Host Control  53">
          <a:extLst>
            <a:ext uri="{FF2B5EF4-FFF2-40B4-BE49-F238E27FC236}">
              <a16:creationId xmlns:a16="http://schemas.microsoft.com/office/drawing/2014/main" id="{EDD11787-AAC3-44EB-98B8-B650C2816A9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4" name="Host Control  54">
          <a:extLst>
            <a:ext uri="{FF2B5EF4-FFF2-40B4-BE49-F238E27FC236}">
              <a16:creationId xmlns:a16="http://schemas.microsoft.com/office/drawing/2014/main" id="{478D938B-2C7D-4DB0-8A33-032E132B905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5" name="Host Control  55">
          <a:extLst>
            <a:ext uri="{FF2B5EF4-FFF2-40B4-BE49-F238E27FC236}">
              <a16:creationId xmlns:a16="http://schemas.microsoft.com/office/drawing/2014/main" id="{8BF26FE1-7B6A-4C95-8949-7E76E448DD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6" name="Host Control  56">
          <a:extLst>
            <a:ext uri="{FF2B5EF4-FFF2-40B4-BE49-F238E27FC236}">
              <a16:creationId xmlns:a16="http://schemas.microsoft.com/office/drawing/2014/main" id="{D9726614-8CA6-415B-998C-5DCC92E8CEB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7" name="Host Control  57">
          <a:extLst>
            <a:ext uri="{FF2B5EF4-FFF2-40B4-BE49-F238E27FC236}">
              <a16:creationId xmlns:a16="http://schemas.microsoft.com/office/drawing/2014/main" id="{628907A6-8042-4596-8D42-B43978C8202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8" name="Host Control  58">
          <a:extLst>
            <a:ext uri="{FF2B5EF4-FFF2-40B4-BE49-F238E27FC236}">
              <a16:creationId xmlns:a16="http://schemas.microsoft.com/office/drawing/2014/main" id="{2C050DE8-0073-4BDE-A7A6-ABB04CB4463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9" name="Host Control  59">
          <a:extLst>
            <a:ext uri="{FF2B5EF4-FFF2-40B4-BE49-F238E27FC236}">
              <a16:creationId xmlns:a16="http://schemas.microsoft.com/office/drawing/2014/main" id="{B23EFB59-8805-4017-915C-D19CA7FCDB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0" name="Host Control  60">
          <a:extLst>
            <a:ext uri="{FF2B5EF4-FFF2-40B4-BE49-F238E27FC236}">
              <a16:creationId xmlns:a16="http://schemas.microsoft.com/office/drawing/2014/main" id="{B2146696-137A-4938-AAAE-EB38D06CFA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1" name="Host Control  61">
          <a:extLst>
            <a:ext uri="{FF2B5EF4-FFF2-40B4-BE49-F238E27FC236}">
              <a16:creationId xmlns:a16="http://schemas.microsoft.com/office/drawing/2014/main" id="{802A6D08-DDB8-4E89-A5AB-5FEBA3EA1DF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2" name="Host Control  65">
          <a:extLst>
            <a:ext uri="{FF2B5EF4-FFF2-40B4-BE49-F238E27FC236}">
              <a16:creationId xmlns:a16="http://schemas.microsoft.com/office/drawing/2014/main" id="{ABF0A12D-5B6F-455E-9BEB-B591C7EA5E1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3" name="Host Control  66">
          <a:extLst>
            <a:ext uri="{FF2B5EF4-FFF2-40B4-BE49-F238E27FC236}">
              <a16:creationId xmlns:a16="http://schemas.microsoft.com/office/drawing/2014/main" id="{1F1AD264-4D6F-47E2-8765-9BA570283A8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4" name="Host Control  67">
          <a:extLst>
            <a:ext uri="{FF2B5EF4-FFF2-40B4-BE49-F238E27FC236}">
              <a16:creationId xmlns:a16="http://schemas.microsoft.com/office/drawing/2014/main" id="{331F98F8-B382-4763-9C6D-CF45CA75503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5" name="Host Control  68">
          <a:extLst>
            <a:ext uri="{FF2B5EF4-FFF2-40B4-BE49-F238E27FC236}">
              <a16:creationId xmlns:a16="http://schemas.microsoft.com/office/drawing/2014/main" id="{8811F0BD-4993-4018-8753-E1FA40DFCA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6" name="Host Control  69">
          <a:extLst>
            <a:ext uri="{FF2B5EF4-FFF2-40B4-BE49-F238E27FC236}">
              <a16:creationId xmlns:a16="http://schemas.microsoft.com/office/drawing/2014/main" id="{FFBB5919-1F84-46EC-B765-808E8CE4910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7" name="Host Control  70">
          <a:extLst>
            <a:ext uri="{FF2B5EF4-FFF2-40B4-BE49-F238E27FC236}">
              <a16:creationId xmlns:a16="http://schemas.microsoft.com/office/drawing/2014/main" id="{0713B9EE-B5E0-45EE-BA21-09A8C1F8933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8" name="Host Control  71">
          <a:extLst>
            <a:ext uri="{FF2B5EF4-FFF2-40B4-BE49-F238E27FC236}">
              <a16:creationId xmlns:a16="http://schemas.microsoft.com/office/drawing/2014/main" id="{2BACA377-DB4A-46C8-AFE6-E060D0BB1AD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9" name="Host Control  72">
          <a:extLst>
            <a:ext uri="{FF2B5EF4-FFF2-40B4-BE49-F238E27FC236}">
              <a16:creationId xmlns:a16="http://schemas.microsoft.com/office/drawing/2014/main" id="{3090D2E9-E436-4DF5-81A4-3FDCD86EFA7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0" name="Host Control  73">
          <a:extLst>
            <a:ext uri="{FF2B5EF4-FFF2-40B4-BE49-F238E27FC236}">
              <a16:creationId xmlns:a16="http://schemas.microsoft.com/office/drawing/2014/main" id="{FA3420B2-BAAC-4820-8BE1-43A6BB75F1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1" name="Host Control  74">
          <a:extLst>
            <a:ext uri="{FF2B5EF4-FFF2-40B4-BE49-F238E27FC236}">
              <a16:creationId xmlns:a16="http://schemas.microsoft.com/office/drawing/2014/main" id="{60BEE7FF-02E6-45BE-ABE7-E60037A741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2" name="Host Control  75">
          <a:extLst>
            <a:ext uri="{FF2B5EF4-FFF2-40B4-BE49-F238E27FC236}">
              <a16:creationId xmlns:a16="http://schemas.microsoft.com/office/drawing/2014/main" id="{6523A967-9F88-498F-8118-1FB3EBC77A8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3" name="Host Control  76">
          <a:extLst>
            <a:ext uri="{FF2B5EF4-FFF2-40B4-BE49-F238E27FC236}">
              <a16:creationId xmlns:a16="http://schemas.microsoft.com/office/drawing/2014/main" id="{58FE64B5-2217-4C75-B2DB-C69358476D4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4" name="Host Control  77">
          <a:extLst>
            <a:ext uri="{FF2B5EF4-FFF2-40B4-BE49-F238E27FC236}">
              <a16:creationId xmlns:a16="http://schemas.microsoft.com/office/drawing/2014/main" id="{F242EB65-1158-4D70-AA1B-803AA8BCF9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5" name="Host Control  78">
          <a:extLst>
            <a:ext uri="{FF2B5EF4-FFF2-40B4-BE49-F238E27FC236}">
              <a16:creationId xmlns:a16="http://schemas.microsoft.com/office/drawing/2014/main" id="{03F57189-BF6F-412F-9293-75A5C1C22D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6" name="Host Control  79">
          <a:extLst>
            <a:ext uri="{FF2B5EF4-FFF2-40B4-BE49-F238E27FC236}">
              <a16:creationId xmlns:a16="http://schemas.microsoft.com/office/drawing/2014/main" id="{5CFF1B32-8CDE-4D89-ADD6-F8180F4B523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7" name="Host Control  80">
          <a:extLst>
            <a:ext uri="{FF2B5EF4-FFF2-40B4-BE49-F238E27FC236}">
              <a16:creationId xmlns:a16="http://schemas.microsoft.com/office/drawing/2014/main" id="{1CC6CF45-6B8B-44D5-BBEF-80060201D19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8" name="Host Control  81">
          <a:extLst>
            <a:ext uri="{FF2B5EF4-FFF2-40B4-BE49-F238E27FC236}">
              <a16:creationId xmlns:a16="http://schemas.microsoft.com/office/drawing/2014/main" id="{B383B903-556E-4FA3-95E6-74F6A2B4413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9" name="Host Control  82">
          <a:extLst>
            <a:ext uri="{FF2B5EF4-FFF2-40B4-BE49-F238E27FC236}">
              <a16:creationId xmlns:a16="http://schemas.microsoft.com/office/drawing/2014/main" id="{30D34322-0CEC-41FF-844D-5CF8B7D6811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0" name="Host Control  83">
          <a:extLst>
            <a:ext uri="{FF2B5EF4-FFF2-40B4-BE49-F238E27FC236}">
              <a16:creationId xmlns:a16="http://schemas.microsoft.com/office/drawing/2014/main" id="{2DCDADE7-D6F6-4D08-B1AA-58B5653E14C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1" name="Host Control  84">
          <a:extLst>
            <a:ext uri="{FF2B5EF4-FFF2-40B4-BE49-F238E27FC236}">
              <a16:creationId xmlns:a16="http://schemas.microsoft.com/office/drawing/2014/main" id="{85761B39-D76B-44F5-B2DB-A41A2E5FD4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2" name="Host Control  85">
          <a:extLst>
            <a:ext uri="{FF2B5EF4-FFF2-40B4-BE49-F238E27FC236}">
              <a16:creationId xmlns:a16="http://schemas.microsoft.com/office/drawing/2014/main" id="{F5BEDDFC-B339-472A-895F-4BCBA3A740E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3" name="Host Control  86">
          <a:extLst>
            <a:ext uri="{FF2B5EF4-FFF2-40B4-BE49-F238E27FC236}">
              <a16:creationId xmlns:a16="http://schemas.microsoft.com/office/drawing/2014/main" id="{48AB9F75-C936-4557-91AE-8B0906AA4AE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4" name="Host Control  87">
          <a:extLst>
            <a:ext uri="{FF2B5EF4-FFF2-40B4-BE49-F238E27FC236}">
              <a16:creationId xmlns:a16="http://schemas.microsoft.com/office/drawing/2014/main" id="{5ADAD686-DAA1-4DAE-9464-1326714C4F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5" name="Host Control  88">
          <a:extLst>
            <a:ext uri="{FF2B5EF4-FFF2-40B4-BE49-F238E27FC236}">
              <a16:creationId xmlns:a16="http://schemas.microsoft.com/office/drawing/2014/main" id="{5AF2D2C5-14A0-4D69-A1E2-FC675832547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6" name="Host Control  89">
          <a:extLst>
            <a:ext uri="{FF2B5EF4-FFF2-40B4-BE49-F238E27FC236}">
              <a16:creationId xmlns:a16="http://schemas.microsoft.com/office/drawing/2014/main" id="{8CA53D19-6B1D-4B2C-BD9A-50B98C1AF3B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7" name="Host Control  90">
          <a:extLst>
            <a:ext uri="{FF2B5EF4-FFF2-40B4-BE49-F238E27FC236}">
              <a16:creationId xmlns:a16="http://schemas.microsoft.com/office/drawing/2014/main" id="{45BF7659-0E01-485E-A686-BFFCAC703E2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8" name="Host Control  91">
          <a:extLst>
            <a:ext uri="{FF2B5EF4-FFF2-40B4-BE49-F238E27FC236}">
              <a16:creationId xmlns:a16="http://schemas.microsoft.com/office/drawing/2014/main" id="{B1ACCD18-1ED4-4F9B-9455-ABD3560A266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9" name="Host Control  92">
          <a:extLst>
            <a:ext uri="{FF2B5EF4-FFF2-40B4-BE49-F238E27FC236}">
              <a16:creationId xmlns:a16="http://schemas.microsoft.com/office/drawing/2014/main" id="{A6967780-0915-4F2F-95FD-E79BF2673F4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0" name="Host Control  93">
          <a:extLst>
            <a:ext uri="{FF2B5EF4-FFF2-40B4-BE49-F238E27FC236}">
              <a16:creationId xmlns:a16="http://schemas.microsoft.com/office/drawing/2014/main" id="{AD5934A1-FA25-4008-A446-EEDE8B9CF6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1" name="Host Control  94">
          <a:extLst>
            <a:ext uri="{FF2B5EF4-FFF2-40B4-BE49-F238E27FC236}">
              <a16:creationId xmlns:a16="http://schemas.microsoft.com/office/drawing/2014/main" id="{EE42F83F-A3A8-4819-BC52-BA1A4100EE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2" name="Host Control  98">
          <a:extLst>
            <a:ext uri="{FF2B5EF4-FFF2-40B4-BE49-F238E27FC236}">
              <a16:creationId xmlns:a16="http://schemas.microsoft.com/office/drawing/2014/main" id="{0E3BCB61-1596-45DF-8D38-1FF63B36743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3" name="Host Control  99">
          <a:extLst>
            <a:ext uri="{FF2B5EF4-FFF2-40B4-BE49-F238E27FC236}">
              <a16:creationId xmlns:a16="http://schemas.microsoft.com/office/drawing/2014/main" id="{9AB2CD89-A9DB-4E62-979D-BBA68FDC6D2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4" name="Host Control  100">
          <a:extLst>
            <a:ext uri="{FF2B5EF4-FFF2-40B4-BE49-F238E27FC236}">
              <a16:creationId xmlns:a16="http://schemas.microsoft.com/office/drawing/2014/main" id="{34B6A870-E198-49BF-85A7-E4EF7B658F7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5" name="Host Control  101">
          <a:extLst>
            <a:ext uri="{FF2B5EF4-FFF2-40B4-BE49-F238E27FC236}">
              <a16:creationId xmlns:a16="http://schemas.microsoft.com/office/drawing/2014/main" id="{CE393EB8-0F50-4539-AC32-C653A88019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6" name="Host Control  102">
          <a:extLst>
            <a:ext uri="{FF2B5EF4-FFF2-40B4-BE49-F238E27FC236}">
              <a16:creationId xmlns:a16="http://schemas.microsoft.com/office/drawing/2014/main" id="{3461CAA4-1FBD-47B0-BF73-653B0798EC7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7" name="Host Control  103">
          <a:extLst>
            <a:ext uri="{FF2B5EF4-FFF2-40B4-BE49-F238E27FC236}">
              <a16:creationId xmlns:a16="http://schemas.microsoft.com/office/drawing/2014/main" id="{FD0EF718-D717-4C87-B209-D03B52A44B9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8" name="Host Control  104">
          <a:extLst>
            <a:ext uri="{FF2B5EF4-FFF2-40B4-BE49-F238E27FC236}">
              <a16:creationId xmlns:a16="http://schemas.microsoft.com/office/drawing/2014/main" id="{70D7CD72-EA7C-433B-BB19-5965BFC37B4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9" name="Host Control  105">
          <a:extLst>
            <a:ext uri="{FF2B5EF4-FFF2-40B4-BE49-F238E27FC236}">
              <a16:creationId xmlns:a16="http://schemas.microsoft.com/office/drawing/2014/main" id="{CD0CF986-4452-44C1-8733-E48491F8099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0" name="Host Control  106">
          <a:extLst>
            <a:ext uri="{FF2B5EF4-FFF2-40B4-BE49-F238E27FC236}">
              <a16:creationId xmlns:a16="http://schemas.microsoft.com/office/drawing/2014/main" id="{DDB1AB77-3BC0-42F2-8B02-66027594EE8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1" name="Host Control  107">
          <a:extLst>
            <a:ext uri="{FF2B5EF4-FFF2-40B4-BE49-F238E27FC236}">
              <a16:creationId xmlns:a16="http://schemas.microsoft.com/office/drawing/2014/main" id="{69474BA8-65AA-4E30-881B-7D58EB9AE50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2" name="Host Control  108">
          <a:extLst>
            <a:ext uri="{FF2B5EF4-FFF2-40B4-BE49-F238E27FC236}">
              <a16:creationId xmlns:a16="http://schemas.microsoft.com/office/drawing/2014/main" id="{4C57799C-BA94-438D-9037-E6CCCD3C37F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3" name="Host Control  109">
          <a:extLst>
            <a:ext uri="{FF2B5EF4-FFF2-40B4-BE49-F238E27FC236}">
              <a16:creationId xmlns:a16="http://schemas.microsoft.com/office/drawing/2014/main" id="{36051D55-5B2D-4E14-AFA1-FF960CC9572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4" name="Host Control  110">
          <a:extLst>
            <a:ext uri="{FF2B5EF4-FFF2-40B4-BE49-F238E27FC236}">
              <a16:creationId xmlns:a16="http://schemas.microsoft.com/office/drawing/2014/main" id="{04828310-54C9-4477-AE60-5084434E41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5" name="Host Control  111">
          <a:extLst>
            <a:ext uri="{FF2B5EF4-FFF2-40B4-BE49-F238E27FC236}">
              <a16:creationId xmlns:a16="http://schemas.microsoft.com/office/drawing/2014/main" id="{47D9F811-2558-4B34-A4A1-17792868BBE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6" name="Host Control  112">
          <a:extLst>
            <a:ext uri="{FF2B5EF4-FFF2-40B4-BE49-F238E27FC236}">
              <a16:creationId xmlns:a16="http://schemas.microsoft.com/office/drawing/2014/main" id="{7F569E9E-CB24-4505-A814-2304F2AAC0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7" name="Host Control  113">
          <a:extLst>
            <a:ext uri="{FF2B5EF4-FFF2-40B4-BE49-F238E27FC236}">
              <a16:creationId xmlns:a16="http://schemas.microsoft.com/office/drawing/2014/main" id="{612BDDD4-4CE4-4A6B-9096-5BAD04EA11F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8" name="Host Control  114">
          <a:extLst>
            <a:ext uri="{FF2B5EF4-FFF2-40B4-BE49-F238E27FC236}">
              <a16:creationId xmlns:a16="http://schemas.microsoft.com/office/drawing/2014/main" id="{4B68BD93-5D7B-410C-A531-D0741379AF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9" name="Host Control  115">
          <a:extLst>
            <a:ext uri="{FF2B5EF4-FFF2-40B4-BE49-F238E27FC236}">
              <a16:creationId xmlns:a16="http://schemas.microsoft.com/office/drawing/2014/main" id="{98F73126-1F28-48A9-B788-279CCF289E8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0" name="Host Control  116">
          <a:extLst>
            <a:ext uri="{FF2B5EF4-FFF2-40B4-BE49-F238E27FC236}">
              <a16:creationId xmlns:a16="http://schemas.microsoft.com/office/drawing/2014/main" id="{E9C957EF-3579-4F03-9B14-0C8FCA5E38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1" name="Host Control  117">
          <a:extLst>
            <a:ext uri="{FF2B5EF4-FFF2-40B4-BE49-F238E27FC236}">
              <a16:creationId xmlns:a16="http://schemas.microsoft.com/office/drawing/2014/main" id="{18DB9EF2-8ADE-46E5-81C3-D9B457A22E6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2" name="Host Control  118">
          <a:extLst>
            <a:ext uri="{FF2B5EF4-FFF2-40B4-BE49-F238E27FC236}">
              <a16:creationId xmlns:a16="http://schemas.microsoft.com/office/drawing/2014/main" id="{9991BAEA-FF97-4D27-9FCC-AFF46FE6BB1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3" name="Host Control  119">
          <a:extLst>
            <a:ext uri="{FF2B5EF4-FFF2-40B4-BE49-F238E27FC236}">
              <a16:creationId xmlns:a16="http://schemas.microsoft.com/office/drawing/2014/main" id="{FC51F294-4BE0-423F-B629-6B72D7AE9E0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4" name="Host Control  120">
          <a:extLst>
            <a:ext uri="{FF2B5EF4-FFF2-40B4-BE49-F238E27FC236}">
              <a16:creationId xmlns:a16="http://schemas.microsoft.com/office/drawing/2014/main" id="{C7699DC6-7DAD-47F0-83BD-1070CA54643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5" name="Host Control  121">
          <a:extLst>
            <a:ext uri="{FF2B5EF4-FFF2-40B4-BE49-F238E27FC236}">
              <a16:creationId xmlns:a16="http://schemas.microsoft.com/office/drawing/2014/main" id="{899D85CC-36AF-44E5-ADE1-075D8B5CFD1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6" name="Host Control  122">
          <a:extLst>
            <a:ext uri="{FF2B5EF4-FFF2-40B4-BE49-F238E27FC236}">
              <a16:creationId xmlns:a16="http://schemas.microsoft.com/office/drawing/2014/main" id="{51B80C4D-440B-4AA4-A4FE-8CE46D6138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7" name="Host Control  123">
          <a:extLst>
            <a:ext uri="{FF2B5EF4-FFF2-40B4-BE49-F238E27FC236}">
              <a16:creationId xmlns:a16="http://schemas.microsoft.com/office/drawing/2014/main" id="{A4E41139-04DE-4278-91BE-5399DE35403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8" name="Host Control  124">
          <a:extLst>
            <a:ext uri="{FF2B5EF4-FFF2-40B4-BE49-F238E27FC236}">
              <a16:creationId xmlns:a16="http://schemas.microsoft.com/office/drawing/2014/main" id="{07B27946-E4B0-4CE4-8F45-EF622F0AA98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9" name="Host Control  125">
          <a:extLst>
            <a:ext uri="{FF2B5EF4-FFF2-40B4-BE49-F238E27FC236}">
              <a16:creationId xmlns:a16="http://schemas.microsoft.com/office/drawing/2014/main" id="{9EDC0817-715E-4F68-A955-E39DBED457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0" name="Host Control  126">
          <a:extLst>
            <a:ext uri="{FF2B5EF4-FFF2-40B4-BE49-F238E27FC236}">
              <a16:creationId xmlns:a16="http://schemas.microsoft.com/office/drawing/2014/main" id="{80AFDF77-9C99-41BF-8EF4-EC483F680CB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1" name="Host Control  127">
          <a:extLst>
            <a:ext uri="{FF2B5EF4-FFF2-40B4-BE49-F238E27FC236}">
              <a16:creationId xmlns:a16="http://schemas.microsoft.com/office/drawing/2014/main" id="{F7FFDA7B-76E9-411E-A46B-616C960EFF6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2" name="Host Control  135">
          <a:extLst>
            <a:ext uri="{FF2B5EF4-FFF2-40B4-BE49-F238E27FC236}">
              <a16:creationId xmlns:a16="http://schemas.microsoft.com/office/drawing/2014/main" id="{1BFBB6A8-1A9E-4A91-A04F-B623ADA8114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3" name="Host Control  136">
          <a:extLst>
            <a:ext uri="{FF2B5EF4-FFF2-40B4-BE49-F238E27FC236}">
              <a16:creationId xmlns:a16="http://schemas.microsoft.com/office/drawing/2014/main" id="{8F0A3BCB-FA52-4929-85F2-AB6EA74E08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4" name="Host Control  137">
          <a:extLst>
            <a:ext uri="{FF2B5EF4-FFF2-40B4-BE49-F238E27FC236}">
              <a16:creationId xmlns:a16="http://schemas.microsoft.com/office/drawing/2014/main" id="{6C502C63-4A53-4223-A4A8-71739CD8702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5" name="Host Control  138">
          <a:extLst>
            <a:ext uri="{FF2B5EF4-FFF2-40B4-BE49-F238E27FC236}">
              <a16:creationId xmlns:a16="http://schemas.microsoft.com/office/drawing/2014/main" id="{A63E906B-B183-4546-BDC4-75E618FA177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6" name="Host Control  139">
          <a:extLst>
            <a:ext uri="{FF2B5EF4-FFF2-40B4-BE49-F238E27FC236}">
              <a16:creationId xmlns:a16="http://schemas.microsoft.com/office/drawing/2014/main" id="{A1614A4B-D7FE-4897-B409-F8D0DFABF6F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7" name="Host Control  140">
          <a:extLst>
            <a:ext uri="{FF2B5EF4-FFF2-40B4-BE49-F238E27FC236}">
              <a16:creationId xmlns:a16="http://schemas.microsoft.com/office/drawing/2014/main" id="{14BB718F-B1BE-4C52-B055-CC796B9DC5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8" name="Host Control  141">
          <a:extLst>
            <a:ext uri="{FF2B5EF4-FFF2-40B4-BE49-F238E27FC236}">
              <a16:creationId xmlns:a16="http://schemas.microsoft.com/office/drawing/2014/main" id="{70140EE9-AEE8-47F6-8E01-3998D04BAEA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9" name="Host Control  142">
          <a:extLst>
            <a:ext uri="{FF2B5EF4-FFF2-40B4-BE49-F238E27FC236}">
              <a16:creationId xmlns:a16="http://schemas.microsoft.com/office/drawing/2014/main" id="{E5D9C24D-C8EF-497D-9B0A-A4E5654474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0" name="Host Control  143">
          <a:extLst>
            <a:ext uri="{FF2B5EF4-FFF2-40B4-BE49-F238E27FC236}">
              <a16:creationId xmlns:a16="http://schemas.microsoft.com/office/drawing/2014/main" id="{36AC0C2E-DF24-45AE-A591-98572CB35C5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1" name="Host Control  144">
          <a:extLst>
            <a:ext uri="{FF2B5EF4-FFF2-40B4-BE49-F238E27FC236}">
              <a16:creationId xmlns:a16="http://schemas.microsoft.com/office/drawing/2014/main" id="{E9FAE133-0E86-49E6-BC2F-2F015744094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2" name="Host Control  145">
          <a:extLst>
            <a:ext uri="{FF2B5EF4-FFF2-40B4-BE49-F238E27FC236}">
              <a16:creationId xmlns:a16="http://schemas.microsoft.com/office/drawing/2014/main" id="{F1FFAB03-ADB6-432B-9D38-3B1292DA097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3" name="Host Control  146">
          <a:extLst>
            <a:ext uri="{FF2B5EF4-FFF2-40B4-BE49-F238E27FC236}">
              <a16:creationId xmlns:a16="http://schemas.microsoft.com/office/drawing/2014/main" id="{238C4A1F-E605-4603-BB6D-F94F5A419F2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4" name="Host Control  147">
          <a:extLst>
            <a:ext uri="{FF2B5EF4-FFF2-40B4-BE49-F238E27FC236}">
              <a16:creationId xmlns:a16="http://schemas.microsoft.com/office/drawing/2014/main" id="{350580B7-ABA3-4051-90A5-5C27C2AA70B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5" name="Host Control  148">
          <a:extLst>
            <a:ext uri="{FF2B5EF4-FFF2-40B4-BE49-F238E27FC236}">
              <a16:creationId xmlns:a16="http://schemas.microsoft.com/office/drawing/2014/main" id="{7322246C-CF4E-4382-BCAE-4343D821BE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6" name="Host Control  149">
          <a:extLst>
            <a:ext uri="{FF2B5EF4-FFF2-40B4-BE49-F238E27FC236}">
              <a16:creationId xmlns:a16="http://schemas.microsoft.com/office/drawing/2014/main" id="{8B2287A5-AB77-4782-920B-78E1C25D9C8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7" name="Host Control  150">
          <a:extLst>
            <a:ext uri="{FF2B5EF4-FFF2-40B4-BE49-F238E27FC236}">
              <a16:creationId xmlns:a16="http://schemas.microsoft.com/office/drawing/2014/main" id="{19BA7DFA-8717-445F-B649-0937692F03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8" name="Host Control  151">
          <a:extLst>
            <a:ext uri="{FF2B5EF4-FFF2-40B4-BE49-F238E27FC236}">
              <a16:creationId xmlns:a16="http://schemas.microsoft.com/office/drawing/2014/main" id="{D8383DC7-4336-45F3-9610-4965B02F0B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9" name="Host Control  152">
          <a:extLst>
            <a:ext uri="{FF2B5EF4-FFF2-40B4-BE49-F238E27FC236}">
              <a16:creationId xmlns:a16="http://schemas.microsoft.com/office/drawing/2014/main" id="{61BD8051-2E0F-47F9-B95E-2093F2DBD61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0" name="Host Control  153">
          <a:extLst>
            <a:ext uri="{FF2B5EF4-FFF2-40B4-BE49-F238E27FC236}">
              <a16:creationId xmlns:a16="http://schemas.microsoft.com/office/drawing/2014/main" id="{1167D3D7-7D57-42D2-A49A-2A3D222016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1" name="Host Control  154">
          <a:extLst>
            <a:ext uri="{FF2B5EF4-FFF2-40B4-BE49-F238E27FC236}">
              <a16:creationId xmlns:a16="http://schemas.microsoft.com/office/drawing/2014/main" id="{8C6EFB23-11EE-49BA-96F0-CC100FD1DC7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2" name="Host Control  155">
          <a:extLst>
            <a:ext uri="{FF2B5EF4-FFF2-40B4-BE49-F238E27FC236}">
              <a16:creationId xmlns:a16="http://schemas.microsoft.com/office/drawing/2014/main" id="{CCE52BB1-1A7F-4D8C-8352-C49BE987710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3" name="Host Control  156">
          <a:extLst>
            <a:ext uri="{FF2B5EF4-FFF2-40B4-BE49-F238E27FC236}">
              <a16:creationId xmlns:a16="http://schemas.microsoft.com/office/drawing/2014/main" id="{22253144-02DC-438E-84B6-4B63655945F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4" name="Host Control  157">
          <a:extLst>
            <a:ext uri="{FF2B5EF4-FFF2-40B4-BE49-F238E27FC236}">
              <a16:creationId xmlns:a16="http://schemas.microsoft.com/office/drawing/2014/main" id="{1B2CEF28-F7A7-4691-A230-1703CEEBB02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5" name="Host Control  158">
          <a:extLst>
            <a:ext uri="{FF2B5EF4-FFF2-40B4-BE49-F238E27FC236}">
              <a16:creationId xmlns:a16="http://schemas.microsoft.com/office/drawing/2014/main" id="{921CA8EE-1C89-4E7C-80A5-19B0C70B3DD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6" name="Host Control  159">
          <a:extLst>
            <a:ext uri="{FF2B5EF4-FFF2-40B4-BE49-F238E27FC236}">
              <a16:creationId xmlns:a16="http://schemas.microsoft.com/office/drawing/2014/main" id="{C9D2CA85-2DA0-468F-8141-15CA8989F5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7" name="Host Control  160">
          <a:extLst>
            <a:ext uri="{FF2B5EF4-FFF2-40B4-BE49-F238E27FC236}">
              <a16:creationId xmlns:a16="http://schemas.microsoft.com/office/drawing/2014/main" id="{F86B37D4-B2F3-4507-8B8B-08F334E2405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8" name="Host Control  161">
          <a:extLst>
            <a:ext uri="{FF2B5EF4-FFF2-40B4-BE49-F238E27FC236}">
              <a16:creationId xmlns:a16="http://schemas.microsoft.com/office/drawing/2014/main" id="{C93F9B99-FBDB-4C00-90C2-4856507120A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9" name="Host Control  162">
          <a:extLst>
            <a:ext uri="{FF2B5EF4-FFF2-40B4-BE49-F238E27FC236}">
              <a16:creationId xmlns:a16="http://schemas.microsoft.com/office/drawing/2014/main" id="{A65A8FCC-6A4D-45B6-BF06-DDDBB79ACC8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0" name="Host Control  163">
          <a:extLst>
            <a:ext uri="{FF2B5EF4-FFF2-40B4-BE49-F238E27FC236}">
              <a16:creationId xmlns:a16="http://schemas.microsoft.com/office/drawing/2014/main" id="{1519DF00-0D4C-46CA-84E3-4DD59B3B16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1" name="Host Control  164">
          <a:extLst>
            <a:ext uri="{FF2B5EF4-FFF2-40B4-BE49-F238E27FC236}">
              <a16:creationId xmlns:a16="http://schemas.microsoft.com/office/drawing/2014/main" id="{637CACC9-FEF4-4756-9BB5-0521188943C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2" name="Host Control  168">
          <a:extLst>
            <a:ext uri="{FF2B5EF4-FFF2-40B4-BE49-F238E27FC236}">
              <a16:creationId xmlns:a16="http://schemas.microsoft.com/office/drawing/2014/main" id="{671D8ECB-8587-42F3-95CB-B06E1CE6DA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3" name="Host Control  169">
          <a:extLst>
            <a:ext uri="{FF2B5EF4-FFF2-40B4-BE49-F238E27FC236}">
              <a16:creationId xmlns:a16="http://schemas.microsoft.com/office/drawing/2014/main" id="{F82F74D9-EF46-4030-8460-D04905185E6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4" name="Host Control  170">
          <a:extLst>
            <a:ext uri="{FF2B5EF4-FFF2-40B4-BE49-F238E27FC236}">
              <a16:creationId xmlns:a16="http://schemas.microsoft.com/office/drawing/2014/main" id="{45C9D97B-A4A2-47FB-858B-68FE1421CC3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5" name="Host Control  171">
          <a:extLst>
            <a:ext uri="{FF2B5EF4-FFF2-40B4-BE49-F238E27FC236}">
              <a16:creationId xmlns:a16="http://schemas.microsoft.com/office/drawing/2014/main" id="{199BBE4F-F90D-4B44-B7D8-CF0C59131F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6" name="Host Control  172">
          <a:extLst>
            <a:ext uri="{FF2B5EF4-FFF2-40B4-BE49-F238E27FC236}">
              <a16:creationId xmlns:a16="http://schemas.microsoft.com/office/drawing/2014/main" id="{EC96536F-6253-4017-B6E1-5D9AE099663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7" name="Host Control  173">
          <a:extLst>
            <a:ext uri="{FF2B5EF4-FFF2-40B4-BE49-F238E27FC236}">
              <a16:creationId xmlns:a16="http://schemas.microsoft.com/office/drawing/2014/main" id="{9F307961-5676-444E-8464-24D7F523ED3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8" name="Host Control  174">
          <a:extLst>
            <a:ext uri="{FF2B5EF4-FFF2-40B4-BE49-F238E27FC236}">
              <a16:creationId xmlns:a16="http://schemas.microsoft.com/office/drawing/2014/main" id="{F49A026B-D468-434B-AA56-6D5A6800871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9" name="Host Control  175">
          <a:extLst>
            <a:ext uri="{FF2B5EF4-FFF2-40B4-BE49-F238E27FC236}">
              <a16:creationId xmlns:a16="http://schemas.microsoft.com/office/drawing/2014/main" id="{F4191616-3186-4C13-BE63-14DE2E93548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0" name="Host Control  176">
          <a:extLst>
            <a:ext uri="{FF2B5EF4-FFF2-40B4-BE49-F238E27FC236}">
              <a16:creationId xmlns:a16="http://schemas.microsoft.com/office/drawing/2014/main" id="{A0DC26F0-EBA3-4F1A-818B-597E5F660F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1" name="Host Control  177">
          <a:extLst>
            <a:ext uri="{FF2B5EF4-FFF2-40B4-BE49-F238E27FC236}">
              <a16:creationId xmlns:a16="http://schemas.microsoft.com/office/drawing/2014/main" id="{2DDD94CA-FF80-4A64-B7AA-C901F14FA80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2" name="Host Control  178">
          <a:extLst>
            <a:ext uri="{FF2B5EF4-FFF2-40B4-BE49-F238E27FC236}">
              <a16:creationId xmlns:a16="http://schemas.microsoft.com/office/drawing/2014/main" id="{28236157-F56D-4C40-AB19-B62575D439D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3" name="Host Control  179">
          <a:extLst>
            <a:ext uri="{FF2B5EF4-FFF2-40B4-BE49-F238E27FC236}">
              <a16:creationId xmlns:a16="http://schemas.microsoft.com/office/drawing/2014/main" id="{5AA8054D-DEDE-40EE-9F77-E6327079FA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4" name="Host Control  180">
          <a:extLst>
            <a:ext uri="{FF2B5EF4-FFF2-40B4-BE49-F238E27FC236}">
              <a16:creationId xmlns:a16="http://schemas.microsoft.com/office/drawing/2014/main" id="{BD8AD93E-56A7-4B9A-90AE-364F4AD6268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5" name="Host Control  181">
          <a:extLst>
            <a:ext uri="{FF2B5EF4-FFF2-40B4-BE49-F238E27FC236}">
              <a16:creationId xmlns:a16="http://schemas.microsoft.com/office/drawing/2014/main" id="{0005FA21-CC08-4A4D-9DB4-ECF1E312A2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6" name="Host Control  182">
          <a:extLst>
            <a:ext uri="{FF2B5EF4-FFF2-40B4-BE49-F238E27FC236}">
              <a16:creationId xmlns:a16="http://schemas.microsoft.com/office/drawing/2014/main" id="{57A91032-2253-4E77-85CF-9C45D28D580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7" name="Host Control  183">
          <a:extLst>
            <a:ext uri="{FF2B5EF4-FFF2-40B4-BE49-F238E27FC236}">
              <a16:creationId xmlns:a16="http://schemas.microsoft.com/office/drawing/2014/main" id="{83CB238B-2E97-4FB7-9312-36F7405B18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8" name="Host Control  184">
          <a:extLst>
            <a:ext uri="{FF2B5EF4-FFF2-40B4-BE49-F238E27FC236}">
              <a16:creationId xmlns:a16="http://schemas.microsoft.com/office/drawing/2014/main" id="{90478730-2A6A-4895-8D5D-13870A10964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9" name="Host Control  185">
          <a:extLst>
            <a:ext uri="{FF2B5EF4-FFF2-40B4-BE49-F238E27FC236}">
              <a16:creationId xmlns:a16="http://schemas.microsoft.com/office/drawing/2014/main" id="{7784582E-9377-41FC-BEAD-27077011BFE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0" name="Host Control  186">
          <a:extLst>
            <a:ext uri="{FF2B5EF4-FFF2-40B4-BE49-F238E27FC236}">
              <a16:creationId xmlns:a16="http://schemas.microsoft.com/office/drawing/2014/main" id="{BC73A3F9-28F4-498F-BD0A-3A735DF47A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1" name="Host Control  187">
          <a:extLst>
            <a:ext uri="{FF2B5EF4-FFF2-40B4-BE49-F238E27FC236}">
              <a16:creationId xmlns:a16="http://schemas.microsoft.com/office/drawing/2014/main" id="{D28A06B7-F608-4850-9C5F-6A21E5F817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2" name="Host Control  188">
          <a:extLst>
            <a:ext uri="{FF2B5EF4-FFF2-40B4-BE49-F238E27FC236}">
              <a16:creationId xmlns:a16="http://schemas.microsoft.com/office/drawing/2014/main" id="{D7F832AF-179D-4089-8BD9-22BE5D00D44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3" name="Host Control  189">
          <a:extLst>
            <a:ext uri="{FF2B5EF4-FFF2-40B4-BE49-F238E27FC236}">
              <a16:creationId xmlns:a16="http://schemas.microsoft.com/office/drawing/2014/main" id="{CCCD632E-C849-4783-9127-00A37D248AC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4" name="Host Control  190">
          <a:extLst>
            <a:ext uri="{FF2B5EF4-FFF2-40B4-BE49-F238E27FC236}">
              <a16:creationId xmlns:a16="http://schemas.microsoft.com/office/drawing/2014/main" id="{E9E5125A-EAE0-4106-B6ED-C04C469B96F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5" name="Host Control  191">
          <a:extLst>
            <a:ext uri="{FF2B5EF4-FFF2-40B4-BE49-F238E27FC236}">
              <a16:creationId xmlns:a16="http://schemas.microsoft.com/office/drawing/2014/main" id="{C413F187-C0C5-4C6F-A670-C7448D6CF7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6" name="Host Control  192">
          <a:extLst>
            <a:ext uri="{FF2B5EF4-FFF2-40B4-BE49-F238E27FC236}">
              <a16:creationId xmlns:a16="http://schemas.microsoft.com/office/drawing/2014/main" id="{FD27A766-8A7F-469B-8280-37BAB9FCB9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7" name="Host Control  193">
          <a:extLst>
            <a:ext uri="{FF2B5EF4-FFF2-40B4-BE49-F238E27FC236}">
              <a16:creationId xmlns:a16="http://schemas.microsoft.com/office/drawing/2014/main" id="{70475E96-00D0-4228-B1CD-D8D9F289DDE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8" name="Host Control  194">
          <a:extLst>
            <a:ext uri="{FF2B5EF4-FFF2-40B4-BE49-F238E27FC236}">
              <a16:creationId xmlns:a16="http://schemas.microsoft.com/office/drawing/2014/main" id="{E205CDF4-4B26-4780-B4C6-159EB1A386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9" name="Host Control  195">
          <a:extLst>
            <a:ext uri="{FF2B5EF4-FFF2-40B4-BE49-F238E27FC236}">
              <a16:creationId xmlns:a16="http://schemas.microsoft.com/office/drawing/2014/main" id="{86E46703-5602-4D04-A359-03424D84790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0" name="Host Control  196">
          <a:extLst>
            <a:ext uri="{FF2B5EF4-FFF2-40B4-BE49-F238E27FC236}">
              <a16:creationId xmlns:a16="http://schemas.microsoft.com/office/drawing/2014/main" id="{FFCFF77B-C1B1-4BD6-90E5-37E6027FB2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1" name="Host Control  197">
          <a:extLst>
            <a:ext uri="{FF2B5EF4-FFF2-40B4-BE49-F238E27FC236}">
              <a16:creationId xmlns:a16="http://schemas.microsoft.com/office/drawing/2014/main" id="{BF99E6EA-0F58-434B-A427-784B1BE5B9A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2" name="Host Control  201" hidden="1">
          <a:extLst>
            <a:ext uri="{FF2B5EF4-FFF2-40B4-BE49-F238E27FC236}">
              <a16:creationId xmlns:a16="http://schemas.microsoft.com/office/drawing/2014/main" id="{5215FEE1-4E8B-495E-8D47-83F9B1D728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3" name="Host Control  202" hidden="1">
          <a:extLst>
            <a:ext uri="{FF2B5EF4-FFF2-40B4-BE49-F238E27FC236}">
              <a16:creationId xmlns:a16="http://schemas.microsoft.com/office/drawing/2014/main" id="{97B7F2A2-F922-4828-88F2-84F46E1BAA1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4" name="Host Control  203" hidden="1">
          <a:extLst>
            <a:ext uri="{FF2B5EF4-FFF2-40B4-BE49-F238E27FC236}">
              <a16:creationId xmlns:a16="http://schemas.microsoft.com/office/drawing/2014/main" id="{3EFF4160-AFE4-4A3C-A12C-ED8DBD8DDE2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5" name="Host Control  204" hidden="1">
          <a:extLst>
            <a:ext uri="{FF2B5EF4-FFF2-40B4-BE49-F238E27FC236}">
              <a16:creationId xmlns:a16="http://schemas.microsoft.com/office/drawing/2014/main" id="{DCBE1E12-B0E0-4841-A2A0-3219B6ABC71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6" name="Host Control  205" hidden="1">
          <a:extLst>
            <a:ext uri="{FF2B5EF4-FFF2-40B4-BE49-F238E27FC236}">
              <a16:creationId xmlns:a16="http://schemas.microsoft.com/office/drawing/2014/main" id="{7EEAF437-8041-4586-AC7E-6D553D3A6D1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7" name="Host Control  206" hidden="1">
          <a:extLst>
            <a:ext uri="{FF2B5EF4-FFF2-40B4-BE49-F238E27FC236}">
              <a16:creationId xmlns:a16="http://schemas.microsoft.com/office/drawing/2014/main" id="{AB195FF3-D6F7-48FE-8B8B-CD5F3C010D1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8" name="Host Control  207" hidden="1">
          <a:extLst>
            <a:ext uri="{FF2B5EF4-FFF2-40B4-BE49-F238E27FC236}">
              <a16:creationId xmlns:a16="http://schemas.microsoft.com/office/drawing/2014/main" id="{20A5BDF2-8E95-4247-B644-D900F9F4125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9" name="Host Control  208" hidden="1">
          <a:extLst>
            <a:ext uri="{FF2B5EF4-FFF2-40B4-BE49-F238E27FC236}">
              <a16:creationId xmlns:a16="http://schemas.microsoft.com/office/drawing/2014/main" id="{505F8632-6163-49E4-8C23-4CF068C827B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0" name="Host Control  209" hidden="1">
          <a:extLst>
            <a:ext uri="{FF2B5EF4-FFF2-40B4-BE49-F238E27FC236}">
              <a16:creationId xmlns:a16="http://schemas.microsoft.com/office/drawing/2014/main" id="{11C13CE5-0BD1-4F7C-876F-9E9A36FC68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1" name="Host Control  210" hidden="1">
          <a:extLst>
            <a:ext uri="{FF2B5EF4-FFF2-40B4-BE49-F238E27FC236}">
              <a16:creationId xmlns:a16="http://schemas.microsoft.com/office/drawing/2014/main" id="{8AEEA375-C8D7-4B4E-96BE-74B71BD9D2C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2" name="Host Control  211" hidden="1">
          <a:extLst>
            <a:ext uri="{FF2B5EF4-FFF2-40B4-BE49-F238E27FC236}">
              <a16:creationId xmlns:a16="http://schemas.microsoft.com/office/drawing/2014/main" id="{0DFBBD97-DB07-4E43-878E-005E8DAA3B2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3" name="Host Control  212" hidden="1">
          <a:extLst>
            <a:ext uri="{FF2B5EF4-FFF2-40B4-BE49-F238E27FC236}">
              <a16:creationId xmlns:a16="http://schemas.microsoft.com/office/drawing/2014/main" id="{1945065F-754D-4F68-A962-F9F70D5D883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4" name="Host Control  213" hidden="1">
          <a:extLst>
            <a:ext uri="{FF2B5EF4-FFF2-40B4-BE49-F238E27FC236}">
              <a16:creationId xmlns:a16="http://schemas.microsoft.com/office/drawing/2014/main" id="{FEEAD8EA-253F-470F-B69F-12C36629963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5" name="Host Control  214" hidden="1">
          <a:extLst>
            <a:ext uri="{FF2B5EF4-FFF2-40B4-BE49-F238E27FC236}">
              <a16:creationId xmlns:a16="http://schemas.microsoft.com/office/drawing/2014/main" id="{A9158DCB-27B3-418E-9CF1-E654A5BBF8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6" name="Host Control  215" hidden="1">
          <a:extLst>
            <a:ext uri="{FF2B5EF4-FFF2-40B4-BE49-F238E27FC236}">
              <a16:creationId xmlns:a16="http://schemas.microsoft.com/office/drawing/2014/main" id="{8353C98A-71A8-4A2F-9DB6-E0510F8CE4F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7" name="Host Control  216" hidden="1">
          <a:extLst>
            <a:ext uri="{FF2B5EF4-FFF2-40B4-BE49-F238E27FC236}">
              <a16:creationId xmlns:a16="http://schemas.microsoft.com/office/drawing/2014/main" id="{2E2AEBE1-884E-49A5-9C64-898262E280A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8" name="Host Control  217" hidden="1">
          <a:extLst>
            <a:ext uri="{FF2B5EF4-FFF2-40B4-BE49-F238E27FC236}">
              <a16:creationId xmlns:a16="http://schemas.microsoft.com/office/drawing/2014/main" id="{9145224B-6ACE-4500-918E-2C2FF65E84F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9" name="Host Control  218" hidden="1">
          <a:extLst>
            <a:ext uri="{FF2B5EF4-FFF2-40B4-BE49-F238E27FC236}">
              <a16:creationId xmlns:a16="http://schemas.microsoft.com/office/drawing/2014/main" id="{F02B21FD-1F6A-4EF2-8430-3882E79C0EA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0" name="Host Control  219" hidden="1">
          <a:extLst>
            <a:ext uri="{FF2B5EF4-FFF2-40B4-BE49-F238E27FC236}">
              <a16:creationId xmlns:a16="http://schemas.microsoft.com/office/drawing/2014/main" id="{59C3B303-6680-4FEB-9CC5-585966D08CC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1" name="Host Control  220" hidden="1">
          <a:extLst>
            <a:ext uri="{FF2B5EF4-FFF2-40B4-BE49-F238E27FC236}">
              <a16:creationId xmlns:a16="http://schemas.microsoft.com/office/drawing/2014/main" id="{C0207234-28E5-4F73-AA4E-950D683F82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2" name="Host Control  221" hidden="1">
          <a:extLst>
            <a:ext uri="{FF2B5EF4-FFF2-40B4-BE49-F238E27FC236}">
              <a16:creationId xmlns:a16="http://schemas.microsoft.com/office/drawing/2014/main" id="{188BAA79-D357-4341-A9B2-B07151199C9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3" name="Host Control  222" hidden="1">
          <a:extLst>
            <a:ext uri="{FF2B5EF4-FFF2-40B4-BE49-F238E27FC236}">
              <a16:creationId xmlns:a16="http://schemas.microsoft.com/office/drawing/2014/main" id="{76DBE38A-D2C0-4231-A731-6D889D9279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4" name="Host Control  223" hidden="1">
          <a:extLst>
            <a:ext uri="{FF2B5EF4-FFF2-40B4-BE49-F238E27FC236}">
              <a16:creationId xmlns:a16="http://schemas.microsoft.com/office/drawing/2014/main" id="{15959B9E-5D4A-4EB1-A5A1-0187FFD2909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5" name="Host Control  224" hidden="1">
          <a:extLst>
            <a:ext uri="{FF2B5EF4-FFF2-40B4-BE49-F238E27FC236}">
              <a16:creationId xmlns:a16="http://schemas.microsoft.com/office/drawing/2014/main" id="{95E00A94-2D87-4D51-A705-143FC391056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6" name="Host Control  225" hidden="1">
          <a:extLst>
            <a:ext uri="{FF2B5EF4-FFF2-40B4-BE49-F238E27FC236}">
              <a16:creationId xmlns:a16="http://schemas.microsoft.com/office/drawing/2014/main" id="{BDC5D675-F2D4-4E12-97D1-0012BC2B37B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7" name="Host Control  226" hidden="1">
          <a:extLst>
            <a:ext uri="{FF2B5EF4-FFF2-40B4-BE49-F238E27FC236}">
              <a16:creationId xmlns:a16="http://schemas.microsoft.com/office/drawing/2014/main" id="{372E7BAA-B5CF-4267-A603-B7D579844B2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8" name="Host Control  227" hidden="1">
          <a:extLst>
            <a:ext uri="{FF2B5EF4-FFF2-40B4-BE49-F238E27FC236}">
              <a16:creationId xmlns:a16="http://schemas.microsoft.com/office/drawing/2014/main" id="{4634C6F2-6846-4CA4-93CA-A7099D80B5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9" name="Host Control  228" hidden="1">
          <a:extLst>
            <a:ext uri="{FF2B5EF4-FFF2-40B4-BE49-F238E27FC236}">
              <a16:creationId xmlns:a16="http://schemas.microsoft.com/office/drawing/2014/main" id="{55057EC4-D544-4174-9E21-AC8E4D52C08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0" name="Host Control  229" hidden="1">
          <a:extLst>
            <a:ext uri="{FF2B5EF4-FFF2-40B4-BE49-F238E27FC236}">
              <a16:creationId xmlns:a16="http://schemas.microsoft.com/office/drawing/2014/main" id="{EE7D6F43-50AC-48FE-BDA6-138B197AC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1" name="Host Control  230" hidden="1">
          <a:extLst>
            <a:ext uri="{FF2B5EF4-FFF2-40B4-BE49-F238E27FC236}">
              <a16:creationId xmlns:a16="http://schemas.microsoft.com/office/drawing/2014/main" id="{E57EC6BE-D224-488A-8D33-16C08E76F77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2" name="Host Control  234" hidden="1">
          <a:extLst>
            <a:ext uri="{FF2B5EF4-FFF2-40B4-BE49-F238E27FC236}">
              <a16:creationId xmlns:a16="http://schemas.microsoft.com/office/drawing/2014/main" id="{DC8D7B28-F0D7-4744-9333-8730883216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3" name="Host Control  235" hidden="1">
          <a:extLst>
            <a:ext uri="{FF2B5EF4-FFF2-40B4-BE49-F238E27FC236}">
              <a16:creationId xmlns:a16="http://schemas.microsoft.com/office/drawing/2014/main" id="{FA483EAC-FFB4-4B64-849B-170F0E8002D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4" name="Host Control  236" hidden="1">
          <a:extLst>
            <a:ext uri="{FF2B5EF4-FFF2-40B4-BE49-F238E27FC236}">
              <a16:creationId xmlns:a16="http://schemas.microsoft.com/office/drawing/2014/main" id="{72C6997E-6439-49F9-BC1C-46E0DCF48E6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5" name="Host Control  237" hidden="1">
          <a:extLst>
            <a:ext uri="{FF2B5EF4-FFF2-40B4-BE49-F238E27FC236}">
              <a16:creationId xmlns:a16="http://schemas.microsoft.com/office/drawing/2014/main" id="{C9B86AB4-CA41-4AC7-AE84-10BADEE7731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6" name="Host Control  238" hidden="1">
          <a:extLst>
            <a:ext uri="{FF2B5EF4-FFF2-40B4-BE49-F238E27FC236}">
              <a16:creationId xmlns:a16="http://schemas.microsoft.com/office/drawing/2014/main" id="{7DC7E0E7-432B-4522-8F48-30C181E2E88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7" name="Host Control  239" hidden="1">
          <a:extLst>
            <a:ext uri="{FF2B5EF4-FFF2-40B4-BE49-F238E27FC236}">
              <a16:creationId xmlns:a16="http://schemas.microsoft.com/office/drawing/2014/main" id="{F2ACA646-BE76-46B3-9A60-7CA0247E818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8" name="Host Control  240" hidden="1">
          <a:extLst>
            <a:ext uri="{FF2B5EF4-FFF2-40B4-BE49-F238E27FC236}">
              <a16:creationId xmlns:a16="http://schemas.microsoft.com/office/drawing/2014/main" id="{F50D722B-E190-4571-B506-7104DB124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9" name="Host Control  241" hidden="1">
          <a:extLst>
            <a:ext uri="{FF2B5EF4-FFF2-40B4-BE49-F238E27FC236}">
              <a16:creationId xmlns:a16="http://schemas.microsoft.com/office/drawing/2014/main" id="{F389234A-787C-4975-8FC0-690852C420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0" name="Host Control  242" hidden="1">
          <a:extLst>
            <a:ext uri="{FF2B5EF4-FFF2-40B4-BE49-F238E27FC236}">
              <a16:creationId xmlns:a16="http://schemas.microsoft.com/office/drawing/2014/main" id="{B90C080E-6A7F-4456-B669-98C2956DD2D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1" name="Host Control  243" hidden="1">
          <a:extLst>
            <a:ext uri="{FF2B5EF4-FFF2-40B4-BE49-F238E27FC236}">
              <a16:creationId xmlns:a16="http://schemas.microsoft.com/office/drawing/2014/main" id="{0880A6A8-27B7-495D-9829-EF3FBAD81E0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2" name="Host Control  244" hidden="1">
          <a:extLst>
            <a:ext uri="{FF2B5EF4-FFF2-40B4-BE49-F238E27FC236}">
              <a16:creationId xmlns:a16="http://schemas.microsoft.com/office/drawing/2014/main" id="{F09D6080-3D7F-4513-B827-E76D9D85C7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3" name="Host Control  245" hidden="1">
          <a:extLst>
            <a:ext uri="{FF2B5EF4-FFF2-40B4-BE49-F238E27FC236}">
              <a16:creationId xmlns:a16="http://schemas.microsoft.com/office/drawing/2014/main" id="{D672B474-BD69-40D4-8427-071E53D240B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4" name="Host Control  246" hidden="1">
          <a:extLst>
            <a:ext uri="{FF2B5EF4-FFF2-40B4-BE49-F238E27FC236}">
              <a16:creationId xmlns:a16="http://schemas.microsoft.com/office/drawing/2014/main" id="{E1A460ED-3171-40D1-8C90-5D4163E8596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5" name="Host Control  247" hidden="1">
          <a:extLst>
            <a:ext uri="{FF2B5EF4-FFF2-40B4-BE49-F238E27FC236}">
              <a16:creationId xmlns:a16="http://schemas.microsoft.com/office/drawing/2014/main" id="{41407D56-0D95-41CC-A6C5-029E3E37199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6" name="Host Control  248" hidden="1">
          <a:extLst>
            <a:ext uri="{FF2B5EF4-FFF2-40B4-BE49-F238E27FC236}">
              <a16:creationId xmlns:a16="http://schemas.microsoft.com/office/drawing/2014/main" id="{A4128F8D-1EAE-45EC-B8AC-C9B145F5ED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7" name="Host Control  249" hidden="1">
          <a:extLst>
            <a:ext uri="{FF2B5EF4-FFF2-40B4-BE49-F238E27FC236}">
              <a16:creationId xmlns:a16="http://schemas.microsoft.com/office/drawing/2014/main" id="{AC7CD725-9E0B-42DE-B3DA-3D0C07FD17B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8" name="Host Control  250" hidden="1">
          <a:extLst>
            <a:ext uri="{FF2B5EF4-FFF2-40B4-BE49-F238E27FC236}">
              <a16:creationId xmlns:a16="http://schemas.microsoft.com/office/drawing/2014/main" id="{8C1F1A9F-198E-416F-91B5-88857DDFEAC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9" name="Host Control  251" hidden="1">
          <a:extLst>
            <a:ext uri="{FF2B5EF4-FFF2-40B4-BE49-F238E27FC236}">
              <a16:creationId xmlns:a16="http://schemas.microsoft.com/office/drawing/2014/main" id="{7ECF29E3-2588-4C78-BC90-802A16BB74B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0" name="Host Control  252" hidden="1">
          <a:extLst>
            <a:ext uri="{FF2B5EF4-FFF2-40B4-BE49-F238E27FC236}">
              <a16:creationId xmlns:a16="http://schemas.microsoft.com/office/drawing/2014/main" id="{9D1963EA-C2FC-4187-90F0-56EBD973528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1" name="Host Control  253" hidden="1">
          <a:extLst>
            <a:ext uri="{FF2B5EF4-FFF2-40B4-BE49-F238E27FC236}">
              <a16:creationId xmlns:a16="http://schemas.microsoft.com/office/drawing/2014/main" id="{331EB89B-E2BF-4A4E-BA7A-FED42580F73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2" name="Host Control  254" hidden="1">
          <a:extLst>
            <a:ext uri="{FF2B5EF4-FFF2-40B4-BE49-F238E27FC236}">
              <a16:creationId xmlns:a16="http://schemas.microsoft.com/office/drawing/2014/main" id="{6E4D87A7-DDE6-4AE7-878C-07042DACC6A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3" name="Host Control  255" hidden="1">
          <a:extLst>
            <a:ext uri="{FF2B5EF4-FFF2-40B4-BE49-F238E27FC236}">
              <a16:creationId xmlns:a16="http://schemas.microsoft.com/office/drawing/2014/main" id="{C7FE8E72-33D7-4E6F-83C0-822ED65BE67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4" name="Host Control  256" hidden="1">
          <a:extLst>
            <a:ext uri="{FF2B5EF4-FFF2-40B4-BE49-F238E27FC236}">
              <a16:creationId xmlns:a16="http://schemas.microsoft.com/office/drawing/2014/main" id="{C9DC4022-AA72-4ACD-B0BD-F0289A11406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5" name="Host Control  257" hidden="1">
          <a:extLst>
            <a:ext uri="{FF2B5EF4-FFF2-40B4-BE49-F238E27FC236}">
              <a16:creationId xmlns:a16="http://schemas.microsoft.com/office/drawing/2014/main" id="{29709093-BEE9-4C93-A056-D59076E3272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6" name="Host Control  258" hidden="1">
          <a:extLst>
            <a:ext uri="{FF2B5EF4-FFF2-40B4-BE49-F238E27FC236}">
              <a16:creationId xmlns:a16="http://schemas.microsoft.com/office/drawing/2014/main" id="{E3F6AE46-6FA4-4F9F-8FF8-FBEEC101BE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7" name="Host Control  259" hidden="1">
          <a:extLst>
            <a:ext uri="{FF2B5EF4-FFF2-40B4-BE49-F238E27FC236}">
              <a16:creationId xmlns:a16="http://schemas.microsoft.com/office/drawing/2014/main" id="{DAE640DD-76E7-4417-984B-0F36D392B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8" name="Host Control  260" hidden="1">
          <a:extLst>
            <a:ext uri="{FF2B5EF4-FFF2-40B4-BE49-F238E27FC236}">
              <a16:creationId xmlns:a16="http://schemas.microsoft.com/office/drawing/2014/main" id="{E8835EF9-07DD-4C50-975E-1C117C31D1D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9" name="Host Control  261" hidden="1">
          <a:extLst>
            <a:ext uri="{FF2B5EF4-FFF2-40B4-BE49-F238E27FC236}">
              <a16:creationId xmlns:a16="http://schemas.microsoft.com/office/drawing/2014/main" id="{92281F9A-E554-4C68-ADB0-572BD47155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0" name="Host Control  262" hidden="1">
          <a:extLst>
            <a:ext uri="{FF2B5EF4-FFF2-40B4-BE49-F238E27FC236}">
              <a16:creationId xmlns:a16="http://schemas.microsoft.com/office/drawing/2014/main" id="{4494E4BE-9AB6-44D8-AF04-C759CDD088A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1" name="Host Control  263" hidden="1">
          <a:extLst>
            <a:ext uri="{FF2B5EF4-FFF2-40B4-BE49-F238E27FC236}">
              <a16:creationId xmlns:a16="http://schemas.microsoft.com/office/drawing/2014/main" id="{6DBC3C1A-8A0A-4809-9883-6227590741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2" name="Host Control  267" hidden="1">
          <a:extLst>
            <a:ext uri="{FF2B5EF4-FFF2-40B4-BE49-F238E27FC236}">
              <a16:creationId xmlns:a16="http://schemas.microsoft.com/office/drawing/2014/main" id="{5758EA74-FCB8-43E1-84D8-D14EFB39AF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3" name="Host Control  268" hidden="1">
          <a:extLst>
            <a:ext uri="{FF2B5EF4-FFF2-40B4-BE49-F238E27FC236}">
              <a16:creationId xmlns:a16="http://schemas.microsoft.com/office/drawing/2014/main" id="{94A6FFAE-39B7-49D5-B88A-604BF012999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4" name="Host Control  269" hidden="1">
          <a:extLst>
            <a:ext uri="{FF2B5EF4-FFF2-40B4-BE49-F238E27FC236}">
              <a16:creationId xmlns:a16="http://schemas.microsoft.com/office/drawing/2014/main" id="{9337ED60-6484-4F3D-9991-1069E0A22C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5" name="Host Control  270" hidden="1">
          <a:extLst>
            <a:ext uri="{FF2B5EF4-FFF2-40B4-BE49-F238E27FC236}">
              <a16:creationId xmlns:a16="http://schemas.microsoft.com/office/drawing/2014/main" id="{37663705-B1F2-4038-BF6A-1C70E237CC0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6" name="Host Control  271" hidden="1">
          <a:extLst>
            <a:ext uri="{FF2B5EF4-FFF2-40B4-BE49-F238E27FC236}">
              <a16:creationId xmlns:a16="http://schemas.microsoft.com/office/drawing/2014/main" id="{AFCEDA29-0AE5-4BAD-808A-A3520595CD1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7" name="Host Control  272" hidden="1">
          <a:extLst>
            <a:ext uri="{FF2B5EF4-FFF2-40B4-BE49-F238E27FC236}">
              <a16:creationId xmlns:a16="http://schemas.microsoft.com/office/drawing/2014/main" id="{725C011D-46A7-4CA3-9762-22AEC18E0C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8" name="Host Control  273" hidden="1">
          <a:extLst>
            <a:ext uri="{FF2B5EF4-FFF2-40B4-BE49-F238E27FC236}">
              <a16:creationId xmlns:a16="http://schemas.microsoft.com/office/drawing/2014/main" id="{1C6FEEBC-3BBF-4178-A14D-E17A83602BF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9" name="Host Control  274" hidden="1">
          <a:extLst>
            <a:ext uri="{FF2B5EF4-FFF2-40B4-BE49-F238E27FC236}">
              <a16:creationId xmlns:a16="http://schemas.microsoft.com/office/drawing/2014/main" id="{5C9E599D-8115-4D85-A37C-27ED2A7FB3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0" name="Host Control  275" hidden="1">
          <a:extLst>
            <a:ext uri="{FF2B5EF4-FFF2-40B4-BE49-F238E27FC236}">
              <a16:creationId xmlns:a16="http://schemas.microsoft.com/office/drawing/2014/main" id="{810B49E9-6CF9-444B-901E-DF18F76102C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1" name="Host Control  276" hidden="1">
          <a:extLst>
            <a:ext uri="{FF2B5EF4-FFF2-40B4-BE49-F238E27FC236}">
              <a16:creationId xmlns:a16="http://schemas.microsoft.com/office/drawing/2014/main" id="{D5B388C3-A012-4F8C-A33A-64C28F6557C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2" name="Host Control  277" hidden="1">
          <a:extLst>
            <a:ext uri="{FF2B5EF4-FFF2-40B4-BE49-F238E27FC236}">
              <a16:creationId xmlns:a16="http://schemas.microsoft.com/office/drawing/2014/main" id="{4FC4BEC7-B9B0-45BF-AC5B-3AB13EF821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3" name="Host Control  278" hidden="1">
          <a:extLst>
            <a:ext uri="{FF2B5EF4-FFF2-40B4-BE49-F238E27FC236}">
              <a16:creationId xmlns:a16="http://schemas.microsoft.com/office/drawing/2014/main" id="{A1058880-DF99-4FB3-A7AE-AABAFB13B67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4" name="Host Control  279" hidden="1">
          <a:extLst>
            <a:ext uri="{FF2B5EF4-FFF2-40B4-BE49-F238E27FC236}">
              <a16:creationId xmlns:a16="http://schemas.microsoft.com/office/drawing/2014/main" id="{64801B15-F88E-4471-B6FB-0C67E74F8C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5" name="Host Control  280" hidden="1">
          <a:extLst>
            <a:ext uri="{FF2B5EF4-FFF2-40B4-BE49-F238E27FC236}">
              <a16:creationId xmlns:a16="http://schemas.microsoft.com/office/drawing/2014/main" id="{4ADE138F-780E-4F18-82B3-16AC459F9C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6" name="Host Control  281" hidden="1">
          <a:extLst>
            <a:ext uri="{FF2B5EF4-FFF2-40B4-BE49-F238E27FC236}">
              <a16:creationId xmlns:a16="http://schemas.microsoft.com/office/drawing/2014/main" id="{2FE37B8C-8315-4988-99A5-3FDD88AD53E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7" name="Host Control  282" hidden="1">
          <a:extLst>
            <a:ext uri="{FF2B5EF4-FFF2-40B4-BE49-F238E27FC236}">
              <a16:creationId xmlns:a16="http://schemas.microsoft.com/office/drawing/2014/main" id="{9174698D-A16A-404A-9085-E34B2B80E1C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8" name="Host Control  283" hidden="1">
          <a:extLst>
            <a:ext uri="{FF2B5EF4-FFF2-40B4-BE49-F238E27FC236}">
              <a16:creationId xmlns:a16="http://schemas.microsoft.com/office/drawing/2014/main" id="{7DF606C6-FF61-45E4-A8B8-D1E07CDAA63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9" name="Host Control  284" hidden="1">
          <a:extLst>
            <a:ext uri="{FF2B5EF4-FFF2-40B4-BE49-F238E27FC236}">
              <a16:creationId xmlns:a16="http://schemas.microsoft.com/office/drawing/2014/main" id="{C56E3222-7758-46B6-9C22-EF0F50347E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0" name="Host Control  285" hidden="1">
          <a:extLst>
            <a:ext uri="{FF2B5EF4-FFF2-40B4-BE49-F238E27FC236}">
              <a16:creationId xmlns:a16="http://schemas.microsoft.com/office/drawing/2014/main" id="{F35B00F5-E8DC-47AD-B7A9-E7483C0F65C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1" name="Host Control  286" hidden="1">
          <a:extLst>
            <a:ext uri="{FF2B5EF4-FFF2-40B4-BE49-F238E27FC236}">
              <a16:creationId xmlns:a16="http://schemas.microsoft.com/office/drawing/2014/main" id="{901C7FC8-917F-4B0D-BCCC-FC6412D04B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2" name="Host Control  287" hidden="1">
          <a:extLst>
            <a:ext uri="{FF2B5EF4-FFF2-40B4-BE49-F238E27FC236}">
              <a16:creationId xmlns:a16="http://schemas.microsoft.com/office/drawing/2014/main" id="{260B4A30-63B2-4D6E-889C-FC226EF8003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3" name="Host Control  288" hidden="1">
          <a:extLst>
            <a:ext uri="{FF2B5EF4-FFF2-40B4-BE49-F238E27FC236}">
              <a16:creationId xmlns:a16="http://schemas.microsoft.com/office/drawing/2014/main" id="{725AEE81-9D6F-4C5F-8F15-DDC71FEDE3D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4" name="Host Control  289" hidden="1">
          <a:extLst>
            <a:ext uri="{FF2B5EF4-FFF2-40B4-BE49-F238E27FC236}">
              <a16:creationId xmlns:a16="http://schemas.microsoft.com/office/drawing/2014/main" id="{3D3C1AB6-3806-4FD6-8C97-72D7A64B52E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5" name="Host Control  290" hidden="1">
          <a:extLst>
            <a:ext uri="{FF2B5EF4-FFF2-40B4-BE49-F238E27FC236}">
              <a16:creationId xmlns:a16="http://schemas.microsoft.com/office/drawing/2014/main" id="{43391110-8666-4811-BCDB-51DDDC520D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6" name="Host Control  291" hidden="1">
          <a:extLst>
            <a:ext uri="{FF2B5EF4-FFF2-40B4-BE49-F238E27FC236}">
              <a16:creationId xmlns:a16="http://schemas.microsoft.com/office/drawing/2014/main" id="{6514657D-21AE-4638-974D-CB240D20F9C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7" name="Host Control  292" hidden="1">
          <a:extLst>
            <a:ext uri="{FF2B5EF4-FFF2-40B4-BE49-F238E27FC236}">
              <a16:creationId xmlns:a16="http://schemas.microsoft.com/office/drawing/2014/main" id="{C844F5C5-3714-490E-8C01-B59461C40CC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8" name="Host Control  293" hidden="1">
          <a:extLst>
            <a:ext uri="{FF2B5EF4-FFF2-40B4-BE49-F238E27FC236}">
              <a16:creationId xmlns:a16="http://schemas.microsoft.com/office/drawing/2014/main" id="{2A53C854-8369-46A1-8466-A4662352A98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9" name="Host Control  294" hidden="1">
          <a:extLst>
            <a:ext uri="{FF2B5EF4-FFF2-40B4-BE49-F238E27FC236}">
              <a16:creationId xmlns:a16="http://schemas.microsoft.com/office/drawing/2014/main" id="{D8DC9043-B314-4936-9122-4A29BA4747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0" name="Host Control  295" hidden="1">
          <a:extLst>
            <a:ext uri="{FF2B5EF4-FFF2-40B4-BE49-F238E27FC236}">
              <a16:creationId xmlns:a16="http://schemas.microsoft.com/office/drawing/2014/main" id="{161AE4A0-7E4A-4E08-8E85-1C29007D9A1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1" name="Host Control  296" hidden="1">
          <a:extLst>
            <a:ext uri="{FF2B5EF4-FFF2-40B4-BE49-F238E27FC236}">
              <a16:creationId xmlns:a16="http://schemas.microsoft.com/office/drawing/2014/main" id="{8F75EA73-6436-447F-BEC5-0542FC69D1C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2" name="Host Control  483" hidden="1">
          <a:extLst>
            <a:ext uri="{FF2B5EF4-FFF2-40B4-BE49-F238E27FC236}">
              <a16:creationId xmlns:a16="http://schemas.microsoft.com/office/drawing/2014/main" id="{C64E5074-DA1D-4147-9547-7D22D1926DDD}"/>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3" name="Host Control  484" hidden="1">
          <a:extLst>
            <a:ext uri="{FF2B5EF4-FFF2-40B4-BE49-F238E27FC236}">
              <a16:creationId xmlns:a16="http://schemas.microsoft.com/office/drawing/2014/main" id="{6175537B-621F-4356-A10F-AB0BDB3D2C02}"/>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4" name="Host Control  485" hidden="1">
          <a:extLst>
            <a:ext uri="{FF2B5EF4-FFF2-40B4-BE49-F238E27FC236}">
              <a16:creationId xmlns:a16="http://schemas.microsoft.com/office/drawing/2014/main" id="{4C0E0B8E-9693-42B8-941D-A48BAF2B2C15}"/>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5" name="Host Control  486" hidden="1">
          <a:extLst>
            <a:ext uri="{FF2B5EF4-FFF2-40B4-BE49-F238E27FC236}">
              <a16:creationId xmlns:a16="http://schemas.microsoft.com/office/drawing/2014/main" id="{E47C81F2-053C-4756-9D2D-8E41DC98C7E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6" name="Host Control  487" hidden="1">
          <a:extLst>
            <a:ext uri="{FF2B5EF4-FFF2-40B4-BE49-F238E27FC236}">
              <a16:creationId xmlns:a16="http://schemas.microsoft.com/office/drawing/2014/main" id="{775C763F-9469-42E6-8D96-D346A0E06B63}"/>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7" name="Host Control  488" hidden="1">
          <a:extLst>
            <a:ext uri="{FF2B5EF4-FFF2-40B4-BE49-F238E27FC236}">
              <a16:creationId xmlns:a16="http://schemas.microsoft.com/office/drawing/2014/main" id="{36506BDE-02D0-4401-BB80-D0BE2C4C8545}"/>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8" name="Host Control  489" hidden="1">
          <a:extLst>
            <a:ext uri="{FF2B5EF4-FFF2-40B4-BE49-F238E27FC236}">
              <a16:creationId xmlns:a16="http://schemas.microsoft.com/office/drawing/2014/main" id="{3A6B76CC-E7CA-41A7-B144-137C0F3EFD3E}"/>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9" name="Host Control  490" hidden="1">
          <a:extLst>
            <a:ext uri="{FF2B5EF4-FFF2-40B4-BE49-F238E27FC236}">
              <a16:creationId xmlns:a16="http://schemas.microsoft.com/office/drawing/2014/main" id="{FEC0D0C3-DE07-46DC-8FE6-A39F473B9FFB}"/>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0" name="Host Control  491" hidden="1">
          <a:extLst>
            <a:ext uri="{FF2B5EF4-FFF2-40B4-BE49-F238E27FC236}">
              <a16:creationId xmlns:a16="http://schemas.microsoft.com/office/drawing/2014/main" id="{B53EFC9B-1F29-45E1-B382-00680BBE4218}"/>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1" name="Host Control  492" hidden="1">
          <a:extLst>
            <a:ext uri="{FF2B5EF4-FFF2-40B4-BE49-F238E27FC236}">
              <a16:creationId xmlns:a16="http://schemas.microsoft.com/office/drawing/2014/main" id="{C9416B61-1DFB-4ADA-A0BC-97B49192E57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2" name="Host Control  493" hidden="1">
          <a:extLst>
            <a:ext uri="{FF2B5EF4-FFF2-40B4-BE49-F238E27FC236}">
              <a16:creationId xmlns:a16="http://schemas.microsoft.com/office/drawing/2014/main" id="{9697B3A0-A658-4228-8428-57224DDBC5B3}"/>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3" name="Host Control  494" hidden="1">
          <a:extLst>
            <a:ext uri="{FF2B5EF4-FFF2-40B4-BE49-F238E27FC236}">
              <a16:creationId xmlns:a16="http://schemas.microsoft.com/office/drawing/2014/main" id="{749F8134-2C15-46AD-A2D3-31C2F11A2D5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4" name="Host Control  495" hidden="1">
          <a:extLst>
            <a:ext uri="{FF2B5EF4-FFF2-40B4-BE49-F238E27FC236}">
              <a16:creationId xmlns:a16="http://schemas.microsoft.com/office/drawing/2014/main" id="{30ABD636-136A-44D2-8315-0A774D98D51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5" name="Host Control  496" hidden="1">
          <a:extLst>
            <a:ext uri="{FF2B5EF4-FFF2-40B4-BE49-F238E27FC236}">
              <a16:creationId xmlns:a16="http://schemas.microsoft.com/office/drawing/2014/main" id="{43AA5C0E-5F3E-4DA3-A7E2-5E19139DBBD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6" name="Host Control  497" hidden="1">
          <a:extLst>
            <a:ext uri="{FF2B5EF4-FFF2-40B4-BE49-F238E27FC236}">
              <a16:creationId xmlns:a16="http://schemas.microsoft.com/office/drawing/2014/main" id="{DBFAD4BA-FD56-4C70-8887-C888ED4BAF27}"/>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7" name="Host Control  498" hidden="1">
          <a:extLst>
            <a:ext uri="{FF2B5EF4-FFF2-40B4-BE49-F238E27FC236}">
              <a16:creationId xmlns:a16="http://schemas.microsoft.com/office/drawing/2014/main" id="{73EFA35D-7336-4C36-8BC8-667D1537646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8" name="Host Control  499" hidden="1">
          <a:extLst>
            <a:ext uri="{FF2B5EF4-FFF2-40B4-BE49-F238E27FC236}">
              <a16:creationId xmlns:a16="http://schemas.microsoft.com/office/drawing/2014/main" id="{48088F2E-0CBF-4780-933D-A54C14A0243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9" name="Host Control  500" hidden="1">
          <a:extLst>
            <a:ext uri="{FF2B5EF4-FFF2-40B4-BE49-F238E27FC236}">
              <a16:creationId xmlns:a16="http://schemas.microsoft.com/office/drawing/2014/main" id="{1C929A99-760E-489F-B504-D6AC48599BEF}"/>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0" name="Host Control  501" hidden="1">
          <a:extLst>
            <a:ext uri="{FF2B5EF4-FFF2-40B4-BE49-F238E27FC236}">
              <a16:creationId xmlns:a16="http://schemas.microsoft.com/office/drawing/2014/main" id="{94A46795-6E71-46D5-8E11-37F5C55F3581}"/>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1" name="Host Control  502" hidden="1">
          <a:extLst>
            <a:ext uri="{FF2B5EF4-FFF2-40B4-BE49-F238E27FC236}">
              <a16:creationId xmlns:a16="http://schemas.microsoft.com/office/drawing/2014/main" id="{D7D742FF-D379-4F39-B5A7-C5C9EC30293F}"/>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2" name="Host Control  503" hidden="1">
          <a:extLst>
            <a:ext uri="{FF2B5EF4-FFF2-40B4-BE49-F238E27FC236}">
              <a16:creationId xmlns:a16="http://schemas.microsoft.com/office/drawing/2014/main" id="{DAE7E72C-4ED2-48CF-BDA1-142CE9E887F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3" name="Host Control  504" hidden="1">
          <a:extLst>
            <a:ext uri="{FF2B5EF4-FFF2-40B4-BE49-F238E27FC236}">
              <a16:creationId xmlns:a16="http://schemas.microsoft.com/office/drawing/2014/main" id="{49CF147F-D268-499A-B022-04122BAD9747}"/>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4" name="Host Control  505" hidden="1">
          <a:extLst>
            <a:ext uri="{FF2B5EF4-FFF2-40B4-BE49-F238E27FC236}">
              <a16:creationId xmlns:a16="http://schemas.microsoft.com/office/drawing/2014/main" id="{831A42E2-9152-45DC-9BE0-BE172014B4BB}"/>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5" name="Host Control  506" hidden="1">
          <a:extLst>
            <a:ext uri="{FF2B5EF4-FFF2-40B4-BE49-F238E27FC236}">
              <a16:creationId xmlns:a16="http://schemas.microsoft.com/office/drawing/2014/main" id="{A16BE6D3-131F-4DCA-BDB0-1B79BD6D503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6" name="Host Control  507" hidden="1">
          <a:extLst>
            <a:ext uri="{FF2B5EF4-FFF2-40B4-BE49-F238E27FC236}">
              <a16:creationId xmlns:a16="http://schemas.microsoft.com/office/drawing/2014/main" id="{8F4C4933-5E78-4C09-B024-D2B28348F40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7" name="Host Control  508" hidden="1">
          <a:extLst>
            <a:ext uri="{FF2B5EF4-FFF2-40B4-BE49-F238E27FC236}">
              <a16:creationId xmlns:a16="http://schemas.microsoft.com/office/drawing/2014/main" id="{C58634FB-4346-47EC-816E-C2187C6AD73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8" name="Host Control  509" hidden="1">
          <a:extLst>
            <a:ext uri="{FF2B5EF4-FFF2-40B4-BE49-F238E27FC236}">
              <a16:creationId xmlns:a16="http://schemas.microsoft.com/office/drawing/2014/main" id="{95C30B1A-B1C2-4D3A-98A2-098DC2F4DF9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9" name="Host Control  510" hidden="1">
          <a:extLst>
            <a:ext uri="{FF2B5EF4-FFF2-40B4-BE49-F238E27FC236}">
              <a16:creationId xmlns:a16="http://schemas.microsoft.com/office/drawing/2014/main" id="{5B7895A7-44D7-4C63-975B-F7505637A88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10" name="Host Control  511" hidden="1">
          <a:extLst>
            <a:ext uri="{FF2B5EF4-FFF2-40B4-BE49-F238E27FC236}">
              <a16:creationId xmlns:a16="http://schemas.microsoft.com/office/drawing/2014/main" id="{49CE5EE9-F647-48DE-B9D6-16C8672E569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11" name="Host Control  512" hidden="1">
          <a:extLst>
            <a:ext uri="{FF2B5EF4-FFF2-40B4-BE49-F238E27FC236}">
              <a16:creationId xmlns:a16="http://schemas.microsoft.com/office/drawing/2014/main" id="{C3EE0F0F-38ED-46AE-AF46-760248C7E62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2" name="Host Control  517" hidden="1">
          <a:extLst>
            <a:ext uri="{FF2B5EF4-FFF2-40B4-BE49-F238E27FC236}">
              <a16:creationId xmlns:a16="http://schemas.microsoft.com/office/drawing/2014/main" id="{284EBC16-E6C8-403E-9645-1C899D17B19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3" name="Host Control  518" hidden="1">
          <a:extLst>
            <a:ext uri="{FF2B5EF4-FFF2-40B4-BE49-F238E27FC236}">
              <a16:creationId xmlns:a16="http://schemas.microsoft.com/office/drawing/2014/main" id="{36486355-4181-4065-944F-552ADE22EE7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4" name="Host Control  519" hidden="1">
          <a:extLst>
            <a:ext uri="{FF2B5EF4-FFF2-40B4-BE49-F238E27FC236}">
              <a16:creationId xmlns:a16="http://schemas.microsoft.com/office/drawing/2014/main" id="{BE20CC71-68F3-40A7-AF9C-21FB93C2C96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5" name="Host Control  520" hidden="1">
          <a:extLst>
            <a:ext uri="{FF2B5EF4-FFF2-40B4-BE49-F238E27FC236}">
              <a16:creationId xmlns:a16="http://schemas.microsoft.com/office/drawing/2014/main" id="{C9234E8B-3A99-4F3B-A935-AFC4178E2A7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6" name="Host Control  521" hidden="1">
          <a:extLst>
            <a:ext uri="{FF2B5EF4-FFF2-40B4-BE49-F238E27FC236}">
              <a16:creationId xmlns:a16="http://schemas.microsoft.com/office/drawing/2014/main" id="{06E0C4EB-676B-4DC2-9309-E5EEAEDD91F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7" name="Host Control  522" hidden="1">
          <a:extLst>
            <a:ext uri="{FF2B5EF4-FFF2-40B4-BE49-F238E27FC236}">
              <a16:creationId xmlns:a16="http://schemas.microsoft.com/office/drawing/2014/main" id="{A64D6709-A2EC-4CE6-9056-F9F66B684AA3}"/>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8" name="Host Control  523" hidden="1">
          <a:extLst>
            <a:ext uri="{FF2B5EF4-FFF2-40B4-BE49-F238E27FC236}">
              <a16:creationId xmlns:a16="http://schemas.microsoft.com/office/drawing/2014/main" id="{255057DE-32A8-412F-8B59-68DD2DEB2E5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9" name="Host Control  524" hidden="1">
          <a:extLst>
            <a:ext uri="{FF2B5EF4-FFF2-40B4-BE49-F238E27FC236}">
              <a16:creationId xmlns:a16="http://schemas.microsoft.com/office/drawing/2014/main" id="{69CF23E4-2509-4655-B0C0-CFF84EF555F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0" name="Host Control  525" hidden="1">
          <a:extLst>
            <a:ext uri="{FF2B5EF4-FFF2-40B4-BE49-F238E27FC236}">
              <a16:creationId xmlns:a16="http://schemas.microsoft.com/office/drawing/2014/main" id="{2E197981-9B06-4923-9E9C-6F3DE0266BE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1" name="Host Control  526" hidden="1">
          <a:extLst>
            <a:ext uri="{FF2B5EF4-FFF2-40B4-BE49-F238E27FC236}">
              <a16:creationId xmlns:a16="http://schemas.microsoft.com/office/drawing/2014/main" id="{B935502B-8899-4364-AD52-6BBC26CFAE1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2" name="Host Control  527" hidden="1">
          <a:extLst>
            <a:ext uri="{FF2B5EF4-FFF2-40B4-BE49-F238E27FC236}">
              <a16:creationId xmlns:a16="http://schemas.microsoft.com/office/drawing/2014/main" id="{3773DE19-FBD5-4BF6-84C2-F34ECDE5F07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3" name="Host Control  528" hidden="1">
          <a:extLst>
            <a:ext uri="{FF2B5EF4-FFF2-40B4-BE49-F238E27FC236}">
              <a16:creationId xmlns:a16="http://schemas.microsoft.com/office/drawing/2014/main" id="{BC01EC3E-1B02-4F07-9ADC-60983603B48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4" name="Host Control  529" hidden="1">
          <a:extLst>
            <a:ext uri="{FF2B5EF4-FFF2-40B4-BE49-F238E27FC236}">
              <a16:creationId xmlns:a16="http://schemas.microsoft.com/office/drawing/2014/main" id="{69906C3E-3E18-466D-A0EF-00F87DB858E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5" name="Host Control  530" hidden="1">
          <a:extLst>
            <a:ext uri="{FF2B5EF4-FFF2-40B4-BE49-F238E27FC236}">
              <a16:creationId xmlns:a16="http://schemas.microsoft.com/office/drawing/2014/main" id="{B7BB4A49-3E08-4548-949D-A4FC952FC4F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6" name="Host Control  531" hidden="1">
          <a:extLst>
            <a:ext uri="{FF2B5EF4-FFF2-40B4-BE49-F238E27FC236}">
              <a16:creationId xmlns:a16="http://schemas.microsoft.com/office/drawing/2014/main" id="{E0028CCA-1E8D-4894-8202-9942DDCC767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7" name="Host Control  532" hidden="1">
          <a:extLst>
            <a:ext uri="{FF2B5EF4-FFF2-40B4-BE49-F238E27FC236}">
              <a16:creationId xmlns:a16="http://schemas.microsoft.com/office/drawing/2014/main" id="{EB9C4FC3-C354-4B8A-A002-F054C81D1F7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8" name="Host Control  533" hidden="1">
          <a:extLst>
            <a:ext uri="{FF2B5EF4-FFF2-40B4-BE49-F238E27FC236}">
              <a16:creationId xmlns:a16="http://schemas.microsoft.com/office/drawing/2014/main" id="{154FC821-8A12-4D74-8265-557A74AE0ECB}"/>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9" name="Host Control  534" hidden="1">
          <a:extLst>
            <a:ext uri="{FF2B5EF4-FFF2-40B4-BE49-F238E27FC236}">
              <a16:creationId xmlns:a16="http://schemas.microsoft.com/office/drawing/2014/main" id="{60CCBC4A-1956-45F3-BF1C-C2FDE08ABED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0" name="Host Control  535" hidden="1">
          <a:extLst>
            <a:ext uri="{FF2B5EF4-FFF2-40B4-BE49-F238E27FC236}">
              <a16:creationId xmlns:a16="http://schemas.microsoft.com/office/drawing/2014/main" id="{41EDB82E-3896-4A33-A1B8-11D29512A9EA}"/>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1" name="Host Control  536" hidden="1">
          <a:extLst>
            <a:ext uri="{FF2B5EF4-FFF2-40B4-BE49-F238E27FC236}">
              <a16:creationId xmlns:a16="http://schemas.microsoft.com/office/drawing/2014/main" id="{494DCF55-25F2-4B44-AD43-7BED1DB74A6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2" name="Host Control  537" hidden="1">
          <a:extLst>
            <a:ext uri="{FF2B5EF4-FFF2-40B4-BE49-F238E27FC236}">
              <a16:creationId xmlns:a16="http://schemas.microsoft.com/office/drawing/2014/main" id="{C9D57430-2093-410B-9342-2B018B0D48C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3" name="Host Control  538" hidden="1">
          <a:extLst>
            <a:ext uri="{FF2B5EF4-FFF2-40B4-BE49-F238E27FC236}">
              <a16:creationId xmlns:a16="http://schemas.microsoft.com/office/drawing/2014/main" id="{DDCBC45F-906F-48BB-94F9-6DD7A614786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4" name="Host Control  539" hidden="1">
          <a:extLst>
            <a:ext uri="{FF2B5EF4-FFF2-40B4-BE49-F238E27FC236}">
              <a16:creationId xmlns:a16="http://schemas.microsoft.com/office/drawing/2014/main" id="{19E6AC11-527F-40DD-B484-8C127494C02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5" name="Host Control  540" hidden="1">
          <a:extLst>
            <a:ext uri="{FF2B5EF4-FFF2-40B4-BE49-F238E27FC236}">
              <a16:creationId xmlns:a16="http://schemas.microsoft.com/office/drawing/2014/main" id="{CB767EB8-94AB-400A-8C68-69C5171E54B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6" name="Host Control  541" hidden="1">
          <a:extLst>
            <a:ext uri="{FF2B5EF4-FFF2-40B4-BE49-F238E27FC236}">
              <a16:creationId xmlns:a16="http://schemas.microsoft.com/office/drawing/2014/main" id="{E006CC7B-0C42-489E-B0FD-DCA50924BAE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7" name="Host Control  542" hidden="1">
          <a:extLst>
            <a:ext uri="{FF2B5EF4-FFF2-40B4-BE49-F238E27FC236}">
              <a16:creationId xmlns:a16="http://schemas.microsoft.com/office/drawing/2014/main" id="{B04A828F-3E17-4034-AEEE-F62E2EFE678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8" name="Host Control  543" hidden="1">
          <a:extLst>
            <a:ext uri="{FF2B5EF4-FFF2-40B4-BE49-F238E27FC236}">
              <a16:creationId xmlns:a16="http://schemas.microsoft.com/office/drawing/2014/main" id="{98D50ED1-CA91-45F9-A5AD-1801526EB47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9" name="Host Control  544" hidden="1">
          <a:extLst>
            <a:ext uri="{FF2B5EF4-FFF2-40B4-BE49-F238E27FC236}">
              <a16:creationId xmlns:a16="http://schemas.microsoft.com/office/drawing/2014/main" id="{3E6A9416-7D19-4E59-8FE6-1C24690D54D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0" name="Host Control  545" hidden="1">
          <a:extLst>
            <a:ext uri="{FF2B5EF4-FFF2-40B4-BE49-F238E27FC236}">
              <a16:creationId xmlns:a16="http://schemas.microsoft.com/office/drawing/2014/main" id="{35BD1825-C9E6-4D10-8AFA-06E71FE6938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1" name="Host Control  583" hidden="1">
          <a:extLst>
            <a:ext uri="{FF2B5EF4-FFF2-40B4-BE49-F238E27FC236}">
              <a16:creationId xmlns:a16="http://schemas.microsoft.com/office/drawing/2014/main" id="{0FAB4583-3992-47B5-B3F0-7FA826696E9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2" name="Host Control  584" hidden="1">
          <a:extLst>
            <a:ext uri="{FF2B5EF4-FFF2-40B4-BE49-F238E27FC236}">
              <a16:creationId xmlns:a16="http://schemas.microsoft.com/office/drawing/2014/main" id="{5B697C97-C5C9-4560-B30D-DA105D9F159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3" name="Host Control  585" hidden="1">
          <a:extLst>
            <a:ext uri="{FF2B5EF4-FFF2-40B4-BE49-F238E27FC236}">
              <a16:creationId xmlns:a16="http://schemas.microsoft.com/office/drawing/2014/main" id="{A64CF125-0E29-41A7-AFE7-CD45AFC7656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4" name="Host Control  586" hidden="1">
          <a:extLst>
            <a:ext uri="{FF2B5EF4-FFF2-40B4-BE49-F238E27FC236}">
              <a16:creationId xmlns:a16="http://schemas.microsoft.com/office/drawing/2014/main" id="{3B8547B6-269D-4595-9A71-FB312E29C7E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5" name="Host Control  587" hidden="1">
          <a:extLst>
            <a:ext uri="{FF2B5EF4-FFF2-40B4-BE49-F238E27FC236}">
              <a16:creationId xmlns:a16="http://schemas.microsoft.com/office/drawing/2014/main" id="{608415A8-7E01-4F7D-A37D-DD11147A182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6" name="Host Control  588" hidden="1">
          <a:extLst>
            <a:ext uri="{FF2B5EF4-FFF2-40B4-BE49-F238E27FC236}">
              <a16:creationId xmlns:a16="http://schemas.microsoft.com/office/drawing/2014/main" id="{C21D777A-4D46-4C82-B960-4197E6151FA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7" name="Host Control  589" hidden="1">
          <a:extLst>
            <a:ext uri="{FF2B5EF4-FFF2-40B4-BE49-F238E27FC236}">
              <a16:creationId xmlns:a16="http://schemas.microsoft.com/office/drawing/2014/main" id="{C9997B9E-4F26-4707-A87F-F57749AB7E6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8" name="Host Control  590" hidden="1">
          <a:extLst>
            <a:ext uri="{FF2B5EF4-FFF2-40B4-BE49-F238E27FC236}">
              <a16:creationId xmlns:a16="http://schemas.microsoft.com/office/drawing/2014/main" id="{CCF5BB7C-3EA4-4F1D-86DD-4FFB8E62413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9" name="Host Control  591" hidden="1">
          <a:extLst>
            <a:ext uri="{FF2B5EF4-FFF2-40B4-BE49-F238E27FC236}">
              <a16:creationId xmlns:a16="http://schemas.microsoft.com/office/drawing/2014/main" id="{8B17EADE-3051-40BF-BE57-375C401BA7E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0" name="Host Control  592" hidden="1">
          <a:extLst>
            <a:ext uri="{FF2B5EF4-FFF2-40B4-BE49-F238E27FC236}">
              <a16:creationId xmlns:a16="http://schemas.microsoft.com/office/drawing/2014/main" id="{ABA11DF7-4032-4E09-BBE9-C64FF94CC15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1" name="Host Control  593" hidden="1">
          <a:extLst>
            <a:ext uri="{FF2B5EF4-FFF2-40B4-BE49-F238E27FC236}">
              <a16:creationId xmlns:a16="http://schemas.microsoft.com/office/drawing/2014/main" id="{9972B56E-60FF-4703-8957-E03E4939000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2" name="Host Control  594" hidden="1">
          <a:extLst>
            <a:ext uri="{FF2B5EF4-FFF2-40B4-BE49-F238E27FC236}">
              <a16:creationId xmlns:a16="http://schemas.microsoft.com/office/drawing/2014/main" id="{0B9FBE84-9A13-468B-A8CF-7820B91070F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3" name="Host Control  595" hidden="1">
          <a:extLst>
            <a:ext uri="{FF2B5EF4-FFF2-40B4-BE49-F238E27FC236}">
              <a16:creationId xmlns:a16="http://schemas.microsoft.com/office/drawing/2014/main" id="{602903E2-CD94-4E6F-8815-C82EE50BCB1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4" name="Host Control  596" hidden="1">
          <a:extLst>
            <a:ext uri="{FF2B5EF4-FFF2-40B4-BE49-F238E27FC236}">
              <a16:creationId xmlns:a16="http://schemas.microsoft.com/office/drawing/2014/main" id="{46FC96C1-F6C1-46D1-9C8A-9046483B7F0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5" name="Host Control  597" hidden="1">
          <a:extLst>
            <a:ext uri="{FF2B5EF4-FFF2-40B4-BE49-F238E27FC236}">
              <a16:creationId xmlns:a16="http://schemas.microsoft.com/office/drawing/2014/main" id="{40636E98-893E-40B8-AFC6-44B32F28D3CA}"/>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6" name="Host Control  598" hidden="1">
          <a:extLst>
            <a:ext uri="{FF2B5EF4-FFF2-40B4-BE49-F238E27FC236}">
              <a16:creationId xmlns:a16="http://schemas.microsoft.com/office/drawing/2014/main" id="{2D9D7931-8AB9-4FEB-8AAD-DD933926AF6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7" name="Host Control  599" hidden="1">
          <a:extLst>
            <a:ext uri="{FF2B5EF4-FFF2-40B4-BE49-F238E27FC236}">
              <a16:creationId xmlns:a16="http://schemas.microsoft.com/office/drawing/2014/main" id="{942DE31B-81B4-4C9C-994F-992EE77687F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8" name="Host Control  600" hidden="1">
          <a:extLst>
            <a:ext uri="{FF2B5EF4-FFF2-40B4-BE49-F238E27FC236}">
              <a16:creationId xmlns:a16="http://schemas.microsoft.com/office/drawing/2014/main" id="{6F7A7D2E-DD99-40FA-A391-85464F60208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9" name="Host Control  601" hidden="1">
          <a:extLst>
            <a:ext uri="{FF2B5EF4-FFF2-40B4-BE49-F238E27FC236}">
              <a16:creationId xmlns:a16="http://schemas.microsoft.com/office/drawing/2014/main" id="{74837CC3-B45B-4603-A19F-DBDECED2D55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0" name="Host Control  602" hidden="1">
          <a:extLst>
            <a:ext uri="{FF2B5EF4-FFF2-40B4-BE49-F238E27FC236}">
              <a16:creationId xmlns:a16="http://schemas.microsoft.com/office/drawing/2014/main" id="{ED7BD3EE-3827-40E4-9E4F-501C29F32E0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1" name="Host Control  603" hidden="1">
          <a:extLst>
            <a:ext uri="{FF2B5EF4-FFF2-40B4-BE49-F238E27FC236}">
              <a16:creationId xmlns:a16="http://schemas.microsoft.com/office/drawing/2014/main" id="{88A83AB2-F227-4CEA-A268-CCB6C75D548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2" name="Host Control  604" hidden="1">
          <a:extLst>
            <a:ext uri="{FF2B5EF4-FFF2-40B4-BE49-F238E27FC236}">
              <a16:creationId xmlns:a16="http://schemas.microsoft.com/office/drawing/2014/main" id="{3B5782B0-FD37-4A49-8DAC-B7079DBE57C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3" name="Host Control  605" hidden="1">
          <a:extLst>
            <a:ext uri="{FF2B5EF4-FFF2-40B4-BE49-F238E27FC236}">
              <a16:creationId xmlns:a16="http://schemas.microsoft.com/office/drawing/2014/main" id="{2A1075E8-C18A-4988-956A-3C5390D9D16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4" name="Host Control  606" hidden="1">
          <a:extLst>
            <a:ext uri="{FF2B5EF4-FFF2-40B4-BE49-F238E27FC236}">
              <a16:creationId xmlns:a16="http://schemas.microsoft.com/office/drawing/2014/main" id="{9B0EEF27-9940-4ACE-8B52-D1475864351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5" name="Host Control  607" hidden="1">
          <a:extLst>
            <a:ext uri="{FF2B5EF4-FFF2-40B4-BE49-F238E27FC236}">
              <a16:creationId xmlns:a16="http://schemas.microsoft.com/office/drawing/2014/main" id="{37C9F952-761A-434C-AF7A-8B6C3E64FC1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6" name="Host Control  608" hidden="1">
          <a:extLst>
            <a:ext uri="{FF2B5EF4-FFF2-40B4-BE49-F238E27FC236}">
              <a16:creationId xmlns:a16="http://schemas.microsoft.com/office/drawing/2014/main" id="{EC45CACB-5F86-43E3-A41A-924CE9C6DEE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7" name="Host Control  609" hidden="1">
          <a:extLst>
            <a:ext uri="{FF2B5EF4-FFF2-40B4-BE49-F238E27FC236}">
              <a16:creationId xmlns:a16="http://schemas.microsoft.com/office/drawing/2014/main" id="{380D196C-0917-4030-A9A8-9AC35D68CD7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8" name="Host Control  610" hidden="1">
          <a:extLst>
            <a:ext uri="{FF2B5EF4-FFF2-40B4-BE49-F238E27FC236}">
              <a16:creationId xmlns:a16="http://schemas.microsoft.com/office/drawing/2014/main" id="{BCE2ABFC-F5C1-43E8-AC07-73A211D409A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9" name="Host Control  611" hidden="1">
          <a:extLst>
            <a:ext uri="{FF2B5EF4-FFF2-40B4-BE49-F238E27FC236}">
              <a16:creationId xmlns:a16="http://schemas.microsoft.com/office/drawing/2014/main" id="{FFFC7395-972A-4DEE-A1D6-BB38D9C67943}"/>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0" name="Host Control  483" hidden="1">
          <a:extLst>
            <a:ext uri="{FF2B5EF4-FFF2-40B4-BE49-F238E27FC236}">
              <a16:creationId xmlns:a16="http://schemas.microsoft.com/office/drawing/2014/main" id="{DA2C2BFD-7984-46C0-860C-21517B1372B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1" name="Host Control  484" hidden="1">
          <a:extLst>
            <a:ext uri="{FF2B5EF4-FFF2-40B4-BE49-F238E27FC236}">
              <a16:creationId xmlns:a16="http://schemas.microsoft.com/office/drawing/2014/main" id="{D0FDE399-A766-4438-B458-57184AB48BE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2" name="Host Control  485" hidden="1">
          <a:extLst>
            <a:ext uri="{FF2B5EF4-FFF2-40B4-BE49-F238E27FC236}">
              <a16:creationId xmlns:a16="http://schemas.microsoft.com/office/drawing/2014/main" id="{A9ECEB75-DE32-4F4B-8878-8C6F0E84B2E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3" name="Host Control  486" hidden="1">
          <a:extLst>
            <a:ext uri="{FF2B5EF4-FFF2-40B4-BE49-F238E27FC236}">
              <a16:creationId xmlns:a16="http://schemas.microsoft.com/office/drawing/2014/main" id="{0B557FFE-E42A-42E9-920E-286A225B0DB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4" name="Host Control  487" hidden="1">
          <a:extLst>
            <a:ext uri="{FF2B5EF4-FFF2-40B4-BE49-F238E27FC236}">
              <a16:creationId xmlns:a16="http://schemas.microsoft.com/office/drawing/2014/main" id="{07BDBD8B-853A-41B5-9838-26C7B48EFD7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5" name="Host Control  488" hidden="1">
          <a:extLst>
            <a:ext uri="{FF2B5EF4-FFF2-40B4-BE49-F238E27FC236}">
              <a16:creationId xmlns:a16="http://schemas.microsoft.com/office/drawing/2014/main" id="{8D1027A4-E8FF-448E-9014-38D153685C5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6" name="Host Control  489" hidden="1">
          <a:extLst>
            <a:ext uri="{FF2B5EF4-FFF2-40B4-BE49-F238E27FC236}">
              <a16:creationId xmlns:a16="http://schemas.microsoft.com/office/drawing/2014/main" id="{75DD18D1-0BA3-49F9-ACFD-55DFABCA7A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7" name="Host Control  490" hidden="1">
          <a:extLst>
            <a:ext uri="{FF2B5EF4-FFF2-40B4-BE49-F238E27FC236}">
              <a16:creationId xmlns:a16="http://schemas.microsoft.com/office/drawing/2014/main" id="{9CECFA0A-519C-4C4A-9CA1-C15B8B52DDF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8" name="Host Control  491" hidden="1">
          <a:extLst>
            <a:ext uri="{FF2B5EF4-FFF2-40B4-BE49-F238E27FC236}">
              <a16:creationId xmlns:a16="http://schemas.microsoft.com/office/drawing/2014/main" id="{CCDB95AD-6ED8-4496-A3A5-CC371BE8C5E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9" name="Host Control  492" hidden="1">
          <a:extLst>
            <a:ext uri="{FF2B5EF4-FFF2-40B4-BE49-F238E27FC236}">
              <a16:creationId xmlns:a16="http://schemas.microsoft.com/office/drawing/2014/main" id="{FDCB68DA-DA57-4188-8DBB-BFABF6C35E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0" name="Host Control  493" hidden="1">
          <a:extLst>
            <a:ext uri="{FF2B5EF4-FFF2-40B4-BE49-F238E27FC236}">
              <a16:creationId xmlns:a16="http://schemas.microsoft.com/office/drawing/2014/main" id="{62C0D2A2-5D81-4FAE-A442-186EF112856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1" name="Host Control  494" hidden="1">
          <a:extLst>
            <a:ext uri="{FF2B5EF4-FFF2-40B4-BE49-F238E27FC236}">
              <a16:creationId xmlns:a16="http://schemas.microsoft.com/office/drawing/2014/main" id="{FFC5816D-61F8-489B-9697-7D291BBB497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2" name="Host Control  495" hidden="1">
          <a:extLst>
            <a:ext uri="{FF2B5EF4-FFF2-40B4-BE49-F238E27FC236}">
              <a16:creationId xmlns:a16="http://schemas.microsoft.com/office/drawing/2014/main" id="{B2A67B92-DDD7-4B46-9CE0-0ABBD4C3F9A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3" name="Host Control  496" hidden="1">
          <a:extLst>
            <a:ext uri="{FF2B5EF4-FFF2-40B4-BE49-F238E27FC236}">
              <a16:creationId xmlns:a16="http://schemas.microsoft.com/office/drawing/2014/main" id="{37EF38DD-E941-40ED-9082-C66B4D9BCDB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4" name="Host Control  497" hidden="1">
          <a:extLst>
            <a:ext uri="{FF2B5EF4-FFF2-40B4-BE49-F238E27FC236}">
              <a16:creationId xmlns:a16="http://schemas.microsoft.com/office/drawing/2014/main" id="{B768184B-6CBD-4FA7-94CC-E5FB8C9A917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5" name="Host Control  498" hidden="1">
          <a:extLst>
            <a:ext uri="{FF2B5EF4-FFF2-40B4-BE49-F238E27FC236}">
              <a16:creationId xmlns:a16="http://schemas.microsoft.com/office/drawing/2014/main" id="{6FA56F7A-90C5-4B6C-81B2-09BA0B21B00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6" name="Host Control  499" hidden="1">
          <a:extLst>
            <a:ext uri="{FF2B5EF4-FFF2-40B4-BE49-F238E27FC236}">
              <a16:creationId xmlns:a16="http://schemas.microsoft.com/office/drawing/2014/main" id="{6312B230-8356-48F1-97F9-E1EEA85C39C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7" name="Host Control  500" hidden="1">
          <a:extLst>
            <a:ext uri="{FF2B5EF4-FFF2-40B4-BE49-F238E27FC236}">
              <a16:creationId xmlns:a16="http://schemas.microsoft.com/office/drawing/2014/main" id="{DEB57CB1-F486-4357-9FE5-17BE38BC8AD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8" name="Host Control  501" hidden="1">
          <a:extLst>
            <a:ext uri="{FF2B5EF4-FFF2-40B4-BE49-F238E27FC236}">
              <a16:creationId xmlns:a16="http://schemas.microsoft.com/office/drawing/2014/main" id="{AC96568B-EEDF-46CC-8020-D41C39D2A84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9" name="Host Control  502" hidden="1">
          <a:extLst>
            <a:ext uri="{FF2B5EF4-FFF2-40B4-BE49-F238E27FC236}">
              <a16:creationId xmlns:a16="http://schemas.microsoft.com/office/drawing/2014/main" id="{84AFA04E-C2AE-451D-B59E-19FB5151D10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0" name="Host Control  503" hidden="1">
          <a:extLst>
            <a:ext uri="{FF2B5EF4-FFF2-40B4-BE49-F238E27FC236}">
              <a16:creationId xmlns:a16="http://schemas.microsoft.com/office/drawing/2014/main" id="{C003DDF5-6EF9-4B58-8E47-C3756799D9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1" name="Host Control  504" hidden="1">
          <a:extLst>
            <a:ext uri="{FF2B5EF4-FFF2-40B4-BE49-F238E27FC236}">
              <a16:creationId xmlns:a16="http://schemas.microsoft.com/office/drawing/2014/main" id="{1F2262CA-2F55-4B24-89E4-D509AAC5B70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2" name="Host Control  505" hidden="1">
          <a:extLst>
            <a:ext uri="{FF2B5EF4-FFF2-40B4-BE49-F238E27FC236}">
              <a16:creationId xmlns:a16="http://schemas.microsoft.com/office/drawing/2014/main" id="{4151523E-5E36-4048-98E8-A629B26F833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3" name="Host Control  506" hidden="1">
          <a:extLst>
            <a:ext uri="{FF2B5EF4-FFF2-40B4-BE49-F238E27FC236}">
              <a16:creationId xmlns:a16="http://schemas.microsoft.com/office/drawing/2014/main" id="{A609779D-BBAB-40C4-AA02-7818849D46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4" name="Host Control  507" hidden="1">
          <a:extLst>
            <a:ext uri="{FF2B5EF4-FFF2-40B4-BE49-F238E27FC236}">
              <a16:creationId xmlns:a16="http://schemas.microsoft.com/office/drawing/2014/main" id="{E7DBC178-7C24-4B56-9FA6-5228BD36CEF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5" name="Host Control  508" hidden="1">
          <a:extLst>
            <a:ext uri="{FF2B5EF4-FFF2-40B4-BE49-F238E27FC236}">
              <a16:creationId xmlns:a16="http://schemas.microsoft.com/office/drawing/2014/main" id="{D6C5C71D-55B9-4C1A-A1AD-BD40B75D271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6" name="Host Control  509" hidden="1">
          <a:extLst>
            <a:ext uri="{FF2B5EF4-FFF2-40B4-BE49-F238E27FC236}">
              <a16:creationId xmlns:a16="http://schemas.microsoft.com/office/drawing/2014/main" id="{BCFD0E49-1E8C-482D-9AF3-BDAA6F7BE6B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7" name="Host Control  510" hidden="1">
          <a:extLst>
            <a:ext uri="{FF2B5EF4-FFF2-40B4-BE49-F238E27FC236}">
              <a16:creationId xmlns:a16="http://schemas.microsoft.com/office/drawing/2014/main" id="{6D003237-97F9-4CD2-9DE9-A5AAC98888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8" name="Host Control  511" hidden="1">
          <a:extLst>
            <a:ext uri="{FF2B5EF4-FFF2-40B4-BE49-F238E27FC236}">
              <a16:creationId xmlns:a16="http://schemas.microsoft.com/office/drawing/2014/main" id="{18FA82FD-4196-4F5A-BBE9-EF2ABAB57F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9" name="Host Control  512" hidden="1">
          <a:extLst>
            <a:ext uri="{FF2B5EF4-FFF2-40B4-BE49-F238E27FC236}">
              <a16:creationId xmlns:a16="http://schemas.microsoft.com/office/drawing/2014/main" id="{BAD3801F-9820-4E46-A65B-5C0F831C24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0" name="Host Control  517" hidden="1">
          <a:extLst>
            <a:ext uri="{FF2B5EF4-FFF2-40B4-BE49-F238E27FC236}">
              <a16:creationId xmlns:a16="http://schemas.microsoft.com/office/drawing/2014/main" id="{49B50D40-1199-4D0A-A09D-66B7AD318D4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1" name="Host Control  518" hidden="1">
          <a:extLst>
            <a:ext uri="{FF2B5EF4-FFF2-40B4-BE49-F238E27FC236}">
              <a16:creationId xmlns:a16="http://schemas.microsoft.com/office/drawing/2014/main" id="{7DE0A41A-78B1-4FB1-9596-11172C6263C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2" name="Host Control  519" hidden="1">
          <a:extLst>
            <a:ext uri="{FF2B5EF4-FFF2-40B4-BE49-F238E27FC236}">
              <a16:creationId xmlns:a16="http://schemas.microsoft.com/office/drawing/2014/main" id="{644E35FE-0AC5-4452-9BC7-95E88EC8686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3" name="Host Control  520" hidden="1">
          <a:extLst>
            <a:ext uri="{FF2B5EF4-FFF2-40B4-BE49-F238E27FC236}">
              <a16:creationId xmlns:a16="http://schemas.microsoft.com/office/drawing/2014/main" id="{99742449-F343-4EBD-8EEF-A5F5EC137F1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4" name="Host Control  521" hidden="1">
          <a:extLst>
            <a:ext uri="{FF2B5EF4-FFF2-40B4-BE49-F238E27FC236}">
              <a16:creationId xmlns:a16="http://schemas.microsoft.com/office/drawing/2014/main" id="{E8643782-EAD3-4D33-B793-D8410022D04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5" name="Host Control  522" hidden="1">
          <a:extLst>
            <a:ext uri="{FF2B5EF4-FFF2-40B4-BE49-F238E27FC236}">
              <a16:creationId xmlns:a16="http://schemas.microsoft.com/office/drawing/2014/main" id="{AC326E8A-2F23-4588-B669-F9E3D44AB80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6" name="Host Control  523" hidden="1">
          <a:extLst>
            <a:ext uri="{FF2B5EF4-FFF2-40B4-BE49-F238E27FC236}">
              <a16:creationId xmlns:a16="http://schemas.microsoft.com/office/drawing/2014/main" id="{718CA709-22FE-4FBF-BCAB-9CE5FD89A9C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7" name="Host Control  524" hidden="1">
          <a:extLst>
            <a:ext uri="{FF2B5EF4-FFF2-40B4-BE49-F238E27FC236}">
              <a16:creationId xmlns:a16="http://schemas.microsoft.com/office/drawing/2014/main" id="{6A9CB2AC-98CE-4469-9145-7C416F805D67}"/>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8" name="Host Control  525" hidden="1">
          <a:extLst>
            <a:ext uri="{FF2B5EF4-FFF2-40B4-BE49-F238E27FC236}">
              <a16:creationId xmlns:a16="http://schemas.microsoft.com/office/drawing/2014/main" id="{B4E916D2-A493-4D43-81B6-11B93EC3244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9" name="Host Control  526" hidden="1">
          <a:extLst>
            <a:ext uri="{FF2B5EF4-FFF2-40B4-BE49-F238E27FC236}">
              <a16:creationId xmlns:a16="http://schemas.microsoft.com/office/drawing/2014/main" id="{E7143FB7-841B-49D4-942F-D3A2F033241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0" name="Host Control  527" hidden="1">
          <a:extLst>
            <a:ext uri="{FF2B5EF4-FFF2-40B4-BE49-F238E27FC236}">
              <a16:creationId xmlns:a16="http://schemas.microsoft.com/office/drawing/2014/main" id="{31E79873-A896-4FAD-85D6-A1F0D63D0F8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1" name="Host Control  528" hidden="1">
          <a:extLst>
            <a:ext uri="{FF2B5EF4-FFF2-40B4-BE49-F238E27FC236}">
              <a16:creationId xmlns:a16="http://schemas.microsoft.com/office/drawing/2014/main" id="{D57CDECE-9CF8-43CC-B1BC-D081A42F8AE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2" name="Host Control  529" hidden="1">
          <a:extLst>
            <a:ext uri="{FF2B5EF4-FFF2-40B4-BE49-F238E27FC236}">
              <a16:creationId xmlns:a16="http://schemas.microsoft.com/office/drawing/2014/main" id="{1F518EA3-91B7-437A-B9F6-FED2160F0B8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3" name="Host Control  530" hidden="1">
          <a:extLst>
            <a:ext uri="{FF2B5EF4-FFF2-40B4-BE49-F238E27FC236}">
              <a16:creationId xmlns:a16="http://schemas.microsoft.com/office/drawing/2014/main" id="{8E3038C8-79B1-4C47-AEA9-94C789AA80E6}"/>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4" name="Host Control  531" hidden="1">
          <a:extLst>
            <a:ext uri="{FF2B5EF4-FFF2-40B4-BE49-F238E27FC236}">
              <a16:creationId xmlns:a16="http://schemas.microsoft.com/office/drawing/2014/main" id="{472AF8FC-B916-415D-AC5C-EF0CB48BA51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5" name="Host Control  532" hidden="1">
          <a:extLst>
            <a:ext uri="{FF2B5EF4-FFF2-40B4-BE49-F238E27FC236}">
              <a16:creationId xmlns:a16="http://schemas.microsoft.com/office/drawing/2014/main" id="{56E5A352-BC1C-4A5C-854E-2585AD6C2302}"/>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6" name="Host Control  533" hidden="1">
          <a:extLst>
            <a:ext uri="{FF2B5EF4-FFF2-40B4-BE49-F238E27FC236}">
              <a16:creationId xmlns:a16="http://schemas.microsoft.com/office/drawing/2014/main" id="{8EE777C0-CE24-45DA-A5C8-D5A5BB385F4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7" name="Host Control  534" hidden="1">
          <a:extLst>
            <a:ext uri="{FF2B5EF4-FFF2-40B4-BE49-F238E27FC236}">
              <a16:creationId xmlns:a16="http://schemas.microsoft.com/office/drawing/2014/main" id="{2687636D-1486-4849-B536-398B9C8680A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8" name="Host Control  535" hidden="1">
          <a:extLst>
            <a:ext uri="{FF2B5EF4-FFF2-40B4-BE49-F238E27FC236}">
              <a16:creationId xmlns:a16="http://schemas.microsoft.com/office/drawing/2014/main" id="{3F9FC51B-07E2-4C5C-9629-843C0B9F54B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9" name="Host Control  536" hidden="1">
          <a:extLst>
            <a:ext uri="{FF2B5EF4-FFF2-40B4-BE49-F238E27FC236}">
              <a16:creationId xmlns:a16="http://schemas.microsoft.com/office/drawing/2014/main" id="{2FB7C313-C2A0-4FA7-83BA-FE2A95E198A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0" name="Host Control  537" hidden="1">
          <a:extLst>
            <a:ext uri="{FF2B5EF4-FFF2-40B4-BE49-F238E27FC236}">
              <a16:creationId xmlns:a16="http://schemas.microsoft.com/office/drawing/2014/main" id="{ED8E0DF3-7C35-452A-9376-2416330CD8F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1" name="Host Control  538" hidden="1">
          <a:extLst>
            <a:ext uri="{FF2B5EF4-FFF2-40B4-BE49-F238E27FC236}">
              <a16:creationId xmlns:a16="http://schemas.microsoft.com/office/drawing/2014/main" id="{47CA017C-D371-48E2-AD6E-0133E1D909F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2" name="Host Control  539" hidden="1">
          <a:extLst>
            <a:ext uri="{FF2B5EF4-FFF2-40B4-BE49-F238E27FC236}">
              <a16:creationId xmlns:a16="http://schemas.microsoft.com/office/drawing/2014/main" id="{C1949ACA-D354-4528-AC5D-25E19A3F136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3" name="Host Control  540" hidden="1">
          <a:extLst>
            <a:ext uri="{FF2B5EF4-FFF2-40B4-BE49-F238E27FC236}">
              <a16:creationId xmlns:a16="http://schemas.microsoft.com/office/drawing/2014/main" id="{ED907E40-016F-4EAD-A157-974E8404923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4" name="Host Control  541" hidden="1">
          <a:extLst>
            <a:ext uri="{FF2B5EF4-FFF2-40B4-BE49-F238E27FC236}">
              <a16:creationId xmlns:a16="http://schemas.microsoft.com/office/drawing/2014/main" id="{31EE7AD4-6E05-408C-B307-4B64D70302C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5" name="Host Control  542" hidden="1">
          <a:extLst>
            <a:ext uri="{FF2B5EF4-FFF2-40B4-BE49-F238E27FC236}">
              <a16:creationId xmlns:a16="http://schemas.microsoft.com/office/drawing/2014/main" id="{19C218FE-A0B2-4ED5-94CF-9821906D7F5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6" name="Host Control  543" hidden="1">
          <a:extLst>
            <a:ext uri="{FF2B5EF4-FFF2-40B4-BE49-F238E27FC236}">
              <a16:creationId xmlns:a16="http://schemas.microsoft.com/office/drawing/2014/main" id="{295130EB-5ADE-4B95-BA3E-5D1FCC07F4F6}"/>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7" name="Host Control  544" hidden="1">
          <a:extLst>
            <a:ext uri="{FF2B5EF4-FFF2-40B4-BE49-F238E27FC236}">
              <a16:creationId xmlns:a16="http://schemas.microsoft.com/office/drawing/2014/main" id="{5EAFCF46-0974-4EC8-AD79-41578CD89C1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8" name="Host Control  545" hidden="1">
          <a:extLst>
            <a:ext uri="{FF2B5EF4-FFF2-40B4-BE49-F238E27FC236}">
              <a16:creationId xmlns:a16="http://schemas.microsoft.com/office/drawing/2014/main" id="{C7B801D1-F99D-4DD2-ADF3-DDF131492A4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9" name="Host Control  583" hidden="1">
          <a:extLst>
            <a:ext uri="{FF2B5EF4-FFF2-40B4-BE49-F238E27FC236}">
              <a16:creationId xmlns:a16="http://schemas.microsoft.com/office/drawing/2014/main" id="{CAC4DCFA-767F-41C6-BB6E-F1284B1A91F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0" name="Host Control  584" hidden="1">
          <a:extLst>
            <a:ext uri="{FF2B5EF4-FFF2-40B4-BE49-F238E27FC236}">
              <a16:creationId xmlns:a16="http://schemas.microsoft.com/office/drawing/2014/main" id="{DBA044CD-A869-488A-A37D-5510E73EC3C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1" name="Host Control  585" hidden="1">
          <a:extLst>
            <a:ext uri="{FF2B5EF4-FFF2-40B4-BE49-F238E27FC236}">
              <a16:creationId xmlns:a16="http://schemas.microsoft.com/office/drawing/2014/main" id="{907DD9A3-EA88-444C-B683-99EADDB61A1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2" name="Host Control  586" hidden="1">
          <a:extLst>
            <a:ext uri="{FF2B5EF4-FFF2-40B4-BE49-F238E27FC236}">
              <a16:creationId xmlns:a16="http://schemas.microsoft.com/office/drawing/2014/main" id="{2C5EBD1D-F55B-49B2-9041-27AAC2E119C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3" name="Host Control  587" hidden="1">
          <a:extLst>
            <a:ext uri="{FF2B5EF4-FFF2-40B4-BE49-F238E27FC236}">
              <a16:creationId xmlns:a16="http://schemas.microsoft.com/office/drawing/2014/main" id="{1754C90D-B47A-44F8-A13F-9A580B45974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4" name="Host Control  588" hidden="1">
          <a:extLst>
            <a:ext uri="{FF2B5EF4-FFF2-40B4-BE49-F238E27FC236}">
              <a16:creationId xmlns:a16="http://schemas.microsoft.com/office/drawing/2014/main" id="{B9DADBDE-8B2E-4CDF-B251-7A031B839A6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5" name="Host Control  589" hidden="1">
          <a:extLst>
            <a:ext uri="{FF2B5EF4-FFF2-40B4-BE49-F238E27FC236}">
              <a16:creationId xmlns:a16="http://schemas.microsoft.com/office/drawing/2014/main" id="{F92CAEEB-B9A3-40AD-BD15-DED94775281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6" name="Host Control  590" hidden="1">
          <a:extLst>
            <a:ext uri="{FF2B5EF4-FFF2-40B4-BE49-F238E27FC236}">
              <a16:creationId xmlns:a16="http://schemas.microsoft.com/office/drawing/2014/main" id="{523E9C42-BA81-463D-A0AD-2599F0D8DEA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7" name="Host Control  591" hidden="1">
          <a:extLst>
            <a:ext uri="{FF2B5EF4-FFF2-40B4-BE49-F238E27FC236}">
              <a16:creationId xmlns:a16="http://schemas.microsoft.com/office/drawing/2014/main" id="{CDD43027-D75E-41BD-8DEF-436154F9653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8" name="Host Control  592" hidden="1">
          <a:extLst>
            <a:ext uri="{FF2B5EF4-FFF2-40B4-BE49-F238E27FC236}">
              <a16:creationId xmlns:a16="http://schemas.microsoft.com/office/drawing/2014/main" id="{91B487E6-22DE-4D71-99F5-6B4BB407CB1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9" name="Host Control  593" hidden="1">
          <a:extLst>
            <a:ext uri="{FF2B5EF4-FFF2-40B4-BE49-F238E27FC236}">
              <a16:creationId xmlns:a16="http://schemas.microsoft.com/office/drawing/2014/main" id="{228FAFEC-E27F-4321-84FE-930F8D4A10F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0" name="Host Control  594" hidden="1">
          <a:extLst>
            <a:ext uri="{FF2B5EF4-FFF2-40B4-BE49-F238E27FC236}">
              <a16:creationId xmlns:a16="http://schemas.microsoft.com/office/drawing/2014/main" id="{629BE884-3CB6-49D7-865A-117D71C3C1D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1" name="Host Control  595" hidden="1">
          <a:extLst>
            <a:ext uri="{FF2B5EF4-FFF2-40B4-BE49-F238E27FC236}">
              <a16:creationId xmlns:a16="http://schemas.microsoft.com/office/drawing/2014/main" id="{D2389725-973B-4A70-859D-EC306DE8AC7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2" name="Host Control  596" hidden="1">
          <a:extLst>
            <a:ext uri="{FF2B5EF4-FFF2-40B4-BE49-F238E27FC236}">
              <a16:creationId xmlns:a16="http://schemas.microsoft.com/office/drawing/2014/main" id="{AEEEF40F-B987-4D42-9515-99449DB372E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3" name="Host Control  597" hidden="1">
          <a:extLst>
            <a:ext uri="{FF2B5EF4-FFF2-40B4-BE49-F238E27FC236}">
              <a16:creationId xmlns:a16="http://schemas.microsoft.com/office/drawing/2014/main" id="{89F793E4-65CC-42D4-956C-FE3D15E666A7}"/>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4" name="Host Control  598" hidden="1">
          <a:extLst>
            <a:ext uri="{FF2B5EF4-FFF2-40B4-BE49-F238E27FC236}">
              <a16:creationId xmlns:a16="http://schemas.microsoft.com/office/drawing/2014/main" id="{44F7A4F8-025E-4354-B870-8C592E6910F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5" name="Host Control  599" hidden="1">
          <a:extLst>
            <a:ext uri="{FF2B5EF4-FFF2-40B4-BE49-F238E27FC236}">
              <a16:creationId xmlns:a16="http://schemas.microsoft.com/office/drawing/2014/main" id="{5FC323D9-B291-42A9-87E6-BA6515B3F072}"/>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6" name="Host Control  600" hidden="1">
          <a:extLst>
            <a:ext uri="{FF2B5EF4-FFF2-40B4-BE49-F238E27FC236}">
              <a16:creationId xmlns:a16="http://schemas.microsoft.com/office/drawing/2014/main" id="{01FA4960-B2DD-4BB5-9570-9D8AF8B223B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7" name="Host Control  601" hidden="1">
          <a:extLst>
            <a:ext uri="{FF2B5EF4-FFF2-40B4-BE49-F238E27FC236}">
              <a16:creationId xmlns:a16="http://schemas.microsoft.com/office/drawing/2014/main" id="{7E32604D-5E72-4F3F-81FB-63933074A94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8" name="Host Control  602" hidden="1">
          <a:extLst>
            <a:ext uri="{FF2B5EF4-FFF2-40B4-BE49-F238E27FC236}">
              <a16:creationId xmlns:a16="http://schemas.microsoft.com/office/drawing/2014/main" id="{441057E6-0F0C-47B1-8A88-9EFAD6D3F38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9" name="Host Control  603" hidden="1">
          <a:extLst>
            <a:ext uri="{FF2B5EF4-FFF2-40B4-BE49-F238E27FC236}">
              <a16:creationId xmlns:a16="http://schemas.microsoft.com/office/drawing/2014/main" id="{6F8EB203-8398-4DA5-BCBB-93DF2C6FED4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0" name="Host Control  604" hidden="1">
          <a:extLst>
            <a:ext uri="{FF2B5EF4-FFF2-40B4-BE49-F238E27FC236}">
              <a16:creationId xmlns:a16="http://schemas.microsoft.com/office/drawing/2014/main" id="{2CAF475C-E4F7-412F-9DFB-EAABCE191EC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1" name="Host Control  605" hidden="1">
          <a:extLst>
            <a:ext uri="{FF2B5EF4-FFF2-40B4-BE49-F238E27FC236}">
              <a16:creationId xmlns:a16="http://schemas.microsoft.com/office/drawing/2014/main" id="{F574089E-F4F0-4EFB-A286-F66D5ED617B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2" name="Host Control  606" hidden="1">
          <a:extLst>
            <a:ext uri="{FF2B5EF4-FFF2-40B4-BE49-F238E27FC236}">
              <a16:creationId xmlns:a16="http://schemas.microsoft.com/office/drawing/2014/main" id="{53A4065F-7C20-463F-B709-DC1C60D18281}"/>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3" name="Host Control  607" hidden="1">
          <a:extLst>
            <a:ext uri="{FF2B5EF4-FFF2-40B4-BE49-F238E27FC236}">
              <a16:creationId xmlns:a16="http://schemas.microsoft.com/office/drawing/2014/main" id="{301A8E82-2E2D-4B38-A811-6ED6651E937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4" name="Host Control  608" hidden="1">
          <a:extLst>
            <a:ext uri="{FF2B5EF4-FFF2-40B4-BE49-F238E27FC236}">
              <a16:creationId xmlns:a16="http://schemas.microsoft.com/office/drawing/2014/main" id="{F449A338-9DE1-4724-87D3-18B97875B66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5" name="Host Control  609" hidden="1">
          <a:extLst>
            <a:ext uri="{FF2B5EF4-FFF2-40B4-BE49-F238E27FC236}">
              <a16:creationId xmlns:a16="http://schemas.microsoft.com/office/drawing/2014/main" id="{68F7347A-F21A-4BB7-A071-6460542B21E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6" name="Host Control  610" hidden="1">
          <a:extLst>
            <a:ext uri="{FF2B5EF4-FFF2-40B4-BE49-F238E27FC236}">
              <a16:creationId xmlns:a16="http://schemas.microsoft.com/office/drawing/2014/main" id="{69F84844-58BE-44BE-93A3-F029411E680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7" name="Host Control  611" hidden="1">
          <a:extLst>
            <a:ext uri="{FF2B5EF4-FFF2-40B4-BE49-F238E27FC236}">
              <a16:creationId xmlns:a16="http://schemas.microsoft.com/office/drawing/2014/main" id="{B4371CBF-9B0F-43CA-81ED-9B43812BEE0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58" name="Host Control  32" hidden="1">
          <a:extLst>
            <a:ext uri="{FF2B5EF4-FFF2-40B4-BE49-F238E27FC236}">
              <a16:creationId xmlns:a16="http://schemas.microsoft.com/office/drawing/2014/main" id="{FCFE4BE9-DBD2-4883-9AAD-263084CF63F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59" name="Host Control  33" hidden="1">
          <a:extLst>
            <a:ext uri="{FF2B5EF4-FFF2-40B4-BE49-F238E27FC236}">
              <a16:creationId xmlns:a16="http://schemas.microsoft.com/office/drawing/2014/main" id="{4F8A83D0-FAC5-45B5-B900-3DE3E21F595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0" name="Host Control  34" hidden="1">
          <a:extLst>
            <a:ext uri="{FF2B5EF4-FFF2-40B4-BE49-F238E27FC236}">
              <a16:creationId xmlns:a16="http://schemas.microsoft.com/office/drawing/2014/main" id="{87050D77-8767-4F0D-871C-9C83BD3EA3A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1" name="Host Control  35" hidden="1">
          <a:extLst>
            <a:ext uri="{FF2B5EF4-FFF2-40B4-BE49-F238E27FC236}">
              <a16:creationId xmlns:a16="http://schemas.microsoft.com/office/drawing/2014/main" id="{EE5060DF-75D4-49C8-9645-DD8F551A05B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2" name="Host Control  36" hidden="1">
          <a:extLst>
            <a:ext uri="{FF2B5EF4-FFF2-40B4-BE49-F238E27FC236}">
              <a16:creationId xmlns:a16="http://schemas.microsoft.com/office/drawing/2014/main" id="{08A9A4AA-CC8F-4A7E-B16E-8DCECD02ACE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3" name="Host Control  37" hidden="1">
          <a:extLst>
            <a:ext uri="{FF2B5EF4-FFF2-40B4-BE49-F238E27FC236}">
              <a16:creationId xmlns:a16="http://schemas.microsoft.com/office/drawing/2014/main" id="{C7E3BDB5-D74A-460F-9D3F-8C33257CC2B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4" name="Host Control  38" hidden="1">
          <a:extLst>
            <a:ext uri="{FF2B5EF4-FFF2-40B4-BE49-F238E27FC236}">
              <a16:creationId xmlns:a16="http://schemas.microsoft.com/office/drawing/2014/main" id="{86393931-E166-400E-9BC9-887B645831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5" name="Host Control  39" hidden="1">
          <a:extLst>
            <a:ext uri="{FF2B5EF4-FFF2-40B4-BE49-F238E27FC236}">
              <a16:creationId xmlns:a16="http://schemas.microsoft.com/office/drawing/2014/main" id="{22C5D320-9344-4C5B-B579-4C3A79E1C03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6" name="Host Control  40" hidden="1">
          <a:extLst>
            <a:ext uri="{FF2B5EF4-FFF2-40B4-BE49-F238E27FC236}">
              <a16:creationId xmlns:a16="http://schemas.microsoft.com/office/drawing/2014/main" id="{4D678A72-830A-4670-A91B-C8F30628727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7" name="Host Control  41" hidden="1">
          <a:extLst>
            <a:ext uri="{FF2B5EF4-FFF2-40B4-BE49-F238E27FC236}">
              <a16:creationId xmlns:a16="http://schemas.microsoft.com/office/drawing/2014/main" id="{A2C5F4CC-BB49-4F9F-8A01-CEEE3F4D2A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8" name="Host Control  42" hidden="1">
          <a:extLst>
            <a:ext uri="{FF2B5EF4-FFF2-40B4-BE49-F238E27FC236}">
              <a16:creationId xmlns:a16="http://schemas.microsoft.com/office/drawing/2014/main" id="{B830DC77-BCA9-4BCC-AF4C-129906C367F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9" name="Host Control  43" hidden="1">
          <a:extLst>
            <a:ext uri="{FF2B5EF4-FFF2-40B4-BE49-F238E27FC236}">
              <a16:creationId xmlns:a16="http://schemas.microsoft.com/office/drawing/2014/main" id="{885746A6-49F3-4255-8A5F-7A1FBE7130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0" name="Host Control  44" hidden="1">
          <a:extLst>
            <a:ext uri="{FF2B5EF4-FFF2-40B4-BE49-F238E27FC236}">
              <a16:creationId xmlns:a16="http://schemas.microsoft.com/office/drawing/2014/main" id="{57BB3F37-C9D0-41EF-82BB-1A39C88D9C4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1" name="Host Control  45" hidden="1">
          <a:extLst>
            <a:ext uri="{FF2B5EF4-FFF2-40B4-BE49-F238E27FC236}">
              <a16:creationId xmlns:a16="http://schemas.microsoft.com/office/drawing/2014/main" id="{2CFBE128-8660-4F27-85E6-96A46282CB6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2" name="Host Control  46" hidden="1">
          <a:extLst>
            <a:ext uri="{FF2B5EF4-FFF2-40B4-BE49-F238E27FC236}">
              <a16:creationId xmlns:a16="http://schemas.microsoft.com/office/drawing/2014/main" id="{FDA76080-4527-4FA8-9735-541CDA7B591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3" name="Host Control  47" hidden="1">
          <a:extLst>
            <a:ext uri="{FF2B5EF4-FFF2-40B4-BE49-F238E27FC236}">
              <a16:creationId xmlns:a16="http://schemas.microsoft.com/office/drawing/2014/main" id="{771F6EC9-EFE4-4E3A-81F8-EB4D646187D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4" name="Host Control  48" hidden="1">
          <a:extLst>
            <a:ext uri="{FF2B5EF4-FFF2-40B4-BE49-F238E27FC236}">
              <a16:creationId xmlns:a16="http://schemas.microsoft.com/office/drawing/2014/main" id="{4CBE0755-0861-49D1-8703-B0D8881034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5" name="Host Control  49" hidden="1">
          <a:extLst>
            <a:ext uri="{FF2B5EF4-FFF2-40B4-BE49-F238E27FC236}">
              <a16:creationId xmlns:a16="http://schemas.microsoft.com/office/drawing/2014/main" id="{A54081D8-8F42-4E4B-935A-E43770E9036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6" name="Host Control  50" hidden="1">
          <a:extLst>
            <a:ext uri="{FF2B5EF4-FFF2-40B4-BE49-F238E27FC236}">
              <a16:creationId xmlns:a16="http://schemas.microsoft.com/office/drawing/2014/main" id="{F08D98C0-8517-4633-88B2-C1A7A5DFE25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7" name="Host Control  51" hidden="1">
          <a:extLst>
            <a:ext uri="{FF2B5EF4-FFF2-40B4-BE49-F238E27FC236}">
              <a16:creationId xmlns:a16="http://schemas.microsoft.com/office/drawing/2014/main" id="{8B7D905C-002A-4A6D-9923-E6847959DD6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8" name="Host Control  52" hidden="1">
          <a:extLst>
            <a:ext uri="{FF2B5EF4-FFF2-40B4-BE49-F238E27FC236}">
              <a16:creationId xmlns:a16="http://schemas.microsoft.com/office/drawing/2014/main" id="{7C85F021-5FA8-414A-9D47-FE4D088C72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9" name="Host Control  53" hidden="1">
          <a:extLst>
            <a:ext uri="{FF2B5EF4-FFF2-40B4-BE49-F238E27FC236}">
              <a16:creationId xmlns:a16="http://schemas.microsoft.com/office/drawing/2014/main" id="{4C29E84D-7F8D-42DE-AC98-1D2E1F04CB2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0" name="Host Control  54" hidden="1">
          <a:extLst>
            <a:ext uri="{FF2B5EF4-FFF2-40B4-BE49-F238E27FC236}">
              <a16:creationId xmlns:a16="http://schemas.microsoft.com/office/drawing/2014/main" id="{35904A53-C3FF-4FEF-82FA-93B2C164214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1" name="Host Control  55" hidden="1">
          <a:extLst>
            <a:ext uri="{FF2B5EF4-FFF2-40B4-BE49-F238E27FC236}">
              <a16:creationId xmlns:a16="http://schemas.microsoft.com/office/drawing/2014/main" id="{BB1CBB70-B67D-4751-9EF7-407D877BF14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2" name="Host Control  56" hidden="1">
          <a:extLst>
            <a:ext uri="{FF2B5EF4-FFF2-40B4-BE49-F238E27FC236}">
              <a16:creationId xmlns:a16="http://schemas.microsoft.com/office/drawing/2014/main" id="{26D6DD02-3623-4EBE-878B-96119A7396C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3" name="Host Control  57" hidden="1">
          <a:extLst>
            <a:ext uri="{FF2B5EF4-FFF2-40B4-BE49-F238E27FC236}">
              <a16:creationId xmlns:a16="http://schemas.microsoft.com/office/drawing/2014/main" id="{D56359DE-F901-4F11-BC9F-DF8752ED760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4" name="Host Control  58" hidden="1">
          <a:extLst>
            <a:ext uri="{FF2B5EF4-FFF2-40B4-BE49-F238E27FC236}">
              <a16:creationId xmlns:a16="http://schemas.microsoft.com/office/drawing/2014/main" id="{BDF94337-3D40-435D-ABF2-297A5A7FEB7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5" name="Host Control  59" hidden="1">
          <a:extLst>
            <a:ext uri="{FF2B5EF4-FFF2-40B4-BE49-F238E27FC236}">
              <a16:creationId xmlns:a16="http://schemas.microsoft.com/office/drawing/2014/main" id="{371DD7CF-104E-4B22-974A-4F263E77F35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6" name="Host Control  60" hidden="1">
          <a:extLst>
            <a:ext uri="{FF2B5EF4-FFF2-40B4-BE49-F238E27FC236}">
              <a16:creationId xmlns:a16="http://schemas.microsoft.com/office/drawing/2014/main" id="{6A27D393-5234-4EC1-BA16-F50866A7C73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7" name="Host Control  61" hidden="1">
          <a:extLst>
            <a:ext uri="{FF2B5EF4-FFF2-40B4-BE49-F238E27FC236}">
              <a16:creationId xmlns:a16="http://schemas.microsoft.com/office/drawing/2014/main" id="{1C107196-147B-4CA3-8179-02DB86B29D9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8" name="Host Control  65" hidden="1">
          <a:extLst>
            <a:ext uri="{FF2B5EF4-FFF2-40B4-BE49-F238E27FC236}">
              <a16:creationId xmlns:a16="http://schemas.microsoft.com/office/drawing/2014/main" id="{0EE3A21D-3683-407F-9E7C-7B99F1B16B3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9" name="Host Control  66" hidden="1">
          <a:extLst>
            <a:ext uri="{FF2B5EF4-FFF2-40B4-BE49-F238E27FC236}">
              <a16:creationId xmlns:a16="http://schemas.microsoft.com/office/drawing/2014/main" id="{BCF9EADB-B400-4866-83A7-B3B91EB7C1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0" name="Host Control  67" hidden="1">
          <a:extLst>
            <a:ext uri="{FF2B5EF4-FFF2-40B4-BE49-F238E27FC236}">
              <a16:creationId xmlns:a16="http://schemas.microsoft.com/office/drawing/2014/main" id="{6B48ED5A-5F30-42D9-B8B6-6681A775986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1" name="Host Control  68" hidden="1">
          <a:extLst>
            <a:ext uri="{FF2B5EF4-FFF2-40B4-BE49-F238E27FC236}">
              <a16:creationId xmlns:a16="http://schemas.microsoft.com/office/drawing/2014/main" id="{85301DF7-105D-47F3-948A-FF9212E52FD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2" name="Host Control  69" hidden="1">
          <a:extLst>
            <a:ext uri="{FF2B5EF4-FFF2-40B4-BE49-F238E27FC236}">
              <a16:creationId xmlns:a16="http://schemas.microsoft.com/office/drawing/2014/main" id="{F9651F7C-864C-473B-A134-CFB6D5872B9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3" name="Host Control  70" hidden="1">
          <a:extLst>
            <a:ext uri="{FF2B5EF4-FFF2-40B4-BE49-F238E27FC236}">
              <a16:creationId xmlns:a16="http://schemas.microsoft.com/office/drawing/2014/main" id="{128EE985-1F36-44A1-80B4-2404504928F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4" name="Host Control  71" hidden="1">
          <a:extLst>
            <a:ext uri="{FF2B5EF4-FFF2-40B4-BE49-F238E27FC236}">
              <a16:creationId xmlns:a16="http://schemas.microsoft.com/office/drawing/2014/main" id="{A88D7B77-5101-43CD-B9D6-C84FC83DC28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5" name="Host Control  72" hidden="1">
          <a:extLst>
            <a:ext uri="{FF2B5EF4-FFF2-40B4-BE49-F238E27FC236}">
              <a16:creationId xmlns:a16="http://schemas.microsoft.com/office/drawing/2014/main" id="{CA7B9FE5-AF99-4D93-8027-E8D794C6718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6" name="Host Control  73" hidden="1">
          <a:extLst>
            <a:ext uri="{FF2B5EF4-FFF2-40B4-BE49-F238E27FC236}">
              <a16:creationId xmlns:a16="http://schemas.microsoft.com/office/drawing/2014/main" id="{1F588718-B08F-4DF6-B791-F590AD214B8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7" name="Host Control  74" hidden="1">
          <a:extLst>
            <a:ext uri="{FF2B5EF4-FFF2-40B4-BE49-F238E27FC236}">
              <a16:creationId xmlns:a16="http://schemas.microsoft.com/office/drawing/2014/main" id="{78A8F1D4-C978-405B-87F7-115066DEF90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8" name="Host Control  75" hidden="1">
          <a:extLst>
            <a:ext uri="{FF2B5EF4-FFF2-40B4-BE49-F238E27FC236}">
              <a16:creationId xmlns:a16="http://schemas.microsoft.com/office/drawing/2014/main" id="{917C28E3-890E-44E9-B450-F9785CE910F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9" name="Host Control  76" hidden="1">
          <a:extLst>
            <a:ext uri="{FF2B5EF4-FFF2-40B4-BE49-F238E27FC236}">
              <a16:creationId xmlns:a16="http://schemas.microsoft.com/office/drawing/2014/main" id="{A1F90171-A8A1-4EA6-AC45-68D32EC0064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0" name="Host Control  77" hidden="1">
          <a:extLst>
            <a:ext uri="{FF2B5EF4-FFF2-40B4-BE49-F238E27FC236}">
              <a16:creationId xmlns:a16="http://schemas.microsoft.com/office/drawing/2014/main" id="{BE6799F2-3E43-48F5-B7FE-94AF41EA8B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1" name="Host Control  78" hidden="1">
          <a:extLst>
            <a:ext uri="{FF2B5EF4-FFF2-40B4-BE49-F238E27FC236}">
              <a16:creationId xmlns:a16="http://schemas.microsoft.com/office/drawing/2014/main" id="{C45420D5-354E-40C1-952B-1766ACED0DB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2" name="Host Control  79" hidden="1">
          <a:extLst>
            <a:ext uri="{FF2B5EF4-FFF2-40B4-BE49-F238E27FC236}">
              <a16:creationId xmlns:a16="http://schemas.microsoft.com/office/drawing/2014/main" id="{AF1F57E2-5F1C-4179-81AC-4C20F0210C5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3" name="Host Control  80" hidden="1">
          <a:extLst>
            <a:ext uri="{FF2B5EF4-FFF2-40B4-BE49-F238E27FC236}">
              <a16:creationId xmlns:a16="http://schemas.microsoft.com/office/drawing/2014/main" id="{8F0A2DFA-AAAB-4AC8-9C17-3ADE9A2266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4" name="Host Control  81" hidden="1">
          <a:extLst>
            <a:ext uri="{FF2B5EF4-FFF2-40B4-BE49-F238E27FC236}">
              <a16:creationId xmlns:a16="http://schemas.microsoft.com/office/drawing/2014/main" id="{C2D1ACDC-9EB8-41FD-BF9D-7FE62E2AECD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5" name="Host Control  82" hidden="1">
          <a:extLst>
            <a:ext uri="{FF2B5EF4-FFF2-40B4-BE49-F238E27FC236}">
              <a16:creationId xmlns:a16="http://schemas.microsoft.com/office/drawing/2014/main" id="{825F3C11-41D0-4BD8-BC54-057D4CEFA4E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6" name="Host Control  83" hidden="1">
          <a:extLst>
            <a:ext uri="{FF2B5EF4-FFF2-40B4-BE49-F238E27FC236}">
              <a16:creationId xmlns:a16="http://schemas.microsoft.com/office/drawing/2014/main" id="{642DEE57-564F-4CB8-8579-06DF37E3710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7" name="Host Control  84" hidden="1">
          <a:extLst>
            <a:ext uri="{FF2B5EF4-FFF2-40B4-BE49-F238E27FC236}">
              <a16:creationId xmlns:a16="http://schemas.microsoft.com/office/drawing/2014/main" id="{A6F4E964-392D-47BA-A3D6-11C79301443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8" name="Host Control  85" hidden="1">
          <a:extLst>
            <a:ext uri="{FF2B5EF4-FFF2-40B4-BE49-F238E27FC236}">
              <a16:creationId xmlns:a16="http://schemas.microsoft.com/office/drawing/2014/main" id="{55C5D858-A1F0-486F-A2A8-D3E232E8307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9" name="Host Control  86" hidden="1">
          <a:extLst>
            <a:ext uri="{FF2B5EF4-FFF2-40B4-BE49-F238E27FC236}">
              <a16:creationId xmlns:a16="http://schemas.microsoft.com/office/drawing/2014/main" id="{E1B47735-715A-4733-8F4E-424D192137D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0" name="Host Control  87" hidden="1">
          <a:extLst>
            <a:ext uri="{FF2B5EF4-FFF2-40B4-BE49-F238E27FC236}">
              <a16:creationId xmlns:a16="http://schemas.microsoft.com/office/drawing/2014/main" id="{16420236-5BFA-4198-9876-017B481763F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1" name="Host Control  88" hidden="1">
          <a:extLst>
            <a:ext uri="{FF2B5EF4-FFF2-40B4-BE49-F238E27FC236}">
              <a16:creationId xmlns:a16="http://schemas.microsoft.com/office/drawing/2014/main" id="{650587E9-8197-4878-A575-1CD31561F4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2" name="Host Control  89" hidden="1">
          <a:extLst>
            <a:ext uri="{FF2B5EF4-FFF2-40B4-BE49-F238E27FC236}">
              <a16:creationId xmlns:a16="http://schemas.microsoft.com/office/drawing/2014/main" id="{65B06C3D-A9AC-4A77-A667-CF04C093786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3" name="Host Control  90" hidden="1">
          <a:extLst>
            <a:ext uri="{FF2B5EF4-FFF2-40B4-BE49-F238E27FC236}">
              <a16:creationId xmlns:a16="http://schemas.microsoft.com/office/drawing/2014/main" id="{C581152A-F02F-4FDA-9EF3-2D39FB7B3A4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4" name="Host Control  91" hidden="1">
          <a:extLst>
            <a:ext uri="{FF2B5EF4-FFF2-40B4-BE49-F238E27FC236}">
              <a16:creationId xmlns:a16="http://schemas.microsoft.com/office/drawing/2014/main" id="{E33DB4BD-A839-4DA9-90F4-6696F5E2113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5" name="Host Control  92" hidden="1">
          <a:extLst>
            <a:ext uri="{FF2B5EF4-FFF2-40B4-BE49-F238E27FC236}">
              <a16:creationId xmlns:a16="http://schemas.microsoft.com/office/drawing/2014/main" id="{52D73510-7E3E-462B-A4D5-4CB7CEEBCDD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6" name="Host Control  93" hidden="1">
          <a:extLst>
            <a:ext uri="{FF2B5EF4-FFF2-40B4-BE49-F238E27FC236}">
              <a16:creationId xmlns:a16="http://schemas.microsoft.com/office/drawing/2014/main" id="{BB983079-997A-4467-B05B-11FE02F8FC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7" name="Host Control  94" hidden="1">
          <a:extLst>
            <a:ext uri="{FF2B5EF4-FFF2-40B4-BE49-F238E27FC236}">
              <a16:creationId xmlns:a16="http://schemas.microsoft.com/office/drawing/2014/main" id="{8B5AC48B-7A90-4E27-9F7D-0F853815B08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8" name="Host Control  98" hidden="1">
          <a:extLst>
            <a:ext uri="{FF2B5EF4-FFF2-40B4-BE49-F238E27FC236}">
              <a16:creationId xmlns:a16="http://schemas.microsoft.com/office/drawing/2014/main" id="{513B897A-1C6B-4EA7-B71D-A0CB692C815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9" name="Host Control  99" hidden="1">
          <a:extLst>
            <a:ext uri="{FF2B5EF4-FFF2-40B4-BE49-F238E27FC236}">
              <a16:creationId xmlns:a16="http://schemas.microsoft.com/office/drawing/2014/main" id="{F4CC8FB6-0558-4D80-937B-B4E59F6B50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0" name="Host Control  100" hidden="1">
          <a:extLst>
            <a:ext uri="{FF2B5EF4-FFF2-40B4-BE49-F238E27FC236}">
              <a16:creationId xmlns:a16="http://schemas.microsoft.com/office/drawing/2014/main" id="{7C977E36-13C3-445B-8551-EC68D07AA8F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1" name="Host Control  101" hidden="1">
          <a:extLst>
            <a:ext uri="{FF2B5EF4-FFF2-40B4-BE49-F238E27FC236}">
              <a16:creationId xmlns:a16="http://schemas.microsoft.com/office/drawing/2014/main" id="{4FDBA799-4A79-4C4C-BF88-3B721408212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2" name="Host Control  102" hidden="1">
          <a:extLst>
            <a:ext uri="{FF2B5EF4-FFF2-40B4-BE49-F238E27FC236}">
              <a16:creationId xmlns:a16="http://schemas.microsoft.com/office/drawing/2014/main" id="{E1F9D387-2B38-47C6-855E-A6255150DAD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3" name="Host Control  103" hidden="1">
          <a:extLst>
            <a:ext uri="{FF2B5EF4-FFF2-40B4-BE49-F238E27FC236}">
              <a16:creationId xmlns:a16="http://schemas.microsoft.com/office/drawing/2014/main" id="{A87D4DFA-CA0C-4D7F-8BE6-B8747F6065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4" name="Host Control  104" hidden="1">
          <a:extLst>
            <a:ext uri="{FF2B5EF4-FFF2-40B4-BE49-F238E27FC236}">
              <a16:creationId xmlns:a16="http://schemas.microsoft.com/office/drawing/2014/main" id="{E53E5AE4-F448-431D-B124-101862A9B8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5" name="Host Control  105" hidden="1">
          <a:extLst>
            <a:ext uri="{FF2B5EF4-FFF2-40B4-BE49-F238E27FC236}">
              <a16:creationId xmlns:a16="http://schemas.microsoft.com/office/drawing/2014/main" id="{86D8661C-0AF3-4DD5-B389-34680EDA90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6" name="Host Control  106" hidden="1">
          <a:extLst>
            <a:ext uri="{FF2B5EF4-FFF2-40B4-BE49-F238E27FC236}">
              <a16:creationId xmlns:a16="http://schemas.microsoft.com/office/drawing/2014/main" id="{EBB24A38-E997-466B-9869-0D637DBAE0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7" name="Host Control  107" hidden="1">
          <a:extLst>
            <a:ext uri="{FF2B5EF4-FFF2-40B4-BE49-F238E27FC236}">
              <a16:creationId xmlns:a16="http://schemas.microsoft.com/office/drawing/2014/main" id="{56CF6F67-9AED-4BCF-9C6A-B2A2742D16A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8" name="Host Control  108" hidden="1">
          <a:extLst>
            <a:ext uri="{FF2B5EF4-FFF2-40B4-BE49-F238E27FC236}">
              <a16:creationId xmlns:a16="http://schemas.microsoft.com/office/drawing/2014/main" id="{0FEF9F20-72C6-4137-A22F-EB9CEA81CE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9" name="Host Control  109" hidden="1">
          <a:extLst>
            <a:ext uri="{FF2B5EF4-FFF2-40B4-BE49-F238E27FC236}">
              <a16:creationId xmlns:a16="http://schemas.microsoft.com/office/drawing/2014/main" id="{D31A7F04-7073-4AF6-A910-A832AC461A3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0" name="Host Control  110" hidden="1">
          <a:extLst>
            <a:ext uri="{FF2B5EF4-FFF2-40B4-BE49-F238E27FC236}">
              <a16:creationId xmlns:a16="http://schemas.microsoft.com/office/drawing/2014/main" id="{42A1483A-9FFB-43C7-A8C1-60170B10677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1" name="Host Control  111" hidden="1">
          <a:extLst>
            <a:ext uri="{FF2B5EF4-FFF2-40B4-BE49-F238E27FC236}">
              <a16:creationId xmlns:a16="http://schemas.microsoft.com/office/drawing/2014/main" id="{0134AB48-8D03-48FA-AA10-00D8881E6F5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2" name="Host Control  112" hidden="1">
          <a:extLst>
            <a:ext uri="{FF2B5EF4-FFF2-40B4-BE49-F238E27FC236}">
              <a16:creationId xmlns:a16="http://schemas.microsoft.com/office/drawing/2014/main" id="{30EA628D-629A-465F-9C80-2165B4FF272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3" name="Host Control  113" hidden="1">
          <a:extLst>
            <a:ext uri="{FF2B5EF4-FFF2-40B4-BE49-F238E27FC236}">
              <a16:creationId xmlns:a16="http://schemas.microsoft.com/office/drawing/2014/main" id="{30E84409-4541-4A6D-8E81-17E9CF3DA23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4" name="Host Control  114" hidden="1">
          <a:extLst>
            <a:ext uri="{FF2B5EF4-FFF2-40B4-BE49-F238E27FC236}">
              <a16:creationId xmlns:a16="http://schemas.microsoft.com/office/drawing/2014/main" id="{4D5FD865-4843-4BFC-8337-323BF11947B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5" name="Host Control  115" hidden="1">
          <a:extLst>
            <a:ext uri="{FF2B5EF4-FFF2-40B4-BE49-F238E27FC236}">
              <a16:creationId xmlns:a16="http://schemas.microsoft.com/office/drawing/2014/main" id="{E67DC890-41FB-45C6-B975-38142317DD7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6" name="Host Control  116" hidden="1">
          <a:extLst>
            <a:ext uri="{FF2B5EF4-FFF2-40B4-BE49-F238E27FC236}">
              <a16:creationId xmlns:a16="http://schemas.microsoft.com/office/drawing/2014/main" id="{7E7FB9C1-D10E-4A34-ACD4-A7F520D3E3A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7" name="Host Control  117" hidden="1">
          <a:extLst>
            <a:ext uri="{FF2B5EF4-FFF2-40B4-BE49-F238E27FC236}">
              <a16:creationId xmlns:a16="http://schemas.microsoft.com/office/drawing/2014/main" id="{0028B525-F14C-4DFE-92A0-D47AA17D801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8" name="Host Control  118" hidden="1">
          <a:extLst>
            <a:ext uri="{FF2B5EF4-FFF2-40B4-BE49-F238E27FC236}">
              <a16:creationId xmlns:a16="http://schemas.microsoft.com/office/drawing/2014/main" id="{7184BDD2-B632-4FFA-9554-559638B4CBC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9" name="Host Control  119" hidden="1">
          <a:extLst>
            <a:ext uri="{FF2B5EF4-FFF2-40B4-BE49-F238E27FC236}">
              <a16:creationId xmlns:a16="http://schemas.microsoft.com/office/drawing/2014/main" id="{73AD2343-2B12-40A4-954A-03C5896701C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0" name="Host Control  120" hidden="1">
          <a:extLst>
            <a:ext uri="{FF2B5EF4-FFF2-40B4-BE49-F238E27FC236}">
              <a16:creationId xmlns:a16="http://schemas.microsoft.com/office/drawing/2014/main" id="{E5249ED0-4D0F-4062-96FA-28D6E0DAC3F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1" name="Host Control  121" hidden="1">
          <a:extLst>
            <a:ext uri="{FF2B5EF4-FFF2-40B4-BE49-F238E27FC236}">
              <a16:creationId xmlns:a16="http://schemas.microsoft.com/office/drawing/2014/main" id="{59138262-A772-4C38-973B-A8AE7D11F98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2" name="Host Control  122" hidden="1">
          <a:extLst>
            <a:ext uri="{FF2B5EF4-FFF2-40B4-BE49-F238E27FC236}">
              <a16:creationId xmlns:a16="http://schemas.microsoft.com/office/drawing/2014/main" id="{BFA3994E-A0A5-414B-BC96-4082CE72C8B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3" name="Host Control  123" hidden="1">
          <a:extLst>
            <a:ext uri="{FF2B5EF4-FFF2-40B4-BE49-F238E27FC236}">
              <a16:creationId xmlns:a16="http://schemas.microsoft.com/office/drawing/2014/main" id="{9C71D088-C134-4123-A23C-73AB5FA0AA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4" name="Host Control  124" hidden="1">
          <a:extLst>
            <a:ext uri="{FF2B5EF4-FFF2-40B4-BE49-F238E27FC236}">
              <a16:creationId xmlns:a16="http://schemas.microsoft.com/office/drawing/2014/main" id="{11E28917-D3BF-411B-9294-397448D795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5" name="Host Control  125" hidden="1">
          <a:extLst>
            <a:ext uri="{FF2B5EF4-FFF2-40B4-BE49-F238E27FC236}">
              <a16:creationId xmlns:a16="http://schemas.microsoft.com/office/drawing/2014/main" id="{DDE2687D-6E26-4065-AE2F-DC8827B6D8D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6" name="Host Control  126" hidden="1">
          <a:extLst>
            <a:ext uri="{FF2B5EF4-FFF2-40B4-BE49-F238E27FC236}">
              <a16:creationId xmlns:a16="http://schemas.microsoft.com/office/drawing/2014/main" id="{5C447847-CA08-441F-9159-5148C62BFE6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7" name="Host Control  127" hidden="1">
          <a:extLst>
            <a:ext uri="{FF2B5EF4-FFF2-40B4-BE49-F238E27FC236}">
              <a16:creationId xmlns:a16="http://schemas.microsoft.com/office/drawing/2014/main" id="{EB7AD881-31D4-4C76-8C44-EC46612EA27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8" name="Host Control  135" hidden="1">
          <a:extLst>
            <a:ext uri="{FF2B5EF4-FFF2-40B4-BE49-F238E27FC236}">
              <a16:creationId xmlns:a16="http://schemas.microsoft.com/office/drawing/2014/main" id="{0496DC90-27C4-49EA-B769-6B033F69D32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9" name="Host Control  136" hidden="1">
          <a:extLst>
            <a:ext uri="{FF2B5EF4-FFF2-40B4-BE49-F238E27FC236}">
              <a16:creationId xmlns:a16="http://schemas.microsoft.com/office/drawing/2014/main" id="{6A9EA7F2-068A-40C4-823A-E1D5AE7227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0" name="Host Control  137" hidden="1">
          <a:extLst>
            <a:ext uri="{FF2B5EF4-FFF2-40B4-BE49-F238E27FC236}">
              <a16:creationId xmlns:a16="http://schemas.microsoft.com/office/drawing/2014/main" id="{5C5DD02A-EE50-49F9-BE94-3DB6B4D098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1" name="Host Control  138" hidden="1">
          <a:extLst>
            <a:ext uri="{FF2B5EF4-FFF2-40B4-BE49-F238E27FC236}">
              <a16:creationId xmlns:a16="http://schemas.microsoft.com/office/drawing/2014/main" id="{227341A1-95E6-4929-861D-C870F3DF98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2" name="Host Control  139" hidden="1">
          <a:extLst>
            <a:ext uri="{FF2B5EF4-FFF2-40B4-BE49-F238E27FC236}">
              <a16:creationId xmlns:a16="http://schemas.microsoft.com/office/drawing/2014/main" id="{F8BA5E99-43C8-477C-9C13-4B529EBE98D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3" name="Host Control  140" hidden="1">
          <a:extLst>
            <a:ext uri="{FF2B5EF4-FFF2-40B4-BE49-F238E27FC236}">
              <a16:creationId xmlns:a16="http://schemas.microsoft.com/office/drawing/2014/main" id="{D99CB230-D774-4C98-968F-A408247BFC0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4" name="Host Control  141" hidden="1">
          <a:extLst>
            <a:ext uri="{FF2B5EF4-FFF2-40B4-BE49-F238E27FC236}">
              <a16:creationId xmlns:a16="http://schemas.microsoft.com/office/drawing/2014/main" id="{41B17CE8-98BD-41C9-8423-097973A9C2B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5" name="Host Control  142" hidden="1">
          <a:extLst>
            <a:ext uri="{FF2B5EF4-FFF2-40B4-BE49-F238E27FC236}">
              <a16:creationId xmlns:a16="http://schemas.microsoft.com/office/drawing/2014/main" id="{0D123241-9CA1-4535-9D73-64FC424D253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6" name="Host Control  143" hidden="1">
          <a:extLst>
            <a:ext uri="{FF2B5EF4-FFF2-40B4-BE49-F238E27FC236}">
              <a16:creationId xmlns:a16="http://schemas.microsoft.com/office/drawing/2014/main" id="{6EFABEC7-6461-4CF5-BA21-E3695D151D5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7" name="Host Control  144" hidden="1">
          <a:extLst>
            <a:ext uri="{FF2B5EF4-FFF2-40B4-BE49-F238E27FC236}">
              <a16:creationId xmlns:a16="http://schemas.microsoft.com/office/drawing/2014/main" id="{0FA000DF-BE45-4EFB-9F3C-9E8955229EC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8" name="Host Control  145" hidden="1">
          <a:extLst>
            <a:ext uri="{FF2B5EF4-FFF2-40B4-BE49-F238E27FC236}">
              <a16:creationId xmlns:a16="http://schemas.microsoft.com/office/drawing/2014/main" id="{25284C47-7230-44CB-8825-5A983DE9B0D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9" name="Host Control  146" hidden="1">
          <a:extLst>
            <a:ext uri="{FF2B5EF4-FFF2-40B4-BE49-F238E27FC236}">
              <a16:creationId xmlns:a16="http://schemas.microsoft.com/office/drawing/2014/main" id="{361D1C82-3B00-4E75-BBD4-50777EF1550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0" name="Host Control  147" hidden="1">
          <a:extLst>
            <a:ext uri="{FF2B5EF4-FFF2-40B4-BE49-F238E27FC236}">
              <a16:creationId xmlns:a16="http://schemas.microsoft.com/office/drawing/2014/main" id="{411AE2F2-4D4F-4609-BF3F-9643964F78E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1" name="Host Control  148" hidden="1">
          <a:extLst>
            <a:ext uri="{FF2B5EF4-FFF2-40B4-BE49-F238E27FC236}">
              <a16:creationId xmlns:a16="http://schemas.microsoft.com/office/drawing/2014/main" id="{2DE34DCB-936F-455E-8D90-D0613FDF0DC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2" name="Host Control  149" hidden="1">
          <a:extLst>
            <a:ext uri="{FF2B5EF4-FFF2-40B4-BE49-F238E27FC236}">
              <a16:creationId xmlns:a16="http://schemas.microsoft.com/office/drawing/2014/main" id="{C11452B4-2A41-401C-9743-FFB0247F0A9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3" name="Host Control  150" hidden="1">
          <a:extLst>
            <a:ext uri="{FF2B5EF4-FFF2-40B4-BE49-F238E27FC236}">
              <a16:creationId xmlns:a16="http://schemas.microsoft.com/office/drawing/2014/main" id="{BBF0FA91-1AC8-481F-B3A8-6A771C0A4D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4" name="Host Control  151" hidden="1">
          <a:extLst>
            <a:ext uri="{FF2B5EF4-FFF2-40B4-BE49-F238E27FC236}">
              <a16:creationId xmlns:a16="http://schemas.microsoft.com/office/drawing/2014/main" id="{21B07602-45C7-48D8-8EC9-C3765A3FEFB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5" name="Host Control  152" hidden="1">
          <a:extLst>
            <a:ext uri="{FF2B5EF4-FFF2-40B4-BE49-F238E27FC236}">
              <a16:creationId xmlns:a16="http://schemas.microsoft.com/office/drawing/2014/main" id="{5A4D2B27-2B63-4DF3-9E1D-22F3853B5DC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6" name="Host Control  153" hidden="1">
          <a:extLst>
            <a:ext uri="{FF2B5EF4-FFF2-40B4-BE49-F238E27FC236}">
              <a16:creationId xmlns:a16="http://schemas.microsoft.com/office/drawing/2014/main" id="{395FF92C-EEEE-4233-9402-5F2349375B8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7" name="Host Control  154" hidden="1">
          <a:extLst>
            <a:ext uri="{FF2B5EF4-FFF2-40B4-BE49-F238E27FC236}">
              <a16:creationId xmlns:a16="http://schemas.microsoft.com/office/drawing/2014/main" id="{C5CFA4D3-5308-413A-AB5E-08F22F03A16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8" name="Host Control  155" hidden="1">
          <a:extLst>
            <a:ext uri="{FF2B5EF4-FFF2-40B4-BE49-F238E27FC236}">
              <a16:creationId xmlns:a16="http://schemas.microsoft.com/office/drawing/2014/main" id="{A7EC43F6-1C8C-4881-A6CC-498C5AD0816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9" name="Host Control  156" hidden="1">
          <a:extLst>
            <a:ext uri="{FF2B5EF4-FFF2-40B4-BE49-F238E27FC236}">
              <a16:creationId xmlns:a16="http://schemas.microsoft.com/office/drawing/2014/main" id="{86DF6C8D-78CA-48E8-A583-410F2CE9958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0" name="Host Control  157" hidden="1">
          <a:extLst>
            <a:ext uri="{FF2B5EF4-FFF2-40B4-BE49-F238E27FC236}">
              <a16:creationId xmlns:a16="http://schemas.microsoft.com/office/drawing/2014/main" id="{0AE96401-0BF7-424F-A168-495A2826A21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1" name="Host Control  158" hidden="1">
          <a:extLst>
            <a:ext uri="{FF2B5EF4-FFF2-40B4-BE49-F238E27FC236}">
              <a16:creationId xmlns:a16="http://schemas.microsoft.com/office/drawing/2014/main" id="{55C0AA7C-BA4D-47EC-B802-347D000A51E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2" name="Host Control  159" hidden="1">
          <a:extLst>
            <a:ext uri="{FF2B5EF4-FFF2-40B4-BE49-F238E27FC236}">
              <a16:creationId xmlns:a16="http://schemas.microsoft.com/office/drawing/2014/main" id="{0FC905FC-5F0E-41E3-B15F-0EF173A6D8B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3" name="Host Control  160" hidden="1">
          <a:extLst>
            <a:ext uri="{FF2B5EF4-FFF2-40B4-BE49-F238E27FC236}">
              <a16:creationId xmlns:a16="http://schemas.microsoft.com/office/drawing/2014/main" id="{A53A5E27-8DBB-4BCE-8855-04AC43C339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4" name="Host Control  161" hidden="1">
          <a:extLst>
            <a:ext uri="{FF2B5EF4-FFF2-40B4-BE49-F238E27FC236}">
              <a16:creationId xmlns:a16="http://schemas.microsoft.com/office/drawing/2014/main" id="{5697D50F-89DC-40BB-9CF9-8F7CF6E1E03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5" name="Host Control  162" hidden="1">
          <a:extLst>
            <a:ext uri="{FF2B5EF4-FFF2-40B4-BE49-F238E27FC236}">
              <a16:creationId xmlns:a16="http://schemas.microsoft.com/office/drawing/2014/main" id="{76035A0A-444E-4A02-8579-5F848A575BF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6" name="Host Control  163" hidden="1">
          <a:extLst>
            <a:ext uri="{FF2B5EF4-FFF2-40B4-BE49-F238E27FC236}">
              <a16:creationId xmlns:a16="http://schemas.microsoft.com/office/drawing/2014/main" id="{4F6C4146-360F-406A-8A24-CFD0A5B356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7" name="Host Control  164" hidden="1">
          <a:extLst>
            <a:ext uri="{FF2B5EF4-FFF2-40B4-BE49-F238E27FC236}">
              <a16:creationId xmlns:a16="http://schemas.microsoft.com/office/drawing/2014/main" id="{5316AD37-5977-4BE2-8B33-D6A5C1B3178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8" name="Host Control  168" hidden="1">
          <a:extLst>
            <a:ext uri="{FF2B5EF4-FFF2-40B4-BE49-F238E27FC236}">
              <a16:creationId xmlns:a16="http://schemas.microsoft.com/office/drawing/2014/main" id="{CF2599F1-85E3-495C-B144-5DA84466C63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9" name="Host Control  169" hidden="1">
          <a:extLst>
            <a:ext uri="{FF2B5EF4-FFF2-40B4-BE49-F238E27FC236}">
              <a16:creationId xmlns:a16="http://schemas.microsoft.com/office/drawing/2014/main" id="{B119EBC6-52E3-4359-9AB9-3574D04D07C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0" name="Host Control  170" hidden="1">
          <a:extLst>
            <a:ext uri="{FF2B5EF4-FFF2-40B4-BE49-F238E27FC236}">
              <a16:creationId xmlns:a16="http://schemas.microsoft.com/office/drawing/2014/main" id="{B61D51F7-E322-4702-B4F1-5C668F2D7CE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1" name="Host Control  171" hidden="1">
          <a:extLst>
            <a:ext uri="{FF2B5EF4-FFF2-40B4-BE49-F238E27FC236}">
              <a16:creationId xmlns:a16="http://schemas.microsoft.com/office/drawing/2014/main" id="{4AE13FFD-35F7-4E95-9E78-86E54A5202C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2" name="Host Control  172" hidden="1">
          <a:extLst>
            <a:ext uri="{FF2B5EF4-FFF2-40B4-BE49-F238E27FC236}">
              <a16:creationId xmlns:a16="http://schemas.microsoft.com/office/drawing/2014/main" id="{B3C6B71F-9BCB-4DF7-ACC3-049D6DD28C6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3" name="Host Control  173" hidden="1">
          <a:extLst>
            <a:ext uri="{FF2B5EF4-FFF2-40B4-BE49-F238E27FC236}">
              <a16:creationId xmlns:a16="http://schemas.microsoft.com/office/drawing/2014/main" id="{ED73796D-0B41-4362-98A6-755B283E2FE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4" name="Host Control  174" hidden="1">
          <a:extLst>
            <a:ext uri="{FF2B5EF4-FFF2-40B4-BE49-F238E27FC236}">
              <a16:creationId xmlns:a16="http://schemas.microsoft.com/office/drawing/2014/main" id="{84ADFAB2-AEDA-42B0-80BE-AD2D2DD9955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5" name="Host Control  175" hidden="1">
          <a:extLst>
            <a:ext uri="{FF2B5EF4-FFF2-40B4-BE49-F238E27FC236}">
              <a16:creationId xmlns:a16="http://schemas.microsoft.com/office/drawing/2014/main" id="{F8F2FA36-ADB6-4FFC-BD2F-65F270859B2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6" name="Host Control  176" hidden="1">
          <a:extLst>
            <a:ext uri="{FF2B5EF4-FFF2-40B4-BE49-F238E27FC236}">
              <a16:creationId xmlns:a16="http://schemas.microsoft.com/office/drawing/2014/main" id="{747B126F-27E6-4BB1-8D55-AB81940815A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7" name="Host Control  177" hidden="1">
          <a:extLst>
            <a:ext uri="{FF2B5EF4-FFF2-40B4-BE49-F238E27FC236}">
              <a16:creationId xmlns:a16="http://schemas.microsoft.com/office/drawing/2014/main" id="{122A17A3-E151-42AA-B58A-27343BFAEC6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8" name="Host Control  178" hidden="1">
          <a:extLst>
            <a:ext uri="{FF2B5EF4-FFF2-40B4-BE49-F238E27FC236}">
              <a16:creationId xmlns:a16="http://schemas.microsoft.com/office/drawing/2014/main" id="{ACFED627-655B-41E1-AE8C-8F699AD4455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9" name="Host Control  179" hidden="1">
          <a:extLst>
            <a:ext uri="{FF2B5EF4-FFF2-40B4-BE49-F238E27FC236}">
              <a16:creationId xmlns:a16="http://schemas.microsoft.com/office/drawing/2014/main" id="{549BFEE4-20B2-4466-871F-F1325BD4AC5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0" name="Host Control  180" hidden="1">
          <a:extLst>
            <a:ext uri="{FF2B5EF4-FFF2-40B4-BE49-F238E27FC236}">
              <a16:creationId xmlns:a16="http://schemas.microsoft.com/office/drawing/2014/main" id="{84B2BD28-213F-460F-ABAE-656A60B3BA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1" name="Host Control  181" hidden="1">
          <a:extLst>
            <a:ext uri="{FF2B5EF4-FFF2-40B4-BE49-F238E27FC236}">
              <a16:creationId xmlns:a16="http://schemas.microsoft.com/office/drawing/2014/main" id="{094E19FC-2F39-49D3-8FDE-9566153EB5A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2" name="Host Control  182" hidden="1">
          <a:extLst>
            <a:ext uri="{FF2B5EF4-FFF2-40B4-BE49-F238E27FC236}">
              <a16:creationId xmlns:a16="http://schemas.microsoft.com/office/drawing/2014/main" id="{218B587D-3125-4813-95C2-6C8A2D085AD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3" name="Host Control  183" hidden="1">
          <a:extLst>
            <a:ext uri="{FF2B5EF4-FFF2-40B4-BE49-F238E27FC236}">
              <a16:creationId xmlns:a16="http://schemas.microsoft.com/office/drawing/2014/main" id="{1E7BE579-4A97-4D53-814F-447D4275AC1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4" name="Host Control  184" hidden="1">
          <a:extLst>
            <a:ext uri="{FF2B5EF4-FFF2-40B4-BE49-F238E27FC236}">
              <a16:creationId xmlns:a16="http://schemas.microsoft.com/office/drawing/2014/main" id="{20FA7398-74BE-4365-86C9-2600DDBA99C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5" name="Host Control  185" hidden="1">
          <a:extLst>
            <a:ext uri="{FF2B5EF4-FFF2-40B4-BE49-F238E27FC236}">
              <a16:creationId xmlns:a16="http://schemas.microsoft.com/office/drawing/2014/main" id="{A921FBF7-5685-49EC-A31C-AB27A9D9A2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6" name="Host Control  186" hidden="1">
          <a:extLst>
            <a:ext uri="{FF2B5EF4-FFF2-40B4-BE49-F238E27FC236}">
              <a16:creationId xmlns:a16="http://schemas.microsoft.com/office/drawing/2014/main" id="{5FC27981-2CDA-4213-9353-B6DA73B1EC7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7" name="Host Control  187" hidden="1">
          <a:extLst>
            <a:ext uri="{FF2B5EF4-FFF2-40B4-BE49-F238E27FC236}">
              <a16:creationId xmlns:a16="http://schemas.microsoft.com/office/drawing/2014/main" id="{AEE1BF1F-FF66-4069-A7AB-0AC657CDEE4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8" name="Host Control  188" hidden="1">
          <a:extLst>
            <a:ext uri="{FF2B5EF4-FFF2-40B4-BE49-F238E27FC236}">
              <a16:creationId xmlns:a16="http://schemas.microsoft.com/office/drawing/2014/main" id="{8583B998-3921-42EA-84E8-E2CB2914822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9" name="Host Control  189" hidden="1">
          <a:extLst>
            <a:ext uri="{FF2B5EF4-FFF2-40B4-BE49-F238E27FC236}">
              <a16:creationId xmlns:a16="http://schemas.microsoft.com/office/drawing/2014/main" id="{EB302B75-1E52-4594-A21C-2FE0178858E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0" name="Host Control  190" hidden="1">
          <a:extLst>
            <a:ext uri="{FF2B5EF4-FFF2-40B4-BE49-F238E27FC236}">
              <a16:creationId xmlns:a16="http://schemas.microsoft.com/office/drawing/2014/main" id="{C3C27F61-3DCD-4B60-975D-4B165D3BBB7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1" name="Host Control  191" hidden="1">
          <a:extLst>
            <a:ext uri="{FF2B5EF4-FFF2-40B4-BE49-F238E27FC236}">
              <a16:creationId xmlns:a16="http://schemas.microsoft.com/office/drawing/2014/main" id="{2AB5D7C2-1996-4EE9-943F-158F8EFB1E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2" name="Host Control  192" hidden="1">
          <a:extLst>
            <a:ext uri="{FF2B5EF4-FFF2-40B4-BE49-F238E27FC236}">
              <a16:creationId xmlns:a16="http://schemas.microsoft.com/office/drawing/2014/main" id="{F3746313-F1DC-40E8-B667-E18FF581CC5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3" name="Host Control  193" hidden="1">
          <a:extLst>
            <a:ext uri="{FF2B5EF4-FFF2-40B4-BE49-F238E27FC236}">
              <a16:creationId xmlns:a16="http://schemas.microsoft.com/office/drawing/2014/main" id="{45FA6048-05F9-4C27-8A68-82EF4267277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4" name="Host Control  194" hidden="1">
          <a:extLst>
            <a:ext uri="{FF2B5EF4-FFF2-40B4-BE49-F238E27FC236}">
              <a16:creationId xmlns:a16="http://schemas.microsoft.com/office/drawing/2014/main" id="{AD92C422-EC5E-4563-BB54-2B1DED9FF18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5" name="Host Control  195" hidden="1">
          <a:extLst>
            <a:ext uri="{FF2B5EF4-FFF2-40B4-BE49-F238E27FC236}">
              <a16:creationId xmlns:a16="http://schemas.microsoft.com/office/drawing/2014/main" id="{95467F89-44BD-4071-BA6D-BE81F927461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6" name="Host Control  196" hidden="1">
          <a:extLst>
            <a:ext uri="{FF2B5EF4-FFF2-40B4-BE49-F238E27FC236}">
              <a16:creationId xmlns:a16="http://schemas.microsoft.com/office/drawing/2014/main" id="{C417FC59-F671-4C55-9A85-BBA2E2FA90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7" name="Host Control  197" hidden="1">
          <a:extLst>
            <a:ext uri="{FF2B5EF4-FFF2-40B4-BE49-F238E27FC236}">
              <a16:creationId xmlns:a16="http://schemas.microsoft.com/office/drawing/2014/main" id="{5FAE38B8-088E-4578-A55B-9221ABD50F0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8" name="Host Control  201" hidden="1">
          <a:extLst>
            <a:ext uri="{FF2B5EF4-FFF2-40B4-BE49-F238E27FC236}">
              <a16:creationId xmlns:a16="http://schemas.microsoft.com/office/drawing/2014/main" id="{597F8724-E65E-41DE-B80F-557A815A8B4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9" name="Host Control  202" hidden="1">
          <a:extLst>
            <a:ext uri="{FF2B5EF4-FFF2-40B4-BE49-F238E27FC236}">
              <a16:creationId xmlns:a16="http://schemas.microsoft.com/office/drawing/2014/main" id="{7E9E5AE3-E61D-48EF-B421-7469E2C5E1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0" name="Host Control  203" hidden="1">
          <a:extLst>
            <a:ext uri="{FF2B5EF4-FFF2-40B4-BE49-F238E27FC236}">
              <a16:creationId xmlns:a16="http://schemas.microsoft.com/office/drawing/2014/main" id="{957F96AA-01B5-4EEF-AD83-BBEE5F699B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1" name="Host Control  204" hidden="1">
          <a:extLst>
            <a:ext uri="{FF2B5EF4-FFF2-40B4-BE49-F238E27FC236}">
              <a16:creationId xmlns:a16="http://schemas.microsoft.com/office/drawing/2014/main" id="{823D018D-F408-4AF9-BC6A-DF16B6D20D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2" name="Host Control  205" hidden="1">
          <a:extLst>
            <a:ext uri="{FF2B5EF4-FFF2-40B4-BE49-F238E27FC236}">
              <a16:creationId xmlns:a16="http://schemas.microsoft.com/office/drawing/2014/main" id="{5C7C2AA6-C9C1-4C96-B33C-77E796E1298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3" name="Host Control  206" hidden="1">
          <a:extLst>
            <a:ext uri="{FF2B5EF4-FFF2-40B4-BE49-F238E27FC236}">
              <a16:creationId xmlns:a16="http://schemas.microsoft.com/office/drawing/2014/main" id="{98896E5D-E2E9-4DCB-9FBF-F25367D2EAE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4" name="Host Control  207" hidden="1">
          <a:extLst>
            <a:ext uri="{FF2B5EF4-FFF2-40B4-BE49-F238E27FC236}">
              <a16:creationId xmlns:a16="http://schemas.microsoft.com/office/drawing/2014/main" id="{8785F9CE-0846-4992-8A0A-90B073C0F97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5" name="Host Control  208" hidden="1">
          <a:extLst>
            <a:ext uri="{FF2B5EF4-FFF2-40B4-BE49-F238E27FC236}">
              <a16:creationId xmlns:a16="http://schemas.microsoft.com/office/drawing/2014/main" id="{452FBA97-D36E-4D7B-8455-28C06446C61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6" name="Host Control  209" hidden="1">
          <a:extLst>
            <a:ext uri="{FF2B5EF4-FFF2-40B4-BE49-F238E27FC236}">
              <a16:creationId xmlns:a16="http://schemas.microsoft.com/office/drawing/2014/main" id="{AD8FCC72-102A-44B5-B4E7-CA15247CCC3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7" name="Host Control  210" hidden="1">
          <a:extLst>
            <a:ext uri="{FF2B5EF4-FFF2-40B4-BE49-F238E27FC236}">
              <a16:creationId xmlns:a16="http://schemas.microsoft.com/office/drawing/2014/main" id="{6C9CD21B-9E4B-48C8-AA7B-3B40EC0A12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8" name="Host Control  211" hidden="1">
          <a:extLst>
            <a:ext uri="{FF2B5EF4-FFF2-40B4-BE49-F238E27FC236}">
              <a16:creationId xmlns:a16="http://schemas.microsoft.com/office/drawing/2014/main" id="{AD875A8F-1267-405D-90B4-F4FD865D836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9" name="Host Control  212" hidden="1">
          <a:extLst>
            <a:ext uri="{FF2B5EF4-FFF2-40B4-BE49-F238E27FC236}">
              <a16:creationId xmlns:a16="http://schemas.microsoft.com/office/drawing/2014/main" id="{CD0EEDAC-7771-413C-AAC3-AF0E627E7AD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0" name="Host Control  213" hidden="1">
          <a:extLst>
            <a:ext uri="{FF2B5EF4-FFF2-40B4-BE49-F238E27FC236}">
              <a16:creationId xmlns:a16="http://schemas.microsoft.com/office/drawing/2014/main" id="{1AF46276-A566-4CC7-AEEC-F47E126D70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1" name="Host Control  214" hidden="1">
          <a:extLst>
            <a:ext uri="{FF2B5EF4-FFF2-40B4-BE49-F238E27FC236}">
              <a16:creationId xmlns:a16="http://schemas.microsoft.com/office/drawing/2014/main" id="{953D16CB-149B-4413-86F6-DC167CCBCE2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2" name="Host Control  215" hidden="1">
          <a:extLst>
            <a:ext uri="{FF2B5EF4-FFF2-40B4-BE49-F238E27FC236}">
              <a16:creationId xmlns:a16="http://schemas.microsoft.com/office/drawing/2014/main" id="{D2484B42-CE8A-4908-ACA1-18D3BA39100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3" name="Host Control  216" hidden="1">
          <a:extLst>
            <a:ext uri="{FF2B5EF4-FFF2-40B4-BE49-F238E27FC236}">
              <a16:creationId xmlns:a16="http://schemas.microsoft.com/office/drawing/2014/main" id="{93648352-6EEC-4261-B6E5-8A249FD10C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4" name="Host Control  217" hidden="1">
          <a:extLst>
            <a:ext uri="{FF2B5EF4-FFF2-40B4-BE49-F238E27FC236}">
              <a16:creationId xmlns:a16="http://schemas.microsoft.com/office/drawing/2014/main" id="{3EEB01C8-4226-478B-A412-0CC5BA88567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5" name="Host Control  218" hidden="1">
          <a:extLst>
            <a:ext uri="{FF2B5EF4-FFF2-40B4-BE49-F238E27FC236}">
              <a16:creationId xmlns:a16="http://schemas.microsoft.com/office/drawing/2014/main" id="{EF6F68C6-E076-4121-9C1C-72C2D11EDCD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6" name="Host Control  219" hidden="1">
          <a:extLst>
            <a:ext uri="{FF2B5EF4-FFF2-40B4-BE49-F238E27FC236}">
              <a16:creationId xmlns:a16="http://schemas.microsoft.com/office/drawing/2014/main" id="{95C3437F-E83B-44E0-B17B-F782F4767E5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7" name="Host Control  220" hidden="1">
          <a:extLst>
            <a:ext uri="{FF2B5EF4-FFF2-40B4-BE49-F238E27FC236}">
              <a16:creationId xmlns:a16="http://schemas.microsoft.com/office/drawing/2014/main" id="{06322D1B-5C6B-43E5-98C3-155777CB339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8" name="Host Control  221" hidden="1">
          <a:extLst>
            <a:ext uri="{FF2B5EF4-FFF2-40B4-BE49-F238E27FC236}">
              <a16:creationId xmlns:a16="http://schemas.microsoft.com/office/drawing/2014/main" id="{5E17CB23-E30E-47D3-97D9-3095515970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9" name="Host Control  222" hidden="1">
          <a:extLst>
            <a:ext uri="{FF2B5EF4-FFF2-40B4-BE49-F238E27FC236}">
              <a16:creationId xmlns:a16="http://schemas.microsoft.com/office/drawing/2014/main" id="{5B094898-19D3-4E6F-A26A-1EFFD098109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0" name="Host Control  223" hidden="1">
          <a:extLst>
            <a:ext uri="{FF2B5EF4-FFF2-40B4-BE49-F238E27FC236}">
              <a16:creationId xmlns:a16="http://schemas.microsoft.com/office/drawing/2014/main" id="{68D223ED-59E4-4B98-9008-4156CB25811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1" name="Host Control  224" hidden="1">
          <a:extLst>
            <a:ext uri="{FF2B5EF4-FFF2-40B4-BE49-F238E27FC236}">
              <a16:creationId xmlns:a16="http://schemas.microsoft.com/office/drawing/2014/main" id="{73DC986B-55CD-49A3-8FD5-5437C5C08BF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2" name="Host Control  225" hidden="1">
          <a:extLst>
            <a:ext uri="{FF2B5EF4-FFF2-40B4-BE49-F238E27FC236}">
              <a16:creationId xmlns:a16="http://schemas.microsoft.com/office/drawing/2014/main" id="{D9254E01-7BD1-4129-A05D-F577EC27714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3" name="Host Control  226" hidden="1">
          <a:extLst>
            <a:ext uri="{FF2B5EF4-FFF2-40B4-BE49-F238E27FC236}">
              <a16:creationId xmlns:a16="http://schemas.microsoft.com/office/drawing/2014/main" id="{87D5C66A-6392-4A23-85E3-F06704209D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4" name="Host Control  227" hidden="1">
          <a:extLst>
            <a:ext uri="{FF2B5EF4-FFF2-40B4-BE49-F238E27FC236}">
              <a16:creationId xmlns:a16="http://schemas.microsoft.com/office/drawing/2014/main" id="{A95E2B1B-0B73-4158-9ED7-41B53E6E368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5" name="Host Control  228" hidden="1">
          <a:extLst>
            <a:ext uri="{FF2B5EF4-FFF2-40B4-BE49-F238E27FC236}">
              <a16:creationId xmlns:a16="http://schemas.microsoft.com/office/drawing/2014/main" id="{32ADF1F1-5758-465E-BFEB-0482D468811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6" name="Host Control  229" hidden="1">
          <a:extLst>
            <a:ext uri="{FF2B5EF4-FFF2-40B4-BE49-F238E27FC236}">
              <a16:creationId xmlns:a16="http://schemas.microsoft.com/office/drawing/2014/main" id="{874029B6-65D8-42EA-87ED-A9D9CDEA3E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7" name="Host Control  230" hidden="1">
          <a:extLst>
            <a:ext uri="{FF2B5EF4-FFF2-40B4-BE49-F238E27FC236}">
              <a16:creationId xmlns:a16="http://schemas.microsoft.com/office/drawing/2014/main" id="{2F748304-53A8-45A6-ACDA-5CF0F2B93F3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8" name="Host Control  234" hidden="1">
          <a:extLst>
            <a:ext uri="{FF2B5EF4-FFF2-40B4-BE49-F238E27FC236}">
              <a16:creationId xmlns:a16="http://schemas.microsoft.com/office/drawing/2014/main" id="{47CE5E11-AC7D-4D3E-80F6-337876CEA4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9" name="Host Control  235" hidden="1">
          <a:extLst>
            <a:ext uri="{FF2B5EF4-FFF2-40B4-BE49-F238E27FC236}">
              <a16:creationId xmlns:a16="http://schemas.microsoft.com/office/drawing/2014/main" id="{112CB19B-C84C-464B-8CB2-25E6B036F3A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0" name="Host Control  236" hidden="1">
          <a:extLst>
            <a:ext uri="{FF2B5EF4-FFF2-40B4-BE49-F238E27FC236}">
              <a16:creationId xmlns:a16="http://schemas.microsoft.com/office/drawing/2014/main" id="{7BB91983-AB74-4E84-B644-2C9C5C7182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1" name="Host Control  237" hidden="1">
          <a:extLst>
            <a:ext uri="{FF2B5EF4-FFF2-40B4-BE49-F238E27FC236}">
              <a16:creationId xmlns:a16="http://schemas.microsoft.com/office/drawing/2014/main" id="{E87C8AE0-4128-4F04-9C64-B3155C7766E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2" name="Host Control  238" hidden="1">
          <a:extLst>
            <a:ext uri="{FF2B5EF4-FFF2-40B4-BE49-F238E27FC236}">
              <a16:creationId xmlns:a16="http://schemas.microsoft.com/office/drawing/2014/main" id="{79C7761C-16F5-4338-A774-5D62F516C5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3" name="Host Control  239" hidden="1">
          <a:extLst>
            <a:ext uri="{FF2B5EF4-FFF2-40B4-BE49-F238E27FC236}">
              <a16:creationId xmlns:a16="http://schemas.microsoft.com/office/drawing/2014/main" id="{1DA82A02-F7F6-4095-B791-8F4AB2FD7C2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4" name="Host Control  240" hidden="1">
          <a:extLst>
            <a:ext uri="{FF2B5EF4-FFF2-40B4-BE49-F238E27FC236}">
              <a16:creationId xmlns:a16="http://schemas.microsoft.com/office/drawing/2014/main" id="{3EE541F5-6BFF-4B9B-ACED-BC1FFFA9118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5" name="Host Control  241" hidden="1">
          <a:extLst>
            <a:ext uri="{FF2B5EF4-FFF2-40B4-BE49-F238E27FC236}">
              <a16:creationId xmlns:a16="http://schemas.microsoft.com/office/drawing/2014/main" id="{8FE1514E-BEB3-4544-8D36-C2197DFB0DF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6" name="Host Control  242" hidden="1">
          <a:extLst>
            <a:ext uri="{FF2B5EF4-FFF2-40B4-BE49-F238E27FC236}">
              <a16:creationId xmlns:a16="http://schemas.microsoft.com/office/drawing/2014/main" id="{F5E4237C-4A66-40EA-8027-0D600CEA554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7" name="Host Control  243" hidden="1">
          <a:extLst>
            <a:ext uri="{FF2B5EF4-FFF2-40B4-BE49-F238E27FC236}">
              <a16:creationId xmlns:a16="http://schemas.microsoft.com/office/drawing/2014/main" id="{E3DB5FE4-A46B-46C5-84CF-D383F9A91E4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8" name="Host Control  244" hidden="1">
          <a:extLst>
            <a:ext uri="{FF2B5EF4-FFF2-40B4-BE49-F238E27FC236}">
              <a16:creationId xmlns:a16="http://schemas.microsoft.com/office/drawing/2014/main" id="{D3699E47-51DB-42AA-A7B1-D5D55B23B2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9" name="Host Control  245" hidden="1">
          <a:extLst>
            <a:ext uri="{FF2B5EF4-FFF2-40B4-BE49-F238E27FC236}">
              <a16:creationId xmlns:a16="http://schemas.microsoft.com/office/drawing/2014/main" id="{30C7E2DE-EA21-4B07-8C0D-197B772D3EE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0" name="Host Control  246" hidden="1">
          <a:extLst>
            <a:ext uri="{FF2B5EF4-FFF2-40B4-BE49-F238E27FC236}">
              <a16:creationId xmlns:a16="http://schemas.microsoft.com/office/drawing/2014/main" id="{EBD78587-B174-4E3E-A062-043B87C794C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1" name="Host Control  247" hidden="1">
          <a:extLst>
            <a:ext uri="{FF2B5EF4-FFF2-40B4-BE49-F238E27FC236}">
              <a16:creationId xmlns:a16="http://schemas.microsoft.com/office/drawing/2014/main" id="{621C6553-FCB0-44B8-B885-1B1977B6DDD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2" name="Host Control  248" hidden="1">
          <a:extLst>
            <a:ext uri="{FF2B5EF4-FFF2-40B4-BE49-F238E27FC236}">
              <a16:creationId xmlns:a16="http://schemas.microsoft.com/office/drawing/2014/main" id="{119A8E88-289C-4AB8-9788-0D0B64285E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3" name="Host Control  249" hidden="1">
          <a:extLst>
            <a:ext uri="{FF2B5EF4-FFF2-40B4-BE49-F238E27FC236}">
              <a16:creationId xmlns:a16="http://schemas.microsoft.com/office/drawing/2014/main" id="{85E9C687-14D8-4955-B608-D91D8B661D7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4" name="Host Control  250" hidden="1">
          <a:extLst>
            <a:ext uri="{FF2B5EF4-FFF2-40B4-BE49-F238E27FC236}">
              <a16:creationId xmlns:a16="http://schemas.microsoft.com/office/drawing/2014/main" id="{794F254A-AA3B-412B-B6FF-330C311BF28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5" name="Host Control  251" hidden="1">
          <a:extLst>
            <a:ext uri="{FF2B5EF4-FFF2-40B4-BE49-F238E27FC236}">
              <a16:creationId xmlns:a16="http://schemas.microsoft.com/office/drawing/2014/main" id="{177D08B3-D446-4BF1-BCDC-F49E4046690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6" name="Host Control  252" hidden="1">
          <a:extLst>
            <a:ext uri="{FF2B5EF4-FFF2-40B4-BE49-F238E27FC236}">
              <a16:creationId xmlns:a16="http://schemas.microsoft.com/office/drawing/2014/main" id="{10ED6ED3-7A34-4FA3-BA61-EEE6360F21F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7" name="Host Control  253" hidden="1">
          <a:extLst>
            <a:ext uri="{FF2B5EF4-FFF2-40B4-BE49-F238E27FC236}">
              <a16:creationId xmlns:a16="http://schemas.microsoft.com/office/drawing/2014/main" id="{A9F3142A-A997-420C-B11E-A2CB61EBA2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8" name="Host Control  254" hidden="1">
          <a:extLst>
            <a:ext uri="{FF2B5EF4-FFF2-40B4-BE49-F238E27FC236}">
              <a16:creationId xmlns:a16="http://schemas.microsoft.com/office/drawing/2014/main" id="{387FB6AA-DC03-463B-8419-0818F4EDD04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9" name="Host Control  255" hidden="1">
          <a:extLst>
            <a:ext uri="{FF2B5EF4-FFF2-40B4-BE49-F238E27FC236}">
              <a16:creationId xmlns:a16="http://schemas.microsoft.com/office/drawing/2014/main" id="{9F29DDA2-3426-4283-B93E-3A7FE32C876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0" name="Host Control  256" hidden="1">
          <a:extLst>
            <a:ext uri="{FF2B5EF4-FFF2-40B4-BE49-F238E27FC236}">
              <a16:creationId xmlns:a16="http://schemas.microsoft.com/office/drawing/2014/main" id="{B5809C9C-86C3-4E2D-A756-897D603DAE7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1" name="Host Control  257" hidden="1">
          <a:extLst>
            <a:ext uri="{FF2B5EF4-FFF2-40B4-BE49-F238E27FC236}">
              <a16:creationId xmlns:a16="http://schemas.microsoft.com/office/drawing/2014/main" id="{0BD12FCC-FDF5-4BD7-94EB-09A3C0FE83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2" name="Host Control  258" hidden="1">
          <a:extLst>
            <a:ext uri="{FF2B5EF4-FFF2-40B4-BE49-F238E27FC236}">
              <a16:creationId xmlns:a16="http://schemas.microsoft.com/office/drawing/2014/main" id="{1D3FF322-18CB-4FB6-A186-0778EDD5647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3" name="Host Control  259" hidden="1">
          <a:extLst>
            <a:ext uri="{FF2B5EF4-FFF2-40B4-BE49-F238E27FC236}">
              <a16:creationId xmlns:a16="http://schemas.microsoft.com/office/drawing/2014/main" id="{211B414E-4BC5-4B33-AEE6-442ADEFA829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4" name="Host Control  260" hidden="1">
          <a:extLst>
            <a:ext uri="{FF2B5EF4-FFF2-40B4-BE49-F238E27FC236}">
              <a16:creationId xmlns:a16="http://schemas.microsoft.com/office/drawing/2014/main" id="{4878F803-0D47-4528-9036-AB201439DDE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5" name="Host Control  261" hidden="1">
          <a:extLst>
            <a:ext uri="{FF2B5EF4-FFF2-40B4-BE49-F238E27FC236}">
              <a16:creationId xmlns:a16="http://schemas.microsoft.com/office/drawing/2014/main" id="{B3733B25-AB39-459E-97CE-D26E7607EEC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6" name="Host Control  262" hidden="1">
          <a:extLst>
            <a:ext uri="{FF2B5EF4-FFF2-40B4-BE49-F238E27FC236}">
              <a16:creationId xmlns:a16="http://schemas.microsoft.com/office/drawing/2014/main" id="{170EA248-B6F8-41EC-A052-E61D4810D4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7" name="Host Control  263" hidden="1">
          <a:extLst>
            <a:ext uri="{FF2B5EF4-FFF2-40B4-BE49-F238E27FC236}">
              <a16:creationId xmlns:a16="http://schemas.microsoft.com/office/drawing/2014/main" id="{4E9A4BFB-7941-483C-9F5E-45AD6EBE94C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8" name="Host Control  267" hidden="1">
          <a:extLst>
            <a:ext uri="{FF2B5EF4-FFF2-40B4-BE49-F238E27FC236}">
              <a16:creationId xmlns:a16="http://schemas.microsoft.com/office/drawing/2014/main" id="{6B1D3D89-EAEA-4DEE-98D2-FBB03ED5ADA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9" name="Host Control  268" hidden="1">
          <a:extLst>
            <a:ext uri="{FF2B5EF4-FFF2-40B4-BE49-F238E27FC236}">
              <a16:creationId xmlns:a16="http://schemas.microsoft.com/office/drawing/2014/main" id="{29FD4787-81D9-4058-B766-3045D14DF00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0" name="Host Control  269" hidden="1">
          <a:extLst>
            <a:ext uri="{FF2B5EF4-FFF2-40B4-BE49-F238E27FC236}">
              <a16:creationId xmlns:a16="http://schemas.microsoft.com/office/drawing/2014/main" id="{5BE3D279-1A52-481D-A3D3-2009BD0518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1" name="Host Control  270" hidden="1">
          <a:extLst>
            <a:ext uri="{FF2B5EF4-FFF2-40B4-BE49-F238E27FC236}">
              <a16:creationId xmlns:a16="http://schemas.microsoft.com/office/drawing/2014/main" id="{01960832-E9CE-46E3-917C-A40111537E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2" name="Host Control  271" hidden="1">
          <a:extLst>
            <a:ext uri="{FF2B5EF4-FFF2-40B4-BE49-F238E27FC236}">
              <a16:creationId xmlns:a16="http://schemas.microsoft.com/office/drawing/2014/main" id="{70E8D02A-9540-4C96-A739-7D9E71C463B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3" name="Host Control  272" hidden="1">
          <a:extLst>
            <a:ext uri="{FF2B5EF4-FFF2-40B4-BE49-F238E27FC236}">
              <a16:creationId xmlns:a16="http://schemas.microsoft.com/office/drawing/2014/main" id="{4A2D32BE-CFBA-4678-9B96-FF7CDC4BDDD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4" name="Host Control  273" hidden="1">
          <a:extLst>
            <a:ext uri="{FF2B5EF4-FFF2-40B4-BE49-F238E27FC236}">
              <a16:creationId xmlns:a16="http://schemas.microsoft.com/office/drawing/2014/main" id="{A07652E6-B45A-4717-AC0B-BD33D97D17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5" name="Host Control  274" hidden="1">
          <a:extLst>
            <a:ext uri="{FF2B5EF4-FFF2-40B4-BE49-F238E27FC236}">
              <a16:creationId xmlns:a16="http://schemas.microsoft.com/office/drawing/2014/main" id="{214F53DB-1132-461D-8063-D3A1862E049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6" name="Host Control  275" hidden="1">
          <a:extLst>
            <a:ext uri="{FF2B5EF4-FFF2-40B4-BE49-F238E27FC236}">
              <a16:creationId xmlns:a16="http://schemas.microsoft.com/office/drawing/2014/main" id="{C0FB04B3-2583-46CD-B858-B5EC72EADD1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7" name="Host Control  276" hidden="1">
          <a:extLst>
            <a:ext uri="{FF2B5EF4-FFF2-40B4-BE49-F238E27FC236}">
              <a16:creationId xmlns:a16="http://schemas.microsoft.com/office/drawing/2014/main" id="{2E7B4C40-2D68-4C23-A8ED-BA9F074CC4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8" name="Host Control  277" hidden="1">
          <a:extLst>
            <a:ext uri="{FF2B5EF4-FFF2-40B4-BE49-F238E27FC236}">
              <a16:creationId xmlns:a16="http://schemas.microsoft.com/office/drawing/2014/main" id="{C4F170E7-B575-471B-8A20-FAD7F705539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9" name="Host Control  278" hidden="1">
          <a:extLst>
            <a:ext uri="{FF2B5EF4-FFF2-40B4-BE49-F238E27FC236}">
              <a16:creationId xmlns:a16="http://schemas.microsoft.com/office/drawing/2014/main" id="{569E9504-F7F8-41C3-9682-2093931492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0" name="Host Control  279" hidden="1">
          <a:extLst>
            <a:ext uri="{FF2B5EF4-FFF2-40B4-BE49-F238E27FC236}">
              <a16:creationId xmlns:a16="http://schemas.microsoft.com/office/drawing/2014/main" id="{E8E08E75-7E17-495F-A327-E736BF47571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1" name="Host Control  280" hidden="1">
          <a:extLst>
            <a:ext uri="{FF2B5EF4-FFF2-40B4-BE49-F238E27FC236}">
              <a16:creationId xmlns:a16="http://schemas.microsoft.com/office/drawing/2014/main" id="{BF318281-7294-45C2-8713-703B92481AF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2" name="Host Control  281" hidden="1">
          <a:extLst>
            <a:ext uri="{FF2B5EF4-FFF2-40B4-BE49-F238E27FC236}">
              <a16:creationId xmlns:a16="http://schemas.microsoft.com/office/drawing/2014/main" id="{E456F58A-3AC4-4823-BD91-B4BF3404EA9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3" name="Host Control  282" hidden="1">
          <a:extLst>
            <a:ext uri="{FF2B5EF4-FFF2-40B4-BE49-F238E27FC236}">
              <a16:creationId xmlns:a16="http://schemas.microsoft.com/office/drawing/2014/main" id="{9D183593-B495-4CB9-87E0-A7E804EA954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4" name="Host Control  283" hidden="1">
          <a:extLst>
            <a:ext uri="{FF2B5EF4-FFF2-40B4-BE49-F238E27FC236}">
              <a16:creationId xmlns:a16="http://schemas.microsoft.com/office/drawing/2014/main" id="{B8F3F28E-4D32-47E0-BFD0-B3F69342906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5" name="Host Control  284" hidden="1">
          <a:extLst>
            <a:ext uri="{FF2B5EF4-FFF2-40B4-BE49-F238E27FC236}">
              <a16:creationId xmlns:a16="http://schemas.microsoft.com/office/drawing/2014/main" id="{6C59E39A-A8A7-443E-A17F-7A5BF6CE42A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6" name="Host Control  285" hidden="1">
          <a:extLst>
            <a:ext uri="{FF2B5EF4-FFF2-40B4-BE49-F238E27FC236}">
              <a16:creationId xmlns:a16="http://schemas.microsoft.com/office/drawing/2014/main" id="{9399CF70-A84D-4235-93B0-9EB1A33FB9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7" name="Host Control  286" hidden="1">
          <a:extLst>
            <a:ext uri="{FF2B5EF4-FFF2-40B4-BE49-F238E27FC236}">
              <a16:creationId xmlns:a16="http://schemas.microsoft.com/office/drawing/2014/main" id="{C47C2E4C-1FA5-4A6F-90F7-CE61EEBA2A3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8" name="Host Control  287" hidden="1">
          <a:extLst>
            <a:ext uri="{FF2B5EF4-FFF2-40B4-BE49-F238E27FC236}">
              <a16:creationId xmlns:a16="http://schemas.microsoft.com/office/drawing/2014/main" id="{B6474B1C-48C1-486B-84FE-938C5ABA5CF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9" name="Host Control  288" hidden="1">
          <a:extLst>
            <a:ext uri="{FF2B5EF4-FFF2-40B4-BE49-F238E27FC236}">
              <a16:creationId xmlns:a16="http://schemas.microsoft.com/office/drawing/2014/main" id="{75199B0B-6FA9-4B01-BAE8-0741F8D257A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0" name="Host Control  289" hidden="1">
          <a:extLst>
            <a:ext uri="{FF2B5EF4-FFF2-40B4-BE49-F238E27FC236}">
              <a16:creationId xmlns:a16="http://schemas.microsoft.com/office/drawing/2014/main" id="{9A0B2C2F-9D85-409B-B997-B9BF16F627B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1" name="Host Control  290" hidden="1">
          <a:extLst>
            <a:ext uri="{FF2B5EF4-FFF2-40B4-BE49-F238E27FC236}">
              <a16:creationId xmlns:a16="http://schemas.microsoft.com/office/drawing/2014/main" id="{000E624F-AD75-4373-AFCB-9CC37B07B9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2" name="Host Control  291" hidden="1">
          <a:extLst>
            <a:ext uri="{FF2B5EF4-FFF2-40B4-BE49-F238E27FC236}">
              <a16:creationId xmlns:a16="http://schemas.microsoft.com/office/drawing/2014/main" id="{7C437F82-3249-4039-87AC-1FB68A0E6BE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3" name="Host Control  292" hidden="1">
          <a:extLst>
            <a:ext uri="{FF2B5EF4-FFF2-40B4-BE49-F238E27FC236}">
              <a16:creationId xmlns:a16="http://schemas.microsoft.com/office/drawing/2014/main" id="{DBFB083C-3DE2-48B9-8F54-A68B69CCB7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4" name="Host Control  293" hidden="1">
          <a:extLst>
            <a:ext uri="{FF2B5EF4-FFF2-40B4-BE49-F238E27FC236}">
              <a16:creationId xmlns:a16="http://schemas.microsoft.com/office/drawing/2014/main" id="{65BBF4EA-AA19-4B29-A639-20EFD4853A8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5" name="Host Control  294" hidden="1">
          <a:extLst>
            <a:ext uri="{FF2B5EF4-FFF2-40B4-BE49-F238E27FC236}">
              <a16:creationId xmlns:a16="http://schemas.microsoft.com/office/drawing/2014/main" id="{07A60CE5-9BBD-4E0E-9280-0F9C5B4C858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6" name="Host Control  295" hidden="1">
          <a:extLst>
            <a:ext uri="{FF2B5EF4-FFF2-40B4-BE49-F238E27FC236}">
              <a16:creationId xmlns:a16="http://schemas.microsoft.com/office/drawing/2014/main" id="{8FCCCC8F-01C4-4E0C-BC0C-587DFD49168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7" name="Host Control  296" hidden="1">
          <a:extLst>
            <a:ext uri="{FF2B5EF4-FFF2-40B4-BE49-F238E27FC236}">
              <a16:creationId xmlns:a16="http://schemas.microsoft.com/office/drawing/2014/main" id="{EF0C80BD-8DF5-400E-B485-4F8C05093D3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898" name="Host Control  32">
          <a:extLst>
            <a:ext uri="{FF2B5EF4-FFF2-40B4-BE49-F238E27FC236}">
              <a16:creationId xmlns:a16="http://schemas.microsoft.com/office/drawing/2014/main" id="{1A5E0F1F-F1EE-4D19-A11D-AC9871031B8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899" name="Host Control  33">
          <a:extLst>
            <a:ext uri="{FF2B5EF4-FFF2-40B4-BE49-F238E27FC236}">
              <a16:creationId xmlns:a16="http://schemas.microsoft.com/office/drawing/2014/main" id="{25E9F79D-0FAF-4FEB-AA25-B1953591088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0" name="Host Control  34">
          <a:extLst>
            <a:ext uri="{FF2B5EF4-FFF2-40B4-BE49-F238E27FC236}">
              <a16:creationId xmlns:a16="http://schemas.microsoft.com/office/drawing/2014/main" id="{150971DC-A1F9-498E-8DC2-5A09919CB22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1" name="Host Control  35">
          <a:extLst>
            <a:ext uri="{FF2B5EF4-FFF2-40B4-BE49-F238E27FC236}">
              <a16:creationId xmlns:a16="http://schemas.microsoft.com/office/drawing/2014/main" id="{7C5A9341-9AF0-4D36-A68D-27554DBD192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2" name="Host Control  36">
          <a:extLst>
            <a:ext uri="{FF2B5EF4-FFF2-40B4-BE49-F238E27FC236}">
              <a16:creationId xmlns:a16="http://schemas.microsoft.com/office/drawing/2014/main" id="{1574E969-1106-4E70-AFF8-A0CE25CA584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3" name="Host Control  37">
          <a:extLst>
            <a:ext uri="{FF2B5EF4-FFF2-40B4-BE49-F238E27FC236}">
              <a16:creationId xmlns:a16="http://schemas.microsoft.com/office/drawing/2014/main" id="{0A55D4AB-10DD-4253-ABED-72272F78031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4" name="Host Control  38">
          <a:extLst>
            <a:ext uri="{FF2B5EF4-FFF2-40B4-BE49-F238E27FC236}">
              <a16:creationId xmlns:a16="http://schemas.microsoft.com/office/drawing/2014/main" id="{37BEF10B-2C82-4E36-857C-44DB57B4EDE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5" name="Host Control  39">
          <a:extLst>
            <a:ext uri="{FF2B5EF4-FFF2-40B4-BE49-F238E27FC236}">
              <a16:creationId xmlns:a16="http://schemas.microsoft.com/office/drawing/2014/main" id="{7BCF5CA0-9998-4852-9A9F-8B901CDC1C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6" name="Host Control  40">
          <a:extLst>
            <a:ext uri="{FF2B5EF4-FFF2-40B4-BE49-F238E27FC236}">
              <a16:creationId xmlns:a16="http://schemas.microsoft.com/office/drawing/2014/main" id="{599E03B3-1B46-4A51-A7DC-C5D0A49E39A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7" name="Host Control  41">
          <a:extLst>
            <a:ext uri="{FF2B5EF4-FFF2-40B4-BE49-F238E27FC236}">
              <a16:creationId xmlns:a16="http://schemas.microsoft.com/office/drawing/2014/main" id="{CB2F7D2A-E570-40C1-96A8-9E7C00912A3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8" name="Host Control  42">
          <a:extLst>
            <a:ext uri="{FF2B5EF4-FFF2-40B4-BE49-F238E27FC236}">
              <a16:creationId xmlns:a16="http://schemas.microsoft.com/office/drawing/2014/main" id="{01E5DCD1-48B7-4A9E-8613-DFE8AB6A401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9" name="Host Control  43">
          <a:extLst>
            <a:ext uri="{FF2B5EF4-FFF2-40B4-BE49-F238E27FC236}">
              <a16:creationId xmlns:a16="http://schemas.microsoft.com/office/drawing/2014/main" id="{0380C6B8-A699-46FE-8D7B-EBDA267E524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0" name="Host Control  44">
          <a:extLst>
            <a:ext uri="{FF2B5EF4-FFF2-40B4-BE49-F238E27FC236}">
              <a16:creationId xmlns:a16="http://schemas.microsoft.com/office/drawing/2014/main" id="{E9D764BA-4E65-40D5-8317-2F206F92E16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1" name="Host Control  45">
          <a:extLst>
            <a:ext uri="{FF2B5EF4-FFF2-40B4-BE49-F238E27FC236}">
              <a16:creationId xmlns:a16="http://schemas.microsoft.com/office/drawing/2014/main" id="{FA862DFC-BD09-4201-B037-40C093FBC9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2" name="Host Control  46">
          <a:extLst>
            <a:ext uri="{FF2B5EF4-FFF2-40B4-BE49-F238E27FC236}">
              <a16:creationId xmlns:a16="http://schemas.microsoft.com/office/drawing/2014/main" id="{6E685D64-BCDA-415C-B581-9622EA00D5F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3" name="Host Control  47">
          <a:extLst>
            <a:ext uri="{FF2B5EF4-FFF2-40B4-BE49-F238E27FC236}">
              <a16:creationId xmlns:a16="http://schemas.microsoft.com/office/drawing/2014/main" id="{C22FF6AF-402F-404B-80D6-55A060914D3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4" name="Host Control  48">
          <a:extLst>
            <a:ext uri="{FF2B5EF4-FFF2-40B4-BE49-F238E27FC236}">
              <a16:creationId xmlns:a16="http://schemas.microsoft.com/office/drawing/2014/main" id="{3AAFB82A-22D8-4376-B9AC-09402541426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5" name="Host Control  49">
          <a:extLst>
            <a:ext uri="{FF2B5EF4-FFF2-40B4-BE49-F238E27FC236}">
              <a16:creationId xmlns:a16="http://schemas.microsoft.com/office/drawing/2014/main" id="{3CDF9443-4868-4E21-B89F-EA87F6A8B30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6" name="Host Control  50">
          <a:extLst>
            <a:ext uri="{FF2B5EF4-FFF2-40B4-BE49-F238E27FC236}">
              <a16:creationId xmlns:a16="http://schemas.microsoft.com/office/drawing/2014/main" id="{B5DBE7AE-5220-4601-AA53-6BD0163010E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7" name="Host Control  51">
          <a:extLst>
            <a:ext uri="{FF2B5EF4-FFF2-40B4-BE49-F238E27FC236}">
              <a16:creationId xmlns:a16="http://schemas.microsoft.com/office/drawing/2014/main" id="{95780E19-C8B0-4D79-99E7-21A5F44668B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8" name="Host Control  52">
          <a:extLst>
            <a:ext uri="{FF2B5EF4-FFF2-40B4-BE49-F238E27FC236}">
              <a16:creationId xmlns:a16="http://schemas.microsoft.com/office/drawing/2014/main" id="{61AC1B57-D850-4918-86C4-A04C27A534D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9" name="Host Control  53">
          <a:extLst>
            <a:ext uri="{FF2B5EF4-FFF2-40B4-BE49-F238E27FC236}">
              <a16:creationId xmlns:a16="http://schemas.microsoft.com/office/drawing/2014/main" id="{7576E621-3179-47B3-B749-92D2AFF5861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0" name="Host Control  54">
          <a:extLst>
            <a:ext uri="{FF2B5EF4-FFF2-40B4-BE49-F238E27FC236}">
              <a16:creationId xmlns:a16="http://schemas.microsoft.com/office/drawing/2014/main" id="{99FEF091-210F-48BD-A027-4A539801233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1" name="Host Control  55">
          <a:extLst>
            <a:ext uri="{FF2B5EF4-FFF2-40B4-BE49-F238E27FC236}">
              <a16:creationId xmlns:a16="http://schemas.microsoft.com/office/drawing/2014/main" id="{EB6C3604-F116-4DF2-986D-9B3778D78E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2" name="Host Control  56">
          <a:extLst>
            <a:ext uri="{FF2B5EF4-FFF2-40B4-BE49-F238E27FC236}">
              <a16:creationId xmlns:a16="http://schemas.microsoft.com/office/drawing/2014/main" id="{1A233CF5-D6E9-4D70-AB9C-3494D48711D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3" name="Host Control  57">
          <a:extLst>
            <a:ext uri="{FF2B5EF4-FFF2-40B4-BE49-F238E27FC236}">
              <a16:creationId xmlns:a16="http://schemas.microsoft.com/office/drawing/2014/main" id="{9A9B821A-3275-4F15-9ECE-949B9D73FE2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4" name="Host Control  58">
          <a:extLst>
            <a:ext uri="{FF2B5EF4-FFF2-40B4-BE49-F238E27FC236}">
              <a16:creationId xmlns:a16="http://schemas.microsoft.com/office/drawing/2014/main" id="{FB0E6905-6FC0-4789-A263-6D47F594CDF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5" name="Host Control  59">
          <a:extLst>
            <a:ext uri="{FF2B5EF4-FFF2-40B4-BE49-F238E27FC236}">
              <a16:creationId xmlns:a16="http://schemas.microsoft.com/office/drawing/2014/main" id="{BA115D38-2D26-44EC-BAFD-C2CF4DD9DF0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6" name="Host Control  60">
          <a:extLst>
            <a:ext uri="{FF2B5EF4-FFF2-40B4-BE49-F238E27FC236}">
              <a16:creationId xmlns:a16="http://schemas.microsoft.com/office/drawing/2014/main" id="{B7732AF1-C0C6-41AC-A67D-1539B0231A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7" name="Host Control  61">
          <a:extLst>
            <a:ext uri="{FF2B5EF4-FFF2-40B4-BE49-F238E27FC236}">
              <a16:creationId xmlns:a16="http://schemas.microsoft.com/office/drawing/2014/main" id="{ABEF59E1-32D0-4F0D-BC19-28B7A14AAD6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8" name="Host Control  65">
          <a:extLst>
            <a:ext uri="{FF2B5EF4-FFF2-40B4-BE49-F238E27FC236}">
              <a16:creationId xmlns:a16="http://schemas.microsoft.com/office/drawing/2014/main" id="{92BA2A68-F5B6-4798-8DCC-4B9B227B7A9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9" name="Host Control  66">
          <a:extLst>
            <a:ext uri="{FF2B5EF4-FFF2-40B4-BE49-F238E27FC236}">
              <a16:creationId xmlns:a16="http://schemas.microsoft.com/office/drawing/2014/main" id="{6DF119A0-961D-47C1-A52C-692F1319D0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0" name="Host Control  67">
          <a:extLst>
            <a:ext uri="{FF2B5EF4-FFF2-40B4-BE49-F238E27FC236}">
              <a16:creationId xmlns:a16="http://schemas.microsoft.com/office/drawing/2014/main" id="{16C1E628-FB3F-421F-9556-B3ADD682ED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1" name="Host Control  68">
          <a:extLst>
            <a:ext uri="{FF2B5EF4-FFF2-40B4-BE49-F238E27FC236}">
              <a16:creationId xmlns:a16="http://schemas.microsoft.com/office/drawing/2014/main" id="{E3EC345E-FD4C-439B-9212-EDB15B65D8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2" name="Host Control  69">
          <a:extLst>
            <a:ext uri="{FF2B5EF4-FFF2-40B4-BE49-F238E27FC236}">
              <a16:creationId xmlns:a16="http://schemas.microsoft.com/office/drawing/2014/main" id="{EA80A01F-7BB2-487F-A283-EE05543EF72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3" name="Host Control  70">
          <a:extLst>
            <a:ext uri="{FF2B5EF4-FFF2-40B4-BE49-F238E27FC236}">
              <a16:creationId xmlns:a16="http://schemas.microsoft.com/office/drawing/2014/main" id="{61C1D9B4-9D79-4FEB-9C5D-7AC9B3B6865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4" name="Host Control  71">
          <a:extLst>
            <a:ext uri="{FF2B5EF4-FFF2-40B4-BE49-F238E27FC236}">
              <a16:creationId xmlns:a16="http://schemas.microsoft.com/office/drawing/2014/main" id="{0C3F36BB-A9CE-4C99-8D41-9BC5F518335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5" name="Host Control  72">
          <a:extLst>
            <a:ext uri="{FF2B5EF4-FFF2-40B4-BE49-F238E27FC236}">
              <a16:creationId xmlns:a16="http://schemas.microsoft.com/office/drawing/2014/main" id="{CCEB8B2F-AD4F-49E8-99C9-2609C6B914F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6" name="Host Control  73">
          <a:extLst>
            <a:ext uri="{FF2B5EF4-FFF2-40B4-BE49-F238E27FC236}">
              <a16:creationId xmlns:a16="http://schemas.microsoft.com/office/drawing/2014/main" id="{4FC84301-7A95-4D4F-A72A-AD3ADC96CA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7" name="Host Control  74">
          <a:extLst>
            <a:ext uri="{FF2B5EF4-FFF2-40B4-BE49-F238E27FC236}">
              <a16:creationId xmlns:a16="http://schemas.microsoft.com/office/drawing/2014/main" id="{909CC049-6958-49C4-A92C-D79B50566A9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8" name="Host Control  75">
          <a:extLst>
            <a:ext uri="{FF2B5EF4-FFF2-40B4-BE49-F238E27FC236}">
              <a16:creationId xmlns:a16="http://schemas.microsoft.com/office/drawing/2014/main" id="{00369E47-3DA6-49E0-A2C7-6C169CC9A4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9" name="Host Control  76">
          <a:extLst>
            <a:ext uri="{FF2B5EF4-FFF2-40B4-BE49-F238E27FC236}">
              <a16:creationId xmlns:a16="http://schemas.microsoft.com/office/drawing/2014/main" id="{37346F1C-FCF4-4950-8C0C-C5DE97B3A9C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0" name="Host Control  77">
          <a:extLst>
            <a:ext uri="{FF2B5EF4-FFF2-40B4-BE49-F238E27FC236}">
              <a16:creationId xmlns:a16="http://schemas.microsoft.com/office/drawing/2014/main" id="{7FE7B8CB-2B14-4BBB-AEC0-ABD20CD40B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1" name="Host Control  78">
          <a:extLst>
            <a:ext uri="{FF2B5EF4-FFF2-40B4-BE49-F238E27FC236}">
              <a16:creationId xmlns:a16="http://schemas.microsoft.com/office/drawing/2014/main" id="{BFA90DBA-E37F-42D9-81E3-8397C244BF3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2" name="Host Control  79">
          <a:extLst>
            <a:ext uri="{FF2B5EF4-FFF2-40B4-BE49-F238E27FC236}">
              <a16:creationId xmlns:a16="http://schemas.microsoft.com/office/drawing/2014/main" id="{E06AC319-94E0-472A-8B85-13CC5F271D8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3" name="Host Control  80">
          <a:extLst>
            <a:ext uri="{FF2B5EF4-FFF2-40B4-BE49-F238E27FC236}">
              <a16:creationId xmlns:a16="http://schemas.microsoft.com/office/drawing/2014/main" id="{7A00F9DE-00F4-4630-A06B-39D20200FA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4" name="Host Control  81">
          <a:extLst>
            <a:ext uri="{FF2B5EF4-FFF2-40B4-BE49-F238E27FC236}">
              <a16:creationId xmlns:a16="http://schemas.microsoft.com/office/drawing/2014/main" id="{FEB86781-0E6B-4263-8E3B-0BDF3D41B2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5" name="Host Control  82">
          <a:extLst>
            <a:ext uri="{FF2B5EF4-FFF2-40B4-BE49-F238E27FC236}">
              <a16:creationId xmlns:a16="http://schemas.microsoft.com/office/drawing/2014/main" id="{7C16B4D3-8841-469A-860B-CFD8A637CE1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6" name="Host Control  83">
          <a:extLst>
            <a:ext uri="{FF2B5EF4-FFF2-40B4-BE49-F238E27FC236}">
              <a16:creationId xmlns:a16="http://schemas.microsoft.com/office/drawing/2014/main" id="{671BAD47-115D-4E7A-AE11-DB7F9C06FAE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7" name="Host Control  84">
          <a:extLst>
            <a:ext uri="{FF2B5EF4-FFF2-40B4-BE49-F238E27FC236}">
              <a16:creationId xmlns:a16="http://schemas.microsoft.com/office/drawing/2014/main" id="{FBB6BD8D-9BF1-4401-8AFB-1679B1C7775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8" name="Host Control  85">
          <a:extLst>
            <a:ext uri="{FF2B5EF4-FFF2-40B4-BE49-F238E27FC236}">
              <a16:creationId xmlns:a16="http://schemas.microsoft.com/office/drawing/2014/main" id="{4BDBB053-918D-4359-8184-82345C6A34E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9" name="Host Control  86">
          <a:extLst>
            <a:ext uri="{FF2B5EF4-FFF2-40B4-BE49-F238E27FC236}">
              <a16:creationId xmlns:a16="http://schemas.microsoft.com/office/drawing/2014/main" id="{D2519446-8A75-4587-81BB-B3B88EA65FF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0" name="Host Control  87">
          <a:extLst>
            <a:ext uri="{FF2B5EF4-FFF2-40B4-BE49-F238E27FC236}">
              <a16:creationId xmlns:a16="http://schemas.microsoft.com/office/drawing/2014/main" id="{B7975245-969C-4689-9C47-67A40D77254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1" name="Host Control  88">
          <a:extLst>
            <a:ext uri="{FF2B5EF4-FFF2-40B4-BE49-F238E27FC236}">
              <a16:creationId xmlns:a16="http://schemas.microsoft.com/office/drawing/2014/main" id="{93488B76-3304-4AA7-B926-4430E286AB1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2" name="Host Control  89">
          <a:extLst>
            <a:ext uri="{FF2B5EF4-FFF2-40B4-BE49-F238E27FC236}">
              <a16:creationId xmlns:a16="http://schemas.microsoft.com/office/drawing/2014/main" id="{5383283E-C297-44C7-AF31-5D889E6DCA4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3" name="Host Control  90">
          <a:extLst>
            <a:ext uri="{FF2B5EF4-FFF2-40B4-BE49-F238E27FC236}">
              <a16:creationId xmlns:a16="http://schemas.microsoft.com/office/drawing/2014/main" id="{F18AC349-3C50-473B-B786-31955992AD5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4" name="Host Control  91">
          <a:extLst>
            <a:ext uri="{FF2B5EF4-FFF2-40B4-BE49-F238E27FC236}">
              <a16:creationId xmlns:a16="http://schemas.microsoft.com/office/drawing/2014/main" id="{A7233543-F165-4440-B2C9-4DCD12732D2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5" name="Host Control  92">
          <a:extLst>
            <a:ext uri="{FF2B5EF4-FFF2-40B4-BE49-F238E27FC236}">
              <a16:creationId xmlns:a16="http://schemas.microsoft.com/office/drawing/2014/main" id="{C1FA58CB-ACCE-4401-96D1-A024546AA7A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6" name="Host Control  93">
          <a:extLst>
            <a:ext uri="{FF2B5EF4-FFF2-40B4-BE49-F238E27FC236}">
              <a16:creationId xmlns:a16="http://schemas.microsoft.com/office/drawing/2014/main" id="{74CCC6CA-8639-4A9D-BF9F-31AD5E4B20F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7" name="Host Control  94">
          <a:extLst>
            <a:ext uri="{FF2B5EF4-FFF2-40B4-BE49-F238E27FC236}">
              <a16:creationId xmlns:a16="http://schemas.microsoft.com/office/drawing/2014/main" id="{69EA66E8-6862-4799-9CB7-A61EE464416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8" name="Host Control  98">
          <a:extLst>
            <a:ext uri="{FF2B5EF4-FFF2-40B4-BE49-F238E27FC236}">
              <a16:creationId xmlns:a16="http://schemas.microsoft.com/office/drawing/2014/main" id="{68316651-B84D-409F-8ADA-E6F136E1D6F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9" name="Host Control  99">
          <a:extLst>
            <a:ext uri="{FF2B5EF4-FFF2-40B4-BE49-F238E27FC236}">
              <a16:creationId xmlns:a16="http://schemas.microsoft.com/office/drawing/2014/main" id="{EDF48E8D-835A-4FAF-8EC6-D3E583DD1DF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0" name="Host Control  100">
          <a:extLst>
            <a:ext uri="{FF2B5EF4-FFF2-40B4-BE49-F238E27FC236}">
              <a16:creationId xmlns:a16="http://schemas.microsoft.com/office/drawing/2014/main" id="{739D3A1B-5C7A-48C1-B09C-E2371B02D9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1" name="Host Control  101">
          <a:extLst>
            <a:ext uri="{FF2B5EF4-FFF2-40B4-BE49-F238E27FC236}">
              <a16:creationId xmlns:a16="http://schemas.microsoft.com/office/drawing/2014/main" id="{AA120934-4B33-490F-9D54-5CC254036F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2" name="Host Control  102">
          <a:extLst>
            <a:ext uri="{FF2B5EF4-FFF2-40B4-BE49-F238E27FC236}">
              <a16:creationId xmlns:a16="http://schemas.microsoft.com/office/drawing/2014/main" id="{CEA662EA-C774-4954-B42D-95CCAA4B323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3" name="Host Control  103">
          <a:extLst>
            <a:ext uri="{FF2B5EF4-FFF2-40B4-BE49-F238E27FC236}">
              <a16:creationId xmlns:a16="http://schemas.microsoft.com/office/drawing/2014/main" id="{3897EC3D-AA54-438D-9C1E-0B95BDC0216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4" name="Host Control  104">
          <a:extLst>
            <a:ext uri="{FF2B5EF4-FFF2-40B4-BE49-F238E27FC236}">
              <a16:creationId xmlns:a16="http://schemas.microsoft.com/office/drawing/2014/main" id="{CB3DBF92-E2A9-4158-BB18-0DE2B53005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5" name="Host Control  105">
          <a:extLst>
            <a:ext uri="{FF2B5EF4-FFF2-40B4-BE49-F238E27FC236}">
              <a16:creationId xmlns:a16="http://schemas.microsoft.com/office/drawing/2014/main" id="{EBB76008-7776-42CB-8F09-88F1A2AF16E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6" name="Host Control  106">
          <a:extLst>
            <a:ext uri="{FF2B5EF4-FFF2-40B4-BE49-F238E27FC236}">
              <a16:creationId xmlns:a16="http://schemas.microsoft.com/office/drawing/2014/main" id="{2C9D219C-1E83-40FE-8BEC-E7481EB502C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7" name="Host Control  107">
          <a:extLst>
            <a:ext uri="{FF2B5EF4-FFF2-40B4-BE49-F238E27FC236}">
              <a16:creationId xmlns:a16="http://schemas.microsoft.com/office/drawing/2014/main" id="{3B318CC8-24B0-422E-8B52-6E8271B7EE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8" name="Host Control  108">
          <a:extLst>
            <a:ext uri="{FF2B5EF4-FFF2-40B4-BE49-F238E27FC236}">
              <a16:creationId xmlns:a16="http://schemas.microsoft.com/office/drawing/2014/main" id="{85CF523C-C416-4E93-B9A6-B5614357A25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9" name="Host Control  109">
          <a:extLst>
            <a:ext uri="{FF2B5EF4-FFF2-40B4-BE49-F238E27FC236}">
              <a16:creationId xmlns:a16="http://schemas.microsoft.com/office/drawing/2014/main" id="{AA8E0E54-88CD-4000-B09A-C4E964BBFDD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0" name="Host Control  110">
          <a:extLst>
            <a:ext uri="{FF2B5EF4-FFF2-40B4-BE49-F238E27FC236}">
              <a16:creationId xmlns:a16="http://schemas.microsoft.com/office/drawing/2014/main" id="{2411097E-64CA-4EC8-AB68-92A16AC689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1" name="Host Control  111">
          <a:extLst>
            <a:ext uri="{FF2B5EF4-FFF2-40B4-BE49-F238E27FC236}">
              <a16:creationId xmlns:a16="http://schemas.microsoft.com/office/drawing/2014/main" id="{B7801DBE-CBBD-4A91-81E0-2EADCD2A53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2" name="Host Control  112">
          <a:extLst>
            <a:ext uri="{FF2B5EF4-FFF2-40B4-BE49-F238E27FC236}">
              <a16:creationId xmlns:a16="http://schemas.microsoft.com/office/drawing/2014/main" id="{4470402E-214B-41FA-8E58-1D6848E9A61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3" name="Host Control  113">
          <a:extLst>
            <a:ext uri="{FF2B5EF4-FFF2-40B4-BE49-F238E27FC236}">
              <a16:creationId xmlns:a16="http://schemas.microsoft.com/office/drawing/2014/main" id="{8EEC46AC-4A72-41C8-B9DD-D1136D0D3B3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4" name="Host Control  114">
          <a:extLst>
            <a:ext uri="{FF2B5EF4-FFF2-40B4-BE49-F238E27FC236}">
              <a16:creationId xmlns:a16="http://schemas.microsoft.com/office/drawing/2014/main" id="{CAFC7DDC-898E-49AF-A759-C45CCF752C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5" name="Host Control  115">
          <a:extLst>
            <a:ext uri="{FF2B5EF4-FFF2-40B4-BE49-F238E27FC236}">
              <a16:creationId xmlns:a16="http://schemas.microsoft.com/office/drawing/2014/main" id="{3B0825D8-73B1-4184-93EC-DACA6F6F98B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6" name="Host Control  116">
          <a:extLst>
            <a:ext uri="{FF2B5EF4-FFF2-40B4-BE49-F238E27FC236}">
              <a16:creationId xmlns:a16="http://schemas.microsoft.com/office/drawing/2014/main" id="{22000CD4-13E2-4639-AFD3-C6B365B3F06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7" name="Host Control  117">
          <a:extLst>
            <a:ext uri="{FF2B5EF4-FFF2-40B4-BE49-F238E27FC236}">
              <a16:creationId xmlns:a16="http://schemas.microsoft.com/office/drawing/2014/main" id="{81D8BDAA-3C89-473C-B238-6CC1313C299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8" name="Host Control  118">
          <a:extLst>
            <a:ext uri="{FF2B5EF4-FFF2-40B4-BE49-F238E27FC236}">
              <a16:creationId xmlns:a16="http://schemas.microsoft.com/office/drawing/2014/main" id="{A6EBBEB3-7CE4-4749-A1FC-885E4D8F58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9" name="Host Control  119">
          <a:extLst>
            <a:ext uri="{FF2B5EF4-FFF2-40B4-BE49-F238E27FC236}">
              <a16:creationId xmlns:a16="http://schemas.microsoft.com/office/drawing/2014/main" id="{8B6A8165-F9C0-4257-A389-C6F4AF68ABF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0" name="Host Control  120">
          <a:extLst>
            <a:ext uri="{FF2B5EF4-FFF2-40B4-BE49-F238E27FC236}">
              <a16:creationId xmlns:a16="http://schemas.microsoft.com/office/drawing/2014/main" id="{17B5BFF3-9542-461F-B95C-F0F092FB79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1" name="Host Control  121">
          <a:extLst>
            <a:ext uri="{FF2B5EF4-FFF2-40B4-BE49-F238E27FC236}">
              <a16:creationId xmlns:a16="http://schemas.microsoft.com/office/drawing/2014/main" id="{508C0093-B461-450A-A973-129707B1FD3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2" name="Host Control  122">
          <a:extLst>
            <a:ext uri="{FF2B5EF4-FFF2-40B4-BE49-F238E27FC236}">
              <a16:creationId xmlns:a16="http://schemas.microsoft.com/office/drawing/2014/main" id="{BF766BE3-D2A0-4818-9111-9C061534B3B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3" name="Host Control  123">
          <a:extLst>
            <a:ext uri="{FF2B5EF4-FFF2-40B4-BE49-F238E27FC236}">
              <a16:creationId xmlns:a16="http://schemas.microsoft.com/office/drawing/2014/main" id="{8D8A3701-F8BC-4B55-9AE1-F410B128EB4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4" name="Host Control  124">
          <a:extLst>
            <a:ext uri="{FF2B5EF4-FFF2-40B4-BE49-F238E27FC236}">
              <a16:creationId xmlns:a16="http://schemas.microsoft.com/office/drawing/2014/main" id="{CE5411A0-6CBB-432A-A1D5-81E7604DFBB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5" name="Host Control  125">
          <a:extLst>
            <a:ext uri="{FF2B5EF4-FFF2-40B4-BE49-F238E27FC236}">
              <a16:creationId xmlns:a16="http://schemas.microsoft.com/office/drawing/2014/main" id="{350E1FA9-D044-4DA7-A961-81FC0F9777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6" name="Host Control  126">
          <a:extLst>
            <a:ext uri="{FF2B5EF4-FFF2-40B4-BE49-F238E27FC236}">
              <a16:creationId xmlns:a16="http://schemas.microsoft.com/office/drawing/2014/main" id="{2038155F-7D25-47CD-9F9B-45124543E9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7" name="Host Control  127">
          <a:extLst>
            <a:ext uri="{FF2B5EF4-FFF2-40B4-BE49-F238E27FC236}">
              <a16:creationId xmlns:a16="http://schemas.microsoft.com/office/drawing/2014/main" id="{0A443CCE-50C2-471A-9979-0B675F0110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8" name="Host Control  135">
          <a:extLst>
            <a:ext uri="{FF2B5EF4-FFF2-40B4-BE49-F238E27FC236}">
              <a16:creationId xmlns:a16="http://schemas.microsoft.com/office/drawing/2014/main" id="{103662EB-AA81-4BAD-BAA4-CA3A6C6CFA4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9" name="Host Control  136">
          <a:extLst>
            <a:ext uri="{FF2B5EF4-FFF2-40B4-BE49-F238E27FC236}">
              <a16:creationId xmlns:a16="http://schemas.microsoft.com/office/drawing/2014/main" id="{7D2D5D4F-36BA-459F-A87D-C983EAB6CF3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0" name="Host Control  137">
          <a:extLst>
            <a:ext uri="{FF2B5EF4-FFF2-40B4-BE49-F238E27FC236}">
              <a16:creationId xmlns:a16="http://schemas.microsoft.com/office/drawing/2014/main" id="{0A76FC38-586F-415D-86F5-06C9B69F16A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1" name="Host Control  138">
          <a:extLst>
            <a:ext uri="{FF2B5EF4-FFF2-40B4-BE49-F238E27FC236}">
              <a16:creationId xmlns:a16="http://schemas.microsoft.com/office/drawing/2014/main" id="{0C5BEAFF-90DC-44D2-A3A8-CEC3BDBE8F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2" name="Host Control  139">
          <a:extLst>
            <a:ext uri="{FF2B5EF4-FFF2-40B4-BE49-F238E27FC236}">
              <a16:creationId xmlns:a16="http://schemas.microsoft.com/office/drawing/2014/main" id="{82801E94-AA27-429D-86B1-493A76944B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3" name="Host Control  140">
          <a:extLst>
            <a:ext uri="{FF2B5EF4-FFF2-40B4-BE49-F238E27FC236}">
              <a16:creationId xmlns:a16="http://schemas.microsoft.com/office/drawing/2014/main" id="{43AF3B42-0931-4184-8C88-83A8572509D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4" name="Host Control  141">
          <a:extLst>
            <a:ext uri="{FF2B5EF4-FFF2-40B4-BE49-F238E27FC236}">
              <a16:creationId xmlns:a16="http://schemas.microsoft.com/office/drawing/2014/main" id="{0188928C-F6F4-4E8B-955B-66CF7564F21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5" name="Host Control  142">
          <a:extLst>
            <a:ext uri="{FF2B5EF4-FFF2-40B4-BE49-F238E27FC236}">
              <a16:creationId xmlns:a16="http://schemas.microsoft.com/office/drawing/2014/main" id="{C98CF6BF-2D0E-42A3-B8FD-C6FDDBC70C1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6" name="Host Control  143">
          <a:extLst>
            <a:ext uri="{FF2B5EF4-FFF2-40B4-BE49-F238E27FC236}">
              <a16:creationId xmlns:a16="http://schemas.microsoft.com/office/drawing/2014/main" id="{EFB6B7CA-D8F1-4F28-8A0C-F77684C156C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7" name="Host Control  144">
          <a:extLst>
            <a:ext uri="{FF2B5EF4-FFF2-40B4-BE49-F238E27FC236}">
              <a16:creationId xmlns:a16="http://schemas.microsoft.com/office/drawing/2014/main" id="{4E2725F9-5E5C-49EB-A034-7DCB25B068F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8" name="Host Control  145">
          <a:extLst>
            <a:ext uri="{FF2B5EF4-FFF2-40B4-BE49-F238E27FC236}">
              <a16:creationId xmlns:a16="http://schemas.microsoft.com/office/drawing/2014/main" id="{ED7584DC-206B-479E-B7C1-3A772E31947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9" name="Host Control  146">
          <a:extLst>
            <a:ext uri="{FF2B5EF4-FFF2-40B4-BE49-F238E27FC236}">
              <a16:creationId xmlns:a16="http://schemas.microsoft.com/office/drawing/2014/main" id="{80B301CB-4753-441D-8C13-9E88A2D5A24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0" name="Host Control  147">
          <a:extLst>
            <a:ext uri="{FF2B5EF4-FFF2-40B4-BE49-F238E27FC236}">
              <a16:creationId xmlns:a16="http://schemas.microsoft.com/office/drawing/2014/main" id="{976A7F36-E9A4-48DF-BBE1-374F37B2EF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1" name="Host Control  148">
          <a:extLst>
            <a:ext uri="{FF2B5EF4-FFF2-40B4-BE49-F238E27FC236}">
              <a16:creationId xmlns:a16="http://schemas.microsoft.com/office/drawing/2014/main" id="{4A1AB93B-93AF-4060-8C7F-40924CBF103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2" name="Host Control  149">
          <a:extLst>
            <a:ext uri="{FF2B5EF4-FFF2-40B4-BE49-F238E27FC236}">
              <a16:creationId xmlns:a16="http://schemas.microsoft.com/office/drawing/2014/main" id="{03FB2273-F6CF-4931-A214-D52A3166FA3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3" name="Host Control  150">
          <a:extLst>
            <a:ext uri="{FF2B5EF4-FFF2-40B4-BE49-F238E27FC236}">
              <a16:creationId xmlns:a16="http://schemas.microsoft.com/office/drawing/2014/main" id="{80920440-F168-4F35-AEAA-6BEDEA9CE6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4" name="Host Control  151">
          <a:extLst>
            <a:ext uri="{FF2B5EF4-FFF2-40B4-BE49-F238E27FC236}">
              <a16:creationId xmlns:a16="http://schemas.microsoft.com/office/drawing/2014/main" id="{869310C8-CD97-4479-A078-B5FF8D2E9D1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5" name="Host Control  152">
          <a:extLst>
            <a:ext uri="{FF2B5EF4-FFF2-40B4-BE49-F238E27FC236}">
              <a16:creationId xmlns:a16="http://schemas.microsoft.com/office/drawing/2014/main" id="{9FE430BA-EA02-478C-81A5-F69DA231CD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6" name="Host Control  153">
          <a:extLst>
            <a:ext uri="{FF2B5EF4-FFF2-40B4-BE49-F238E27FC236}">
              <a16:creationId xmlns:a16="http://schemas.microsoft.com/office/drawing/2014/main" id="{4700489C-7EAF-44A3-BD15-A87EFF2581D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7" name="Host Control  154">
          <a:extLst>
            <a:ext uri="{FF2B5EF4-FFF2-40B4-BE49-F238E27FC236}">
              <a16:creationId xmlns:a16="http://schemas.microsoft.com/office/drawing/2014/main" id="{914DBBAC-57E9-46BC-BCD0-0705487817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8" name="Host Control  155">
          <a:extLst>
            <a:ext uri="{FF2B5EF4-FFF2-40B4-BE49-F238E27FC236}">
              <a16:creationId xmlns:a16="http://schemas.microsoft.com/office/drawing/2014/main" id="{C890352E-B777-4DA4-A57F-68799507204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9" name="Host Control  156">
          <a:extLst>
            <a:ext uri="{FF2B5EF4-FFF2-40B4-BE49-F238E27FC236}">
              <a16:creationId xmlns:a16="http://schemas.microsoft.com/office/drawing/2014/main" id="{F4393D70-0768-4A74-8A0F-3C60637CC8C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0" name="Host Control  157">
          <a:extLst>
            <a:ext uri="{FF2B5EF4-FFF2-40B4-BE49-F238E27FC236}">
              <a16:creationId xmlns:a16="http://schemas.microsoft.com/office/drawing/2014/main" id="{30E6D205-DD3A-4E8D-A9D5-122CABABCA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1" name="Host Control  158">
          <a:extLst>
            <a:ext uri="{FF2B5EF4-FFF2-40B4-BE49-F238E27FC236}">
              <a16:creationId xmlns:a16="http://schemas.microsoft.com/office/drawing/2014/main" id="{8909B698-F772-400C-972A-050D53A1BA8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2" name="Host Control  159">
          <a:extLst>
            <a:ext uri="{FF2B5EF4-FFF2-40B4-BE49-F238E27FC236}">
              <a16:creationId xmlns:a16="http://schemas.microsoft.com/office/drawing/2014/main" id="{3DC241F8-8E27-4255-B1F1-D3A5C9279B0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3" name="Host Control  160">
          <a:extLst>
            <a:ext uri="{FF2B5EF4-FFF2-40B4-BE49-F238E27FC236}">
              <a16:creationId xmlns:a16="http://schemas.microsoft.com/office/drawing/2014/main" id="{3FC8DF3C-6E4F-4698-821E-0AB808B9471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4" name="Host Control  161">
          <a:extLst>
            <a:ext uri="{FF2B5EF4-FFF2-40B4-BE49-F238E27FC236}">
              <a16:creationId xmlns:a16="http://schemas.microsoft.com/office/drawing/2014/main" id="{4BC64163-21DB-4394-AC56-83FD727C369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5" name="Host Control  162">
          <a:extLst>
            <a:ext uri="{FF2B5EF4-FFF2-40B4-BE49-F238E27FC236}">
              <a16:creationId xmlns:a16="http://schemas.microsoft.com/office/drawing/2014/main" id="{08B9844D-6A51-4D7A-821E-3FB5CBA99B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6" name="Host Control  163">
          <a:extLst>
            <a:ext uri="{FF2B5EF4-FFF2-40B4-BE49-F238E27FC236}">
              <a16:creationId xmlns:a16="http://schemas.microsoft.com/office/drawing/2014/main" id="{AC5CDDB7-B4C5-4077-9717-C03AA083D35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7" name="Host Control  164">
          <a:extLst>
            <a:ext uri="{FF2B5EF4-FFF2-40B4-BE49-F238E27FC236}">
              <a16:creationId xmlns:a16="http://schemas.microsoft.com/office/drawing/2014/main" id="{EAC4FC9C-F10F-4359-AE93-53C39F6DD50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8" name="Host Control  168">
          <a:extLst>
            <a:ext uri="{FF2B5EF4-FFF2-40B4-BE49-F238E27FC236}">
              <a16:creationId xmlns:a16="http://schemas.microsoft.com/office/drawing/2014/main" id="{F35E5FE8-62BB-4991-BDE5-73907BBC9C0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9" name="Host Control  169">
          <a:extLst>
            <a:ext uri="{FF2B5EF4-FFF2-40B4-BE49-F238E27FC236}">
              <a16:creationId xmlns:a16="http://schemas.microsoft.com/office/drawing/2014/main" id="{E6DC3F55-1CD4-4931-9B30-2A0F0483971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0" name="Host Control  170">
          <a:extLst>
            <a:ext uri="{FF2B5EF4-FFF2-40B4-BE49-F238E27FC236}">
              <a16:creationId xmlns:a16="http://schemas.microsoft.com/office/drawing/2014/main" id="{D6DFC84B-DB80-4BF9-B219-1F40A329A54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1" name="Host Control  171">
          <a:extLst>
            <a:ext uri="{FF2B5EF4-FFF2-40B4-BE49-F238E27FC236}">
              <a16:creationId xmlns:a16="http://schemas.microsoft.com/office/drawing/2014/main" id="{8F022A74-5040-4B95-9D79-8C98FFB2581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2" name="Host Control  172">
          <a:extLst>
            <a:ext uri="{FF2B5EF4-FFF2-40B4-BE49-F238E27FC236}">
              <a16:creationId xmlns:a16="http://schemas.microsoft.com/office/drawing/2014/main" id="{C2035CD6-7E87-476D-875E-6796EA347D2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3" name="Host Control  173">
          <a:extLst>
            <a:ext uri="{FF2B5EF4-FFF2-40B4-BE49-F238E27FC236}">
              <a16:creationId xmlns:a16="http://schemas.microsoft.com/office/drawing/2014/main" id="{BD83262D-303B-42DF-BFAA-1CC6FCAD5D8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4" name="Host Control  174">
          <a:extLst>
            <a:ext uri="{FF2B5EF4-FFF2-40B4-BE49-F238E27FC236}">
              <a16:creationId xmlns:a16="http://schemas.microsoft.com/office/drawing/2014/main" id="{643CA29C-A717-4CD8-950C-3DECBE8D348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5" name="Host Control  175">
          <a:extLst>
            <a:ext uri="{FF2B5EF4-FFF2-40B4-BE49-F238E27FC236}">
              <a16:creationId xmlns:a16="http://schemas.microsoft.com/office/drawing/2014/main" id="{5EDD5E97-B1FE-4695-B84F-7889B26592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6" name="Host Control  176">
          <a:extLst>
            <a:ext uri="{FF2B5EF4-FFF2-40B4-BE49-F238E27FC236}">
              <a16:creationId xmlns:a16="http://schemas.microsoft.com/office/drawing/2014/main" id="{BAC550D7-8974-4C5E-98FF-385806509C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7" name="Host Control  177">
          <a:extLst>
            <a:ext uri="{FF2B5EF4-FFF2-40B4-BE49-F238E27FC236}">
              <a16:creationId xmlns:a16="http://schemas.microsoft.com/office/drawing/2014/main" id="{F5985F24-AF07-4505-927E-80B4691BF5C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8" name="Host Control  178">
          <a:extLst>
            <a:ext uri="{FF2B5EF4-FFF2-40B4-BE49-F238E27FC236}">
              <a16:creationId xmlns:a16="http://schemas.microsoft.com/office/drawing/2014/main" id="{C87E26B2-673C-437C-8A24-F3808D96F50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9" name="Host Control  179">
          <a:extLst>
            <a:ext uri="{FF2B5EF4-FFF2-40B4-BE49-F238E27FC236}">
              <a16:creationId xmlns:a16="http://schemas.microsoft.com/office/drawing/2014/main" id="{56F33944-0D46-434E-A33B-53F9CC09DDB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0" name="Host Control  180">
          <a:extLst>
            <a:ext uri="{FF2B5EF4-FFF2-40B4-BE49-F238E27FC236}">
              <a16:creationId xmlns:a16="http://schemas.microsoft.com/office/drawing/2014/main" id="{4E6CC8AD-DC15-40B3-AD9E-1E68ED606EC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1" name="Host Control  181">
          <a:extLst>
            <a:ext uri="{FF2B5EF4-FFF2-40B4-BE49-F238E27FC236}">
              <a16:creationId xmlns:a16="http://schemas.microsoft.com/office/drawing/2014/main" id="{7F05D899-01AA-418F-AEA7-CC59F862783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2" name="Host Control  182">
          <a:extLst>
            <a:ext uri="{FF2B5EF4-FFF2-40B4-BE49-F238E27FC236}">
              <a16:creationId xmlns:a16="http://schemas.microsoft.com/office/drawing/2014/main" id="{C208A38F-B432-46D1-B19F-3B464DC5D2C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3" name="Host Control  183">
          <a:extLst>
            <a:ext uri="{FF2B5EF4-FFF2-40B4-BE49-F238E27FC236}">
              <a16:creationId xmlns:a16="http://schemas.microsoft.com/office/drawing/2014/main" id="{71451D9F-4419-415B-9F3A-4672CF3B29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4" name="Host Control  184">
          <a:extLst>
            <a:ext uri="{FF2B5EF4-FFF2-40B4-BE49-F238E27FC236}">
              <a16:creationId xmlns:a16="http://schemas.microsoft.com/office/drawing/2014/main" id="{BAE3A8DA-5560-4ED5-9275-9D417D6099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5" name="Host Control  185">
          <a:extLst>
            <a:ext uri="{FF2B5EF4-FFF2-40B4-BE49-F238E27FC236}">
              <a16:creationId xmlns:a16="http://schemas.microsoft.com/office/drawing/2014/main" id="{5BDB2F50-CB3B-4549-81E4-2B7A476BF44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6" name="Host Control  186">
          <a:extLst>
            <a:ext uri="{FF2B5EF4-FFF2-40B4-BE49-F238E27FC236}">
              <a16:creationId xmlns:a16="http://schemas.microsoft.com/office/drawing/2014/main" id="{CAA7E1C7-B314-4BAA-958E-8531AF76C38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7" name="Host Control  187">
          <a:extLst>
            <a:ext uri="{FF2B5EF4-FFF2-40B4-BE49-F238E27FC236}">
              <a16:creationId xmlns:a16="http://schemas.microsoft.com/office/drawing/2014/main" id="{6D6640F9-5FF5-4262-BF7C-AC9B9F5BCD9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8" name="Host Control  188">
          <a:extLst>
            <a:ext uri="{FF2B5EF4-FFF2-40B4-BE49-F238E27FC236}">
              <a16:creationId xmlns:a16="http://schemas.microsoft.com/office/drawing/2014/main" id="{51320A52-6B27-460B-BF29-4ABF86BD172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9" name="Host Control  189">
          <a:extLst>
            <a:ext uri="{FF2B5EF4-FFF2-40B4-BE49-F238E27FC236}">
              <a16:creationId xmlns:a16="http://schemas.microsoft.com/office/drawing/2014/main" id="{48887389-D6C6-4A54-8D65-0A81A820C6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0" name="Host Control  190">
          <a:extLst>
            <a:ext uri="{FF2B5EF4-FFF2-40B4-BE49-F238E27FC236}">
              <a16:creationId xmlns:a16="http://schemas.microsoft.com/office/drawing/2014/main" id="{AD4005C0-BF45-4A92-BB64-56A3FCB74A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1" name="Host Control  191">
          <a:extLst>
            <a:ext uri="{FF2B5EF4-FFF2-40B4-BE49-F238E27FC236}">
              <a16:creationId xmlns:a16="http://schemas.microsoft.com/office/drawing/2014/main" id="{66566DB1-223A-4D8F-9945-083D3200292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2" name="Host Control  192">
          <a:extLst>
            <a:ext uri="{FF2B5EF4-FFF2-40B4-BE49-F238E27FC236}">
              <a16:creationId xmlns:a16="http://schemas.microsoft.com/office/drawing/2014/main" id="{0967DECA-0826-46A0-A966-D8BE7683A0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3" name="Host Control  193">
          <a:extLst>
            <a:ext uri="{FF2B5EF4-FFF2-40B4-BE49-F238E27FC236}">
              <a16:creationId xmlns:a16="http://schemas.microsoft.com/office/drawing/2014/main" id="{2564D557-A9CE-4BEB-A737-E66EFDCA38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4" name="Host Control  194">
          <a:extLst>
            <a:ext uri="{FF2B5EF4-FFF2-40B4-BE49-F238E27FC236}">
              <a16:creationId xmlns:a16="http://schemas.microsoft.com/office/drawing/2014/main" id="{1AC14DC3-28FF-4057-805B-21D4C90AFE8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5" name="Host Control  195">
          <a:extLst>
            <a:ext uri="{FF2B5EF4-FFF2-40B4-BE49-F238E27FC236}">
              <a16:creationId xmlns:a16="http://schemas.microsoft.com/office/drawing/2014/main" id="{8E4E0148-231B-4339-97B6-21CB16C0C9D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6" name="Host Control  196">
          <a:extLst>
            <a:ext uri="{FF2B5EF4-FFF2-40B4-BE49-F238E27FC236}">
              <a16:creationId xmlns:a16="http://schemas.microsoft.com/office/drawing/2014/main" id="{A9B10DBA-3225-4511-BFCC-5B7AE33D6AE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7" name="Host Control  197">
          <a:extLst>
            <a:ext uri="{FF2B5EF4-FFF2-40B4-BE49-F238E27FC236}">
              <a16:creationId xmlns:a16="http://schemas.microsoft.com/office/drawing/2014/main" id="{BA715DEE-BA51-4D44-8EC2-6449C5D30FF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8" name="Host Control  201" hidden="1">
          <a:extLst>
            <a:ext uri="{FF2B5EF4-FFF2-40B4-BE49-F238E27FC236}">
              <a16:creationId xmlns:a16="http://schemas.microsoft.com/office/drawing/2014/main" id="{6E28422C-AAE5-4D67-B3D1-FF6D6EF214B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9" name="Host Control  202" hidden="1">
          <a:extLst>
            <a:ext uri="{FF2B5EF4-FFF2-40B4-BE49-F238E27FC236}">
              <a16:creationId xmlns:a16="http://schemas.microsoft.com/office/drawing/2014/main" id="{E16C0AFD-9C52-4307-9918-A9A10C2E8A1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0" name="Host Control  203" hidden="1">
          <a:extLst>
            <a:ext uri="{FF2B5EF4-FFF2-40B4-BE49-F238E27FC236}">
              <a16:creationId xmlns:a16="http://schemas.microsoft.com/office/drawing/2014/main" id="{653630C7-35A6-4BBE-B7FB-1A057820792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1" name="Host Control  204" hidden="1">
          <a:extLst>
            <a:ext uri="{FF2B5EF4-FFF2-40B4-BE49-F238E27FC236}">
              <a16:creationId xmlns:a16="http://schemas.microsoft.com/office/drawing/2014/main" id="{3A2DC5F4-FC42-4BF3-94A1-576399775F5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2" name="Host Control  205" hidden="1">
          <a:extLst>
            <a:ext uri="{FF2B5EF4-FFF2-40B4-BE49-F238E27FC236}">
              <a16:creationId xmlns:a16="http://schemas.microsoft.com/office/drawing/2014/main" id="{0CA7EA4C-F995-4C0B-83B4-14BAA427F3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3" name="Host Control  206" hidden="1">
          <a:extLst>
            <a:ext uri="{FF2B5EF4-FFF2-40B4-BE49-F238E27FC236}">
              <a16:creationId xmlns:a16="http://schemas.microsoft.com/office/drawing/2014/main" id="{BEAE6CC3-242C-422C-B113-839D38CB220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4" name="Host Control  207" hidden="1">
          <a:extLst>
            <a:ext uri="{FF2B5EF4-FFF2-40B4-BE49-F238E27FC236}">
              <a16:creationId xmlns:a16="http://schemas.microsoft.com/office/drawing/2014/main" id="{43B29534-C7D4-404B-B8EF-80F7690A31A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5" name="Host Control  208" hidden="1">
          <a:extLst>
            <a:ext uri="{FF2B5EF4-FFF2-40B4-BE49-F238E27FC236}">
              <a16:creationId xmlns:a16="http://schemas.microsoft.com/office/drawing/2014/main" id="{6051DDCE-AC76-4D3A-A871-1A45ED9C65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6" name="Host Control  209" hidden="1">
          <a:extLst>
            <a:ext uri="{FF2B5EF4-FFF2-40B4-BE49-F238E27FC236}">
              <a16:creationId xmlns:a16="http://schemas.microsoft.com/office/drawing/2014/main" id="{D004790A-3622-48CF-8AE9-736AA6F2529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7" name="Host Control  210" hidden="1">
          <a:extLst>
            <a:ext uri="{FF2B5EF4-FFF2-40B4-BE49-F238E27FC236}">
              <a16:creationId xmlns:a16="http://schemas.microsoft.com/office/drawing/2014/main" id="{E47F91D5-23F9-4592-9DFC-C9294A68A8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8" name="Host Control  211" hidden="1">
          <a:extLst>
            <a:ext uri="{FF2B5EF4-FFF2-40B4-BE49-F238E27FC236}">
              <a16:creationId xmlns:a16="http://schemas.microsoft.com/office/drawing/2014/main" id="{6257C879-300B-4E72-A8E8-021A49F444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9" name="Host Control  212" hidden="1">
          <a:extLst>
            <a:ext uri="{FF2B5EF4-FFF2-40B4-BE49-F238E27FC236}">
              <a16:creationId xmlns:a16="http://schemas.microsoft.com/office/drawing/2014/main" id="{9595E517-A256-4B81-A71B-D3CAC75B505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0" name="Host Control  213" hidden="1">
          <a:extLst>
            <a:ext uri="{FF2B5EF4-FFF2-40B4-BE49-F238E27FC236}">
              <a16:creationId xmlns:a16="http://schemas.microsoft.com/office/drawing/2014/main" id="{976310A3-1AAB-47B3-95C0-6DB22FB69D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1" name="Host Control  214" hidden="1">
          <a:extLst>
            <a:ext uri="{FF2B5EF4-FFF2-40B4-BE49-F238E27FC236}">
              <a16:creationId xmlns:a16="http://schemas.microsoft.com/office/drawing/2014/main" id="{39ACC0D7-E6C8-4115-9C9E-CE4F48C413F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2" name="Host Control  215" hidden="1">
          <a:extLst>
            <a:ext uri="{FF2B5EF4-FFF2-40B4-BE49-F238E27FC236}">
              <a16:creationId xmlns:a16="http://schemas.microsoft.com/office/drawing/2014/main" id="{3342107F-F546-4BB6-978C-078388F757A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3" name="Host Control  216" hidden="1">
          <a:extLst>
            <a:ext uri="{FF2B5EF4-FFF2-40B4-BE49-F238E27FC236}">
              <a16:creationId xmlns:a16="http://schemas.microsoft.com/office/drawing/2014/main" id="{26CB7FFD-E77E-495C-8C45-8882965EFE7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4" name="Host Control  217" hidden="1">
          <a:extLst>
            <a:ext uri="{FF2B5EF4-FFF2-40B4-BE49-F238E27FC236}">
              <a16:creationId xmlns:a16="http://schemas.microsoft.com/office/drawing/2014/main" id="{CA128FF8-28E6-49DB-BC27-021631A6BD1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5" name="Host Control  218" hidden="1">
          <a:extLst>
            <a:ext uri="{FF2B5EF4-FFF2-40B4-BE49-F238E27FC236}">
              <a16:creationId xmlns:a16="http://schemas.microsoft.com/office/drawing/2014/main" id="{EB9A916E-A405-48B9-A498-FCC72A977DD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6" name="Host Control  219" hidden="1">
          <a:extLst>
            <a:ext uri="{FF2B5EF4-FFF2-40B4-BE49-F238E27FC236}">
              <a16:creationId xmlns:a16="http://schemas.microsoft.com/office/drawing/2014/main" id="{B260FF19-2777-4E6D-B46A-F9041C6D024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7" name="Host Control  220" hidden="1">
          <a:extLst>
            <a:ext uri="{FF2B5EF4-FFF2-40B4-BE49-F238E27FC236}">
              <a16:creationId xmlns:a16="http://schemas.microsoft.com/office/drawing/2014/main" id="{0783AE6F-7CA5-4525-97EF-F14F597AEE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8" name="Host Control  221" hidden="1">
          <a:extLst>
            <a:ext uri="{FF2B5EF4-FFF2-40B4-BE49-F238E27FC236}">
              <a16:creationId xmlns:a16="http://schemas.microsoft.com/office/drawing/2014/main" id="{560A045F-F889-405F-A389-FB20B45D4F4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9" name="Host Control  222" hidden="1">
          <a:extLst>
            <a:ext uri="{FF2B5EF4-FFF2-40B4-BE49-F238E27FC236}">
              <a16:creationId xmlns:a16="http://schemas.microsoft.com/office/drawing/2014/main" id="{05410DB7-0091-4FDC-8234-9BAB40049DB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0" name="Host Control  223" hidden="1">
          <a:extLst>
            <a:ext uri="{FF2B5EF4-FFF2-40B4-BE49-F238E27FC236}">
              <a16:creationId xmlns:a16="http://schemas.microsoft.com/office/drawing/2014/main" id="{32E73554-5578-4A59-A805-8E8D635456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1" name="Host Control  224" hidden="1">
          <a:extLst>
            <a:ext uri="{FF2B5EF4-FFF2-40B4-BE49-F238E27FC236}">
              <a16:creationId xmlns:a16="http://schemas.microsoft.com/office/drawing/2014/main" id="{A4445130-6F78-4235-B541-CAEDE4875E0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2" name="Host Control  225" hidden="1">
          <a:extLst>
            <a:ext uri="{FF2B5EF4-FFF2-40B4-BE49-F238E27FC236}">
              <a16:creationId xmlns:a16="http://schemas.microsoft.com/office/drawing/2014/main" id="{83800501-086A-4893-B53B-9732B0509AB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3" name="Host Control  226" hidden="1">
          <a:extLst>
            <a:ext uri="{FF2B5EF4-FFF2-40B4-BE49-F238E27FC236}">
              <a16:creationId xmlns:a16="http://schemas.microsoft.com/office/drawing/2014/main" id="{EB519525-1A35-4CCC-9BC8-E08ED99F5A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4" name="Host Control  227" hidden="1">
          <a:extLst>
            <a:ext uri="{FF2B5EF4-FFF2-40B4-BE49-F238E27FC236}">
              <a16:creationId xmlns:a16="http://schemas.microsoft.com/office/drawing/2014/main" id="{CFA36B18-E4E3-43C3-ABF4-ADB2EBCF05F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5" name="Host Control  228" hidden="1">
          <a:extLst>
            <a:ext uri="{FF2B5EF4-FFF2-40B4-BE49-F238E27FC236}">
              <a16:creationId xmlns:a16="http://schemas.microsoft.com/office/drawing/2014/main" id="{806DCD57-5935-4233-AE4B-239483F4F1C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6" name="Host Control  229" hidden="1">
          <a:extLst>
            <a:ext uri="{FF2B5EF4-FFF2-40B4-BE49-F238E27FC236}">
              <a16:creationId xmlns:a16="http://schemas.microsoft.com/office/drawing/2014/main" id="{B4247994-2E0A-47A0-B078-79AA134FFE4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7" name="Host Control  230" hidden="1">
          <a:extLst>
            <a:ext uri="{FF2B5EF4-FFF2-40B4-BE49-F238E27FC236}">
              <a16:creationId xmlns:a16="http://schemas.microsoft.com/office/drawing/2014/main" id="{FA2D5C01-12AF-4719-A174-EB61855DB32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8" name="Host Control  234" hidden="1">
          <a:extLst>
            <a:ext uri="{FF2B5EF4-FFF2-40B4-BE49-F238E27FC236}">
              <a16:creationId xmlns:a16="http://schemas.microsoft.com/office/drawing/2014/main" id="{68BD37F3-9D83-41E1-8496-948C63C8CC7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9" name="Host Control  235" hidden="1">
          <a:extLst>
            <a:ext uri="{FF2B5EF4-FFF2-40B4-BE49-F238E27FC236}">
              <a16:creationId xmlns:a16="http://schemas.microsoft.com/office/drawing/2014/main" id="{96BC0EFC-5BE5-4AEB-8668-D79AFD0CD55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0" name="Host Control  236" hidden="1">
          <a:extLst>
            <a:ext uri="{FF2B5EF4-FFF2-40B4-BE49-F238E27FC236}">
              <a16:creationId xmlns:a16="http://schemas.microsoft.com/office/drawing/2014/main" id="{D9CE59B9-66DC-4414-BAF9-F755BD39730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1" name="Host Control  237" hidden="1">
          <a:extLst>
            <a:ext uri="{FF2B5EF4-FFF2-40B4-BE49-F238E27FC236}">
              <a16:creationId xmlns:a16="http://schemas.microsoft.com/office/drawing/2014/main" id="{26341EB3-931A-4959-B864-84987695717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2" name="Host Control  238" hidden="1">
          <a:extLst>
            <a:ext uri="{FF2B5EF4-FFF2-40B4-BE49-F238E27FC236}">
              <a16:creationId xmlns:a16="http://schemas.microsoft.com/office/drawing/2014/main" id="{27AC53B5-D4FD-4590-97A6-BB3D4E9A75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3" name="Host Control  239" hidden="1">
          <a:extLst>
            <a:ext uri="{FF2B5EF4-FFF2-40B4-BE49-F238E27FC236}">
              <a16:creationId xmlns:a16="http://schemas.microsoft.com/office/drawing/2014/main" id="{58D0A0B0-DE65-42F8-B64E-F6F7A12A9A5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4" name="Host Control  240" hidden="1">
          <a:extLst>
            <a:ext uri="{FF2B5EF4-FFF2-40B4-BE49-F238E27FC236}">
              <a16:creationId xmlns:a16="http://schemas.microsoft.com/office/drawing/2014/main" id="{813D8DB0-448B-4FB3-9969-0F60B0A238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5" name="Host Control  241" hidden="1">
          <a:extLst>
            <a:ext uri="{FF2B5EF4-FFF2-40B4-BE49-F238E27FC236}">
              <a16:creationId xmlns:a16="http://schemas.microsoft.com/office/drawing/2014/main" id="{D2318DD8-DD35-423D-A112-0FF1DF417A0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6" name="Host Control  242" hidden="1">
          <a:extLst>
            <a:ext uri="{FF2B5EF4-FFF2-40B4-BE49-F238E27FC236}">
              <a16:creationId xmlns:a16="http://schemas.microsoft.com/office/drawing/2014/main" id="{3686E132-F3AD-49B5-BD34-A2FE971DBB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7" name="Host Control  243" hidden="1">
          <a:extLst>
            <a:ext uri="{FF2B5EF4-FFF2-40B4-BE49-F238E27FC236}">
              <a16:creationId xmlns:a16="http://schemas.microsoft.com/office/drawing/2014/main" id="{F46C9626-0E89-40DC-B2E9-71849E670EF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8" name="Host Control  244" hidden="1">
          <a:extLst>
            <a:ext uri="{FF2B5EF4-FFF2-40B4-BE49-F238E27FC236}">
              <a16:creationId xmlns:a16="http://schemas.microsoft.com/office/drawing/2014/main" id="{3D8DF9E1-40BC-44D9-90C1-EF13648EB79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9" name="Host Control  245" hidden="1">
          <a:extLst>
            <a:ext uri="{FF2B5EF4-FFF2-40B4-BE49-F238E27FC236}">
              <a16:creationId xmlns:a16="http://schemas.microsoft.com/office/drawing/2014/main" id="{AE020B56-3CC0-48F0-A7ED-2F45EFEF4C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0" name="Host Control  246" hidden="1">
          <a:extLst>
            <a:ext uri="{FF2B5EF4-FFF2-40B4-BE49-F238E27FC236}">
              <a16:creationId xmlns:a16="http://schemas.microsoft.com/office/drawing/2014/main" id="{F56A7488-A6D3-4AED-B172-936317DDA2A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1" name="Host Control  247" hidden="1">
          <a:extLst>
            <a:ext uri="{FF2B5EF4-FFF2-40B4-BE49-F238E27FC236}">
              <a16:creationId xmlns:a16="http://schemas.microsoft.com/office/drawing/2014/main" id="{4551FFF0-507E-4668-B5AC-75DBCA2F7D4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2" name="Host Control  248" hidden="1">
          <a:extLst>
            <a:ext uri="{FF2B5EF4-FFF2-40B4-BE49-F238E27FC236}">
              <a16:creationId xmlns:a16="http://schemas.microsoft.com/office/drawing/2014/main" id="{4EF1DD82-CE7B-44D3-8DA6-62BDDA7DFA3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3" name="Host Control  249" hidden="1">
          <a:extLst>
            <a:ext uri="{FF2B5EF4-FFF2-40B4-BE49-F238E27FC236}">
              <a16:creationId xmlns:a16="http://schemas.microsoft.com/office/drawing/2014/main" id="{B6B6BD82-F3BB-4DC8-BAD1-3A64436D786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4" name="Host Control  250" hidden="1">
          <a:extLst>
            <a:ext uri="{FF2B5EF4-FFF2-40B4-BE49-F238E27FC236}">
              <a16:creationId xmlns:a16="http://schemas.microsoft.com/office/drawing/2014/main" id="{F94B7939-98AF-4120-8E47-3E18AB176C4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5" name="Host Control  251" hidden="1">
          <a:extLst>
            <a:ext uri="{FF2B5EF4-FFF2-40B4-BE49-F238E27FC236}">
              <a16:creationId xmlns:a16="http://schemas.microsoft.com/office/drawing/2014/main" id="{18F78C48-2032-486B-B260-CEB7B29EC0A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6" name="Host Control  252" hidden="1">
          <a:extLst>
            <a:ext uri="{FF2B5EF4-FFF2-40B4-BE49-F238E27FC236}">
              <a16:creationId xmlns:a16="http://schemas.microsoft.com/office/drawing/2014/main" id="{679842D1-BDC1-40DF-BD0A-CD8273A4124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7" name="Host Control  253" hidden="1">
          <a:extLst>
            <a:ext uri="{FF2B5EF4-FFF2-40B4-BE49-F238E27FC236}">
              <a16:creationId xmlns:a16="http://schemas.microsoft.com/office/drawing/2014/main" id="{F2C97E4B-095F-48A8-B23B-D527382CC6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8" name="Host Control  254" hidden="1">
          <a:extLst>
            <a:ext uri="{FF2B5EF4-FFF2-40B4-BE49-F238E27FC236}">
              <a16:creationId xmlns:a16="http://schemas.microsoft.com/office/drawing/2014/main" id="{14198DAD-7D17-4CAE-961B-62703269C42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9" name="Host Control  255" hidden="1">
          <a:extLst>
            <a:ext uri="{FF2B5EF4-FFF2-40B4-BE49-F238E27FC236}">
              <a16:creationId xmlns:a16="http://schemas.microsoft.com/office/drawing/2014/main" id="{F78C8EF9-B936-46FC-A365-4E8E71B81F1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0" name="Host Control  256" hidden="1">
          <a:extLst>
            <a:ext uri="{FF2B5EF4-FFF2-40B4-BE49-F238E27FC236}">
              <a16:creationId xmlns:a16="http://schemas.microsoft.com/office/drawing/2014/main" id="{555936E5-2D5F-4DF6-9A91-B45E206CEF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1" name="Host Control  257" hidden="1">
          <a:extLst>
            <a:ext uri="{FF2B5EF4-FFF2-40B4-BE49-F238E27FC236}">
              <a16:creationId xmlns:a16="http://schemas.microsoft.com/office/drawing/2014/main" id="{FC6521D2-0D37-459E-B71F-4EB50EECC9E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2" name="Host Control  258" hidden="1">
          <a:extLst>
            <a:ext uri="{FF2B5EF4-FFF2-40B4-BE49-F238E27FC236}">
              <a16:creationId xmlns:a16="http://schemas.microsoft.com/office/drawing/2014/main" id="{8AB0613E-B7DF-4DD6-891A-827C2356A6A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3" name="Host Control  259" hidden="1">
          <a:extLst>
            <a:ext uri="{FF2B5EF4-FFF2-40B4-BE49-F238E27FC236}">
              <a16:creationId xmlns:a16="http://schemas.microsoft.com/office/drawing/2014/main" id="{14AF635C-ADD7-4AFB-B796-8B410A5A2A1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4" name="Host Control  260" hidden="1">
          <a:extLst>
            <a:ext uri="{FF2B5EF4-FFF2-40B4-BE49-F238E27FC236}">
              <a16:creationId xmlns:a16="http://schemas.microsoft.com/office/drawing/2014/main" id="{2A083643-B0A3-40BD-AA0E-EBF5F61BA9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5" name="Host Control  261" hidden="1">
          <a:extLst>
            <a:ext uri="{FF2B5EF4-FFF2-40B4-BE49-F238E27FC236}">
              <a16:creationId xmlns:a16="http://schemas.microsoft.com/office/drawing/2014/main" id="{89E87A95-4C4A-46C8-9A84-CCA8364342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6" name="Host Control  262" hidden="1">
          <a:extLst>
            <a:ext uri="{FF2B5EF4-FFF2-40B4-BE49-F238E27FC236}">
              <a16:creationId xmlns:a16="http://schemas.microsoft.com/office/drawing/2014/main" id="{0270FA47-ECEB-4B29-958F-24F9BCBC32D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7" name="Host Control  263" hidden="1">
          <a:extLst>
            <a:ext uri="{FF2B5EF4-FFF2-40B4-BE49-F238E27FC236}">
              <a16:creationId xmlns:a16="http://schemas.microsoft.com/office/drawing/2014/main" id="{5F4859BC-5301-4169-8908-191E074C7B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8" name="Host Control  267" hidden="1">
          <a:extLst>
            <a:ext uri="{FF2B5EF4-FFF2-40B4-BE49-F238E27FC236}">
              <a16:creationId xmlns:a16="http://schemas.microsoft.com/office/drawing/2014/main" id="{64C2D13D-879A-4DEF-8DC7-99CA253B2D3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9" name="Host Control  268" hidden="1">
          <a:extLst>
            <a:ext uri="{FF2B5EF4-FFF2-40B4-BE49-F238E27FC236}">
              <a16:creationId xmlns:a16="http://schemas.microsoft.com/office/drawing/2014/main" id="{85558A11-403C-4B91-B0D3-9C35D503D6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0" name="Host Control  269" hidden="1">
          <a:extLst>
            <a:ext uri="{FF2B5EF4-FFF2-40B4-BE49-F238E27FC236}">
              <a16:creationId xmlns:a16="http://schemas.microsoft.com/office/drawing/2014/main" id="{9D1149EA-EC9F-457B-82FB-83936D90C69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1" name="Host Control  270" hidden="1">
          <a:extLst>
            <a:ext uri="{FF2B5EF4-FFF2-40B4-BE49-F238E27FC236}">
              <a16:creationId xmlns:a16="http://schemas.microsoft.com/office/drawing/2014/main" id="{46A0382C-2B0B-4F94-905B-2D0E82B8EC0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2" name="Host Control  271" hidden="1">
          <a:extLst>
            <a:ext uri="{FF2B5EF4-FFF2-40B4-BE49-F238E27FC236}">
              <a16:creationId xmlns:a16="http://schemas.microsoft.com/office/drawing/2014/main" id="{E9908819-E18C-46C6-BFAD-0075722AEFC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3" name="Host Control  272" hidden="1">
          <a:extLst>
            <a:ext uri="{FF2B5EF4-FFF2-40B4-BE49-F238E27FC236}">
              <a16:creationId xmlns:a16="http://schemas.microsoft.com/office/drawing/2014/main" id="{578F99A9-6C70-43AC-B43B-BDEBC724758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4" name="Host Control  273" hidden="1">
          <a:extLst>
            <a:ext uri="{FF2B5EF4-FFF2-40B4-BE49-F238E27FC236}">
              <a16:creationId xmlns:a16="http://schemas.microsoft.com/office/drawing/2014/main" id="{ABBAF5BE-2090-4EF8-9F6D-B87257620D8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5" name="Host Control  274" hidden="1">
          <a:extLst>
            <a:ext uri="{FF2B5EF4-FFF2-40B4-BE49-F238E27FC236}">
              <a16:creationId xmlns:a16="http://schemas.microsoft.com/office/drawing/2014/main" id="{C81CF5A4-C6CF-4D01-B474-35CE3870676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6" name="Host Control  275" hidden="1">
          <a:extLst>
            <a:ext uri="{FF2B5EF4-FFF2-40B4-BE49-F238E27FC236}">
              <a16:creationId xmlns:a16="http://schemas.microsoft.com/office/drawing/2014/main" id="{06890ED0-BF59-44F5-8D7A-DD3E70B67DD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7" name="Host Control  276" hidden="1">
          <a:extLst>
            <a:ext uri="{FF2B5EF4-FFF2-40B4-BE49-F238E27FC236}">
              <a16:creationId xmlns:a16="http://schemas.microsoft.com/office/drawing/2014/main" id="{3A0FD6C9-A0DE-441C-8D01-443907CC414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8" name="Host Control  277" hidden="1">
          <a:extLst>
            <a:ext uri="{FF2B5EF4-FFF2-40B4-BE49-F238E27FC236}">
              <a16:creationId xmlns:a16="http://schemas.microsoft.com/office/drawing/2014/main" id="{3EF3E05B-1C72-4FD1-99C1-97AE732557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9" name="Host Control  278" hidden="1">
          <a:extLst>
            <a:ext uri="{FF2B5EF4-FFF2-40B4-BE49-F238E27FC236}">
              <a16:creationId xmlns:a16="http://schemas.microsoft.com/office/drawing/2014/main" id="{08BAB8FC-51A8-4C3A-AF73-AF652D09EF2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0" name="Host Control  279" hidden="1">
          <a:extLst>
            <a:ext uri="{FF2B5EF4-FFF2-40B4-BE49-F238E27FC236}">
              <a16:creationId xmlns:a16="http://schemas.microsoft.com/office/drawing/2014/main" id="{2C1C64FC-A63C-4536-BF46-63F4010233C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1" name="Host Control  280" hidden="1">
          <a:extLst>
            <a:ext uri="{FF2B5EF4-FFF2-40B4-BE49-F238E27FC236}">
              <a16:creationId xmlns:a16="http://schemas.microsoft.com/office/drawing/2014/main" id="{BBA8D9F3-95B0-4376-894E-AC81808C7C4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2" name="Host Control  281" hidden="1">
          <a:extLst>
            <a:ext uri="{FF2B5EF4-FFF2-40B4-BE49-F238E27FC236}">
              <a16:creationId xmlns:a16="http://schemas.microsoft.com/office/drawing/2014/main" id="{A815EC7F-E81B-4524-83AC-FF23467DDD3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3" name="Host Control  282" hidden="1">
          <a:extLst>
            <a:ext uri="{FF2B5EF4-FFF2-40B4-BE49-F238E27FC236}">
              <a16:creationId xmlns:a16="http://schemas.microsoft.com/office/drawing/2014/main" id="{359A5515-CABE-416D-8AED-D63579C718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4" name="Host Control  283" hidden="1">
          <a:extLst>
            <a:ext uri="{FF2B5EF4-FFF2-40B4-BE49-F238E27FC236}">
              <a16:creationId xmlns:a16="http://schemas.microsoft.com/office/drawing/2014/main" id="{04DA4C00-9144-4325-9A84-2FAC9BC13F6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5" name="Host Control  284" hidden="1">
          <a:extLst>
            <a:ext uri="{FF2B5EF4-FFF2-40B4-BE49-F238E27FC236}">
              <a16:creationId xmlns:a16="http://schemas.microsoft.com/office/drawing/2014/main" id="{148B6835-5744-4091-90C2-56523658A7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6" name="Host Control  285" hidden="1">
          <a:extLst>
            <a:ext uri="{FF2B5EF4-FFF2-40B4-BE49-F238E27FC236}">
              <a16:creationId xmlns:a16="http://schemas.microsoft.com/office/drawing/2014/main" id="{65C83DFC-F65C-400E-8CC4-295E9AEBE9C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7" name="Host Control  286" hidden="1">
          <a:extLst>
            <a:ext uri="{FF2B5EF4-FFF2-40B4-BE49-F238E27FC236}">
              <a16:creationId xmlns:a16="http://schemas.microsoft.com/office/drawing/2014/main" id="{283969A8-43E1-4C9F-8B8F-31AFF20699A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8" name="Host Control  287" hidden="1">
          <a:extLst>
            <a:ext uri="{FF2B5EF4-FFF2-40B4-BE49-F238E27FC236}">
              <a16:creationId xmlns:a16="http://schemas.microsoft.com/office/drawing/2014/main" id="{03FDE4A5-E51F-48D9-B670-9EDA1DC55A4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9" name="Host Control  288" hidden="1">
          <a:extLst>
            <a:ext uri="{FF2B5EF4-FFF2-40B4-BE49-F238E27FC236}">
              <a16:creationId xmlns:a16="http://schemas.microsoft.com/office/drawing/2014/main" id="{FA24B4BB-F455-4EFE-88B0-FE65E661D6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0" name="Host Control  289" hidden="1">
          <a:extLst>
            <a:ext uri="{FF2B5EF4-FFF2-40B4-BE49-F238E27FC236}">
              <a16:creationId xmlns:a16="http://schemas.microsoft.com/office/drawing/2014/main" id="{C979493D-1190-4B27-B667-6232E5C021A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1" name="Host Control  290" hidden="1">
          <a:extLst>
            <a:ext uri="{FF2B5EF4-FFF2-40B4-BE49-F238E27FC236}">
              <a16:creationId xmlns:a16="http://schemas.microsoft.com/office/drawing/2014/main" id="{ABB2FFF3-6127-4FF4-8ADA-34B7648C5D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2" name="Host Control  291" hidden="1">
          <a:extLst>
            <a:ext uri="{FF2B5EF4-FFF2-40B4-BE49-F238E27FC236}">
              <a16:creationId xmlns:a16="http://schemas.microsoft.com/office/drawing/2014/main" id="{B6AA2779-B9BA-4C34-8268-36A6C5BDC62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3" name="Host Control  292" hidden="1">
          <a:extLst>
            <a:ext uri="{FF2B5EF4-FFF2-40B4-BE49-F238E27FC236}">
              <a16:creationId xmlns:a16="http://schemas.microsoft.com/office/drawing/2014/main" id="{8696487D-2FDD-48A1-AD29-CA4ACD23251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4" name="Host Control  293" hidden="1">
          <a:extLst>
            <a:ext uri="{FF2B5EF4-FFF2-40B4-BE49-F238E27FC236}">
              <a16:creationId xmlns:a16="http://schemas.microsoft.com/office/drawing/2014/main" id="{94AAAED3-28E2-4174-96BE-D36B203127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5" name="Host Control  294" hidden="1">
          <a:extLst>
            <a:ext uri="{FF2B5EF4-FFF2-40B4-BE49-F238E27FC236}">
              <a16:creationId xmlns:a16="http://schemas.microsoft.com/office/drawing/2014/main" id="{7E334440-B2B9-442F-BA33-D0406D33DF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6" name="Host Control  295" hidden="1">
          <a:extLst>
            <a:ext uri="{FF2B5EF4-FFF2-40B4-BE49-F238E27FC236}">
              <a16:creationId xmlns:a16="http://schemas.microsoft.com/office/drawing/2014/main" id="{39B7D8B7-035D-44B5-B7DB-DD1119986F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7" name="Host Control  296" hidden="1">
          <a:extLst>
            <a:ext uri="{FF2B5EF4-FFF2-40B4-BE49-F238E27FC236}">
              <a16:creationId xmlns:a16="http://schemas.microsoft.com/office/drawing/2014/main" id="{8241E0E4-44D9-4531-9744-02114B925FF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8" name="Host Control  483" hidden="1">
          <a:extLst>
            <a:ext uri="{FF2B5EF4-FFF2-40B4-BE49-F238E27FC236}">
              <a16:creationId xmlns:a16="http://schemas.microsoft.com/office/drawing/2014/main" id="{83188375-59BA-4112-8C0B-AAF05E464569}"/>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9" name="Host Control  484" hidden="1">
          <a:extLst>
            <a:ext uri="{FF2B5EF4-FFF2-40B4-BE49-F238E27FC236}">
              <a16:creationId xmlns:a16="http://schemas.microsoft.com/office/drawing/2014/main" id="{DE02EBCF-D5E7-436B-BDF9-A2A766DAE692}"/>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0" name="Host Control  485" hidden="1">
          <a:extLst>
            <a:ext uri="{FF2B5EF4-FFF2-40B4-BE49-F238E27FC236}">
              <a16:creationId xmlns:a16="http://schemas.microsoft.com/office/drawing/2014/main" id="{26534727-86F0-4EAB-8AB5-09E6CD5B4704}"/>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1" name="Host Control  486" hidden="1">
          <a:extLst>
            <a:ext uri="{FF2B5EF4-FFF2-40B4-BE49-F238E27FC236}">
              <a16:creationId xmlns:a16="http://schemas.microsoft.com/office/drawing/2014/main" id="{B24AFB74-8520-4C6A-ABD8-F46080E3A3B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2" name="Host Control  487" hidden="1">
          <a:extLst>
            <a:ext uri="{FF2B5EF4-FFF2-40B4-BE49-F238E27FC236}">
              <a16:creationId xmlns:a16="http://schemas.microsoft.com/office/drawing/2014/main" id="{309FAD23-F1CF-4428-9A42-386DAD06CF69}"/>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3" name="Host Control  488" hidden="1">
          <a:extLst>
            <a:ext uri="{FF2B5EF4-FFF2-40B4-BE49-F238E27FC236}">
              <a16:creationId xmlns:a16="http://schemas.microsoft.com/office/drawing/2014/main" id="{8388FB1C-078A-4C4A-8DC2-C58ABD5B22C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4" name="Host Control  489" hidden="1">
          <a:extLst>
            <a:ext uri="{FF2B5EF4-FFF2-40B4-BE49-F238E27FC236}">
              <a16:creationId xmlns:a16="http://schemas.microsoft.com/office/drawing/2014/main" id="{2C7FE993-8595-431E-AE07-D62E768AAAC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5" name="Host Control  490" hidden="1">
          <a:extLst>
            <a:ext uri="{FF2B5EF4-FFF2-40B4-BE49-F238E27FC236}">
              <a16:creationId xmlns:a16="http://schemas.microsoft.com/office/drawing/2014/main" id="{C1357881-DE44-4FC1-AD36-7C879EFBA49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6" name="Host Control  491" hidden="1">
          <a:extLst>
            <a:ext uri="{FF2B5EF4-FFF2-40B4-BE49-F238E27FC236}">
              <a16:creationId xmlns:a16="http://schemas.microsoft.com/office/drawing/2014/main" id="{9795CF2C-B717-424C-9E08-B1ECDB6B7FF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7" name="Host Control  492" hidden="1">
          <a:extLst>
            <a:ext uri="{FF2B5EF4-FFF2-40B4-BE49-F238E27FC236}">
              <a16:creationId xmlns:a16="http://schemas.microsoft.com/office/drawing/2014/main" id="{6C52DCA0-3757-4EAF-B279-FE06C7ACC04A}"/>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8" name="Host Control  493" hidden="1">
          <a:extLst>
            <a:ext uri="{FF2B5EF4-FFF2-40B4-BE49-F238E27FC236}">
              <a16:creationId xmlns:a16="http://schemas.microsoft.com/office/drawing/2014/main" id="{BF45CDBE-2B66-4B39-ADD2-6DAB8EB358DC}"/>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9" name="Host Control  494" hidden="1">
          <a:extLst>
            <a:ext uri="{FF2B5EF4-FFF2-40B4-BE49-F238E27FC236}">
              <a16:creationId xmlns:a16="http://schemas.microsoft.com/office/drawing/2014/main" id="{48EABB03-1A44-4C53-B618-8A1D51609E8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0" name="Host Control  495" hidden="1">
          <a:extLst>
            <a:ext uri="{FF2B5EF4-FFF2-40B4-BE49-F238E27FC236}">
              <a16:creationId xmlns:a16="http://schemas.microsoft.com/office/drawing/2014/main" id="{E8390F14-4FC6-4C2F-8BC1-2F60ED39D01A}"/>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1" name="Host Control  496" hidden="1">
          <a:extLst>
            <a:ext uri="{FF2B5EF4-FFF2-40B4-BE49-F238E27FC236}">
              <a16:creationId xmlns:a16="http://schemas.microsoft.com/office/drawing/2014/main" id="{0F7692D9-DE13-4A94-8983-E73F427307E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2" name="Host Control  497" hidden="1">
          <a:extLst>
            <a:ext uri="{FF2B5EF4-FFF2-40B4-BE49-F238E27FC236}">
              <a16:creationId xmlns:a16="http://schemas.microsoft.com/office/drawing/2014/main" id="{F37350F3-8156-4D4F-B52B-DF36E0E93CE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3" name="Host Control  498" hidden="1">
          <a:extLst>
            <a:ext uri="{FF2B5EF4-FFF2-40B4-BE49-F238E27FC236}">
              <a16:creationId xmlns:a16="http://schemas.microsoft.com/office/drawing/2014/main" id="{B403F4F0-21FB-475E-8B2D-AC77AD207614}"/>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4" name="Host Control  499" hidden="1">
          <a:extLst>
            <a:ext uri="{FF2B5EF4-FFF2-40B4-BE49-F238E27FC236}">
              <a16:creationId xmlns:a16="http://schemas.microsoft.com/office/drawing/2014/main" id="{B2FA1884-FBC2-42B3-9D0C-581A588A61F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5" name="Host Control  500" hidden="1">
          <a:extLst>
            <a:ext uri="{FF2B5EF4-FFF2-40B4-BE49-F238E27FC236}">
              <a16:creationId xmlns:a16="http://schemas.microsoft.com/office/drawing/2014/main" id="{468EEF97-35A2-43AF-8E55-22D08D19135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6" name="Host Control  501" hidden="1">
          <a:extLst>
            <a:ext uri="{FF2B5EF4-FFF2-40B4-BE49-F238E27FC236}">
              <a16:creationId xmlns:a16="http://schemas.microsoft.com/office/drawing/2014/main" id="{CB72CA45-C5B5-488B-9FC2-501413B7392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7" name="Host Control  502" hidden="1">
          <a:extLst>
            <a:ext uri="{FF2B5EF4-FFF2-40B4-BE49-F238E27FC236}">
              <a16:creationId xmlns:a16="http://schemas.microsoft.com/office/drawing/2014/main" id="{F692DB20-D55F-4B85-9DDA-FC2703FD540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8" name="Host Control  503" hidden="1">
          <a:extLst>
            <a:ext uri="{FF2B5EF4-FFF2-40B4-BE49-F238E27FC236}">
              <a16:creationId xmlns:a16="http://schemas.microsoft.com/office/drawing/2014/main" id="{CE248CAE-BA5F-4E92-97A0-059B52643EE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9" name="Host Control  504" hidden="1">
          <a:extLst>
            <a:ext uri="{FF2B5EF4-FFF2-40B4-BE49-F238E27FC236}">
              <a16:creationId xmlns:a16="http://schemas.microsoft.com/office/drawing/2014/main" id="{827875A0-6AE0-441C-8057-C6D5AC3E1F5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0" name="Host Control  505" hidden="1">
          <a:extLst>
            <a:ext uri="{FF2B5EF4-FFF2-40B4-BE49-F238E27FC236}">
              <a16:creationId xmlns:a16="http://schemas.microsoft.com/office/drawing/2014/main" id="{4D6B4307-A7D5-45BD-AA06-51F0C9FD216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1" name="Host Control  506" hidden="1">
          <a:extLst>
            <a:ext uri="{FF2B5EF4-FFF2-40B4-BE49-F238E27FC236}">
              <a16:creationId xmlns:a16="http://schemas.microsoft.com/office/drawing/2014/main" id="{602FC145-B270-4C4A-A4EB-02BA5FF3990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2" name="Host Control  507" hidden="1">
          <a:extLst>
            <a:ext uri="{FF2B5EF4-FFF2-40B4-BE49-F238E27FC236}">
              <a16:creationId xmlns:a16="http://schemas.microsoft.com/office/drawing/2014/main" id="{14514456-8117-4055-A30D-30E8A672BE3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3" name="Host Control  508" hidden="1">
          <a:extLst>
            <a:ext uri="{FF2B5EF4-FFF2-40B4-BE49-F238E27FC236}">
              <a16:creationId xmlns:a16="http://schemas.microsoft.com/office/drawing/2014/main" id="{AC2589BD-7478-42EA-AD66-B55CBF576C3C}"/>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4" name="Host Control  509" hidden="1">
          <a:extLst>
            <a:ext uri="{FF2B5EF4-FFF2-40B4-BE49-F238E27FC236}">
              <a16:creationId xmlns:a16="http://schemas.microsoft.com/office/drawing/2014/main" id="{D61DABB4-5B86-4E90-B1B9-21CF7F2BB338}"/>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5" name="Host Control  510" hidden="1">
          <a:extLst>
            <a:ext uri="{FF2B5EF4-FFF2-40B4-BE49-F238E27FC236}">
              <a16:creationId xmlns:a16="http://schemas.microsoft.com/office/drawing/2014/main" id="{6BFBE0DF-59D9-4331-B865-EE384A40EF2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6" name="Host Control  511" hidden="1">
          <a:extLst>
            <a:ext uri="{FF2B5EF4-FFF2-40B4-BE49-F238E27FC236}">
              <a16:creationId xmlns:a16="http://schemas.microsoft.com/office/drawing/2014/main" id="{D2DE4E72-65A5-46DD-B8E6-1247B79B37F5}"/>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7" name="Host Control  512" hidden="1">
          <a:extLst>
            <a:ext uri="{FF2B5EF4-FFF2-40B4-BE49-F238E27FC236}">
              <a16:creationId xmlns:a16="http://schemas.microsoft.com/office/drawing/2014/main" id="{4937BE0B-64B0-4F45-9AF3-4C3E5C1543E6}"/>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68" name="Host Control  517" hidden="1">
          <a:extLst>
            <a:ext uri="{FF2B5EF4-FFF2-40B4-BE49-F238E27FC236}">
              <a16:creationId xmlns:a16="http://schemas.microsoft.com/office/drawing/2014/main" id="{CFCCB4A1-28EE-41AE-B032-5464E1C1406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69" name="Host Control  518" hidden="1">
          <a:extLst>
            <a:ext uri="{FF2B5EF4-FFF2-40B4-BE49-F238E27FC236}">
              <a16:creationId xmlns:a16="http://schemas.microsoft.com/office/drawing/2014/main" id="{1C9F9C57-BB5E-4B4D-9AE5-027E84032BE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0" name="Host Control  519" hidden="1">
          <a:extLst>
            <a:ext uri="{FF2B5EF4-FFF2-40B4-BE49-F238E27FC236}">
              <a16:creationId xmlns:a16="http://schemas.microsoft.com/office/drawing/2014/main" id="{1A7C6176-8035-46BB-A7C9-18EBEEFAD37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1" name="Host Control  520" hidden="1">
          <a:extLst>
            <a:ext uri="{FF2B5EF4-FFF2-40B4-BE49-F238E27FC236}">
              <a16:creationId xmlns:a16="http://schemas.microsoft.com/office/drawing/2014/main" id="{60FDF314-152A-42E7-9F02-29AD18ABFBF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2" name="Host Control  521" hidden="1">
          <a:extLst>
            <a:ext uri="{FF2B5EF4-FFF2-40B4-BE49-F238E27FC236}">
              <a16:creationId xmlns:a16="http://schemas.microsoft.com/office/drawing/2014/main" id="{15E27E44-DAAA-4207-A422-3DF7C439DED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3" name="Host Control  522" hidden="1">
          <a:extLst>
            <a:ext uri="{FF2B5EF4-FFF2-40B4-BE49-F238E27FC236}">
              <a16:creationId xmlns:a16="http://schemas.microsoft.com/office/drawing/2014/main" id="{45E24B28-01BF-4186-B8B4-BFD34D3B3ED3}"/>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4" name="Host Control  523" hidden="1">
          <a:extLst>
            <a:ext uri="{FF2B5EF4-FFF2-40B4-BE49-F238E27FC236}">
              <a16:creationId xmlns:a16="http://schemas.microsoft.com/office/drawing/2014/main" id="{C7B28755-040D-4D78-9570-8EA6AE7F417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5" name="Host Control  524" hidden="1">
          <a:extLst>
            <a:ext uri="{FF2B5EF4-FFF2-40B4-BE49-F238E27FC236}">
              <a16:creationId xmlns:a16="http://schemas.microsoft.com/office/drawing/2014/main" id="{6DA7EF61-1C7C-43B7-AAF4-D34337ED7EF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6" name="Host Control  525" hidden="1">
          <a:extLst>
            <a:ext uri="{FF2B5EF4-FFF2-40B4-BE49-F238E27FC236}">
              <a16:creationId xmlns:a16="http://schemas.microsoft.com/office/drawing/2014/main" id="{30D4A55F-F2CD-4C50-977E-111C8C20929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7" name="Host Control  526" hidden="1">
          <a:extLst>
            <a:ext uri="{FF2B5EF4-FFF2-40B4-BE49-F238E27FC236}">
              <a16:creationId xmlns:a16="http://schemas.microsoft.com/office/drawing/2014/main" id="{B5D96294-868F-4789-994F-8E7856E103F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8" name="Host Control  527" hidden="1">
          <a:extLst>
            <a:ext uri="{FF2B5EF4-FFF2-40B4-BE49-F238E27FC236}">
              <a16:creationId xmlns:a16="http://schemas.microsoft.com/office/drawing/2014/main" id="{0CDF174C-9035-4B28-A7A3-9C737E6566E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9" name="Host Control  528" hidden="1">
          <a:extLst>
            <a:ext uri="{FF2B5EF4-FFF2-40B4-BE49-F238E27FC236}">
              <a16:creationId xmlns:a16="http://schemas.microsoft.com/office/drawing/2014/main" id="{243E3143-6F2D-47FA-BE67-84C2C33AC71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0" name="Host Control  529" hidden="1">
          <a:extLst>
            <a:ext uri="{FF2B5EF4-FFF2-40B4-BE49-F238E27FC236}">
              <a16:creationId xmlns:a16="http://schemas.microsoft.com/office/drawing/2014/main" id="{24EE08A6-62DC-459B-BA4A-1B30E676665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1" name="Host Control  530" hidden="1">
          <a:extLst>
            <a:ext uri="{FF2B5EF4-FFF2-40B4-BE49-F238E27FC236}">
              <a16:creationId xmlns:a16="http://schemas.microsoft.com/office/drawing/2014/main" id="{321FAB69-7325-41A4-9D72-F7ED80FA6D9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2" name="Host Control  531" hidden="1">
          <a:extLst>
            <a:ext uri="{FF2B5EF4-FFF2-40B4-BE49-F238E27FC236}">
              <a16:creationId xmlns:a16="http://schemas.microsoft.com/office/drawing/2014/main" id="{A7ECCFDD-C97B-4193-87E9-794DCA165F7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3" name="Host Control  532" hidden="1">
          <a:extLst>
            <a:ext uri="{FF2B5EF4-FFF2-40B4-BE49-F238E27FC236}">
              <a16:creationId xmlns:a16="http://schemas.microsoft.com/office/drawing/2014/main" id="{C177A38B-833A-497D-B954-87D8FD8699F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4" name="Host Control  533" hidden="1">
          <a:extLst>
            <a:ext uri="{FF2B5EF4-FFF2-40B4-BE49-F238E27FC236}">
              <a16:creationId xmlns:a16="http://schemas.microsoft.com/office/drawing/2014/main" id="{9699556D-EA06-4BFF-BEF1-FD7D94008BA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5" name="Host Control  534" hidden="1">
          <a:extLst>
            <a:ext uri="{FF2B5EF4-FFF2-40B4-BE49-F238E27FC236}">
              <a16:creationId xmlns:a16="http://schemas.microsoft.com/office/drawing/2014/main" id="{675F94DF-9C31-408F-A761-53A736DC8B2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6" name="Host Control  535" hidden="1">
          <a:extLst>
            <a:ext uri="{FF2B5EF4-FFF2-40B4-BE49-F238E27FC236}">
              <a16:creationId xmlns:a16="http://schemas.microsoft.com/office/drawing/2014/main" id="{68FAE882-4741-4ABE-8386-390EE1330DEC}"/>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7" name="Host Control  536" hidden="1">
          <a:extLst>
            <a:ext uri="{FF2B5EF4-FFF2-40B4-BE49-F238E27FC236}">
              <a16:creationId xmlns:a16="http://schemas.microsoft.com/office/drawing/2014/main" id="{A4700E1D-53D0-43D9-8A74-33DD03F52F8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8" name="Host Control  537" hidden="1">
          <a:extLst>
            <a:ext uri="{FF2B5EF4-FFF2-40B4-BE49-F238E27FC236}">
              <a16:creationId xmlns:a16="http://schemas.microsoft.com/office/drawing/2014/main" id="{813613D6-5389-4D6C-95C7-A6E1C1A8D3B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9" name="Host Control  538" hidden="1">
          <a:extLst>
            <a:ext uri="{FF2B5EF4-FFF2-40B4-BE49-F238E27FC236}">
              <a16:creationId xmlns:a16="http://schemas.microsoft.com/office/drawing/2014/main" id="{5DFAB813-0688-48C0-B81E-81C90B41B8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0" name="Host Control  539" hidden="1">
          <a:extLst>
            <a:ext uri="{FF2B5EF4-FFF2-40B4-BE49-F238E27FC236}">
              <a16:creationId xmlns:a16="http://schemas.microsoft.com/office/drawing/2014/main" id="{C2F09350-EBA7-458F-A42F-10BDA7E523D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1" name="Host Control  540" hidden="1">
          <a:extLst>
            <a:ext uri="{FF2B5EF4-FFF2-40B4-BE49-F238E27FC236}">
              <a16:creationId xmlns:a16="http://schemas.microsoft.com/office/drawing/2014/main" id="{8079172D-19B2-40F5-94B7-49FDE30ED9F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2" name="Host Control  541" hidden="1">
          <a:extLst>
            <a:ext uri="{FF2B5EF4-FFF2-40B4-BE49-F238E27FC236}">
              <a16:creationId xmlns:a16="http://schemas.microsoft.com/office/drawing/2014/main" id="{F44E9029-DBE2-47B8-9926-8B2C5B8FC1A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3" name="Host Control  542" hidden="1">
          <a:extLst>
            <a:ext uri="{FF2B5EF4-FFF2-40B4-BE49-F238E27FC236}">
              <a16:creationId xmlns:a16="http://schemas.microsoft.com/office/drawing/2014/main" id="{F0980530-F799-43C8-85B9-F40E03C75BBC}"/>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4" name="Host Control  543" hidden="1">
          <a:extLst>
            <a:ext uri="{FF2B5EF4-FFF2-40B4-BE49-F238E27FC236}">
              <a16:creationId xmlns:a16="http://schemas.microsoft.com/office/drawing/2014/main" id="{534E8CA8-1A71-4FC3-86D1-2C896227288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5" name="Host Control  544" hidden="1">
          <a:extLst>
            <a:ext uri="{FF2B5EF4-FFF2-40B4-BE49-F238E27FC236}">
              <a16:creationId xmlns:a16="http://schemas.microsoft.com/office/drawing/2014/main" id="{B608271E-EE55-4598-8BF2-6868EF88280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6" name="Host Control  545" hidden="1">
          <a:extLst>
            <a:ext uri="{FF2B5EF4-FFF2-40B4-BE49-F238E27FC236}">
              <a16:creationId xmlns:a16="http://schemas.microsoft.com/office/drawing/2014/main" id="{3BD933E0-787A-405A-A772-60613F4E694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7" name="Host Control  583" hidden="1">
          <a:extLst>
            <a:ext uri="{FF2B5EF4-FFF2-40B4-BE49-F238E27FC236}">
              <a16:creationId xmlns:a16="http://schemas.microsoft.com/office/drawing/2014/main" id="{08A8C2C0-BF6A-4BFE-BFE4-FC7A7C372A02}"/>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8" name="Host Control  584" hidden="1">
          <a:extLst>
            <a:ext uri="{FF2B5EF4-FFF2-40B4-BE49-F238E27FC236}">
              <a16:creationId xmlns:a16="http://schemas.microsoft.com/office/drawing/2014/main" id="{AA40244D-19EA-4D65-AC72-E2BF6F89C0A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9" name="Host Control  585" hidden="1">
          <a:extLst>
            <a:ext uri="{FF2B5EF4-FFF2-40B4-BE49-F238E27FC236}">
              <a16:creationId xmlns:a16="http://schemas.microsoft.com/office/drawing/2014/main" id="{88972D38-EC75-40DD-8686-4B9E4B548962}"/>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0" name="Host Control  586" hidden="1">
          <a:extLst>
            <a:ext uri="{FF2B5EF4-FFF2-40B4-BE49-F238E27FC236}">
              <a16:creationId xmlns:a16="http://schemas.microsoft.com/office/drawing/2014/main" id="{10AA3EC3-359F-431A-A57A-3068693D318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1" name="Host Control  587" hidden="1">
          <a:extLst>
            <a:ext uri="{FF2B5EF4-FFF2-40B4-BE49-F238E27FC236}">
              <a16:creationId xmlns:a16="http://schemas.microsoft.com/office/drawing/2014/main" id="{32F3661B-87C5-465A-AA36-DDADD05E851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2" name="Host Control  588" hidden="1">
          <a:extLst>
            <a:ext uri="{FF2B5EF4-FFF2-40B4-BE49-F238E27FC236}">
              <a16:creationId xmlns:a16="http://schemas.microsoft.com/office/drawing/2014/main" id="{F3BB7F0A-DD53-4033-BAD8-7C1B668A6BB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3" name="Host Control  589" hidden="1">
          <a:extLst>
            <a:ext uri="{FF2B5EF4-FFF2-40B4-BE49-F238E27FC236}">
              <a16:creationId xmlns:a16="http://schemas.microsoft.com/office/drawing/2014/main" id="{2B5F3C1F-E66E-467A-A7AC-B30FAAE04CB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4" name="Host Control  590" hidden="1">
          <a:extLst>
            <a:ext uri="{FF2B5EF4-FFF2-40B4-BE49-F238E27FC236}">
              <a16:creationId xmlns:a16="http://schemas.microsoft.com/office/drawing/2014/main" id="{35D7B559-9D8F-4E01-A0F7-5CC800C5C0E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5" name="Host Control  591" hidden="1">
          <a:extLst>
            <a:ext uri="{FF2B5EF4-FFF2-40B4-BE49-F238E27FC236}">
              <a16:creationId xmlns:a16="http://schemas.microsoft.com/office/drawing/2014/main" id="{F1FA17B3-8A0B-4612-94DE-9FB50C534E09}"/>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6" name="Host Control  592" hidden="1">
          <a:extLst>
            <a:ext uri="{FF2B5EF4-FFF2-40B4-BE49-F238E27FC236}">
              <a16:creationId xmlns:a16="http://schemas.microsoft.com/office/drawing/2014/main" id="{5D7AB0A0-FA96-475A-AB7E-3E36829AF0E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7" name="Host Control  593" hidden="1">
          <a:extLst>
            <a:ext uri="{FF2B5EF4-FFF2-40B4-BE49-F238E27FC236}">
              <a16:creationId xmlns:a16="http://schemas.microsoft.com/office/drawing/2014/main" id="{4996CDC0-C154-40FC-A47B-FC9E1783E01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8" name="Host Control  594" hidden="1">
          <a:extLst>
            <a:ext uri="{FF2B5EF4-FFF2-40B4-BE49-F238E27FC236}">
              <a16:creationId xmlns:a16="http://schemas.microsoft.com/office/drawing/2014/main" id="{EA405F62-FF53-48F1-A913-92D871E7922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9" name="Host Control  595" hidden="1">
          <a:extLst>
            <a:ext uri="{FF2B5EF4-FFF2-40B4-BE49-F238E27FC236}">
              <a16:creationId xmlns:a16="http://schemas.microsoft.com/office/drawing/2014/main" id="{0ABD5E43-A010-4221-B1BF-70A2657AC18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0" name="Host Control  596" hidden="1">
          <a:extLst>
            <a:ext uri="{FF2B5EF4-FFF2-40B4-BE49-F238E27FC236}">
              <a16:creationId xmlns:a16="http://schemas.microsoft.com/office/drawing/2014/main" id="{50391BF0-1689-47D2-98B0-7B42E271E57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1" name="Host Control  597" hidden="1">
          <a:extLst>
            <a:ext uri="{FF2B5EF4-FFF2-40B4-BE49-F238E27FC236}">
              <a16:creationId xmlns:a16="http://schemas.microsoft.com/office/drawing/2014/main" id="{D139E94F-F980-4F12-9602-585C3E8BF8D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2" name="Host Control  598" hidden="1">
          <a:extLst>
            <a:ext uri="{FF2B5EF4-FFF2-40B4-BE49-F238E27FC236}">
              <a16:creationId xmlns:a16="http://schemas.microsoft.com/office/drawing/2014/main" id="{0724A177-7902-4109-AE4A-70EA1F42E60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3" name="Host Control  599" hidden="1">
          <a:extLst>
            <a:ext uri="{FF2B5EF4-FFF2-40B4-BE49-F238E27FC236}">
              <a16:creationId xmlns:a16="http://schemas.microsoft.com/office/drawing/2014/main" id="{E0A08705-F6B4-4943-A2A2-DE269C40A3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4" name="Host Control  600" hidden="1">
          <a:extLst>
            <a:ext uri="{FF2B5EF4-FFF2-40B4-BE49-F238E27FC236}">
              <a16:creationId xmlns:a16="http://schemas.microsoft.com/office/drawing/2014/main" id="{1CEDB46E-37CD-4F49-A32A-46AC58904EA9}"/>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5" name="Host Control  601" hidden="1">
          <a:extLst>
            <a:ext uri="{FF2B5EF4-FFF2-40B4-BE49-F238E27FC236}">
              <a16:creationId xmlns:a16="http://schemas.microsoft.com/office/drawing/2014/main" id="{BB2373AC-0451-4D85-86EF-F11DA661871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6" name="Host Control  602" hidden="1">
          <a:extLst>
            <a:ext uri="{FF2B5EF4-FFF2-40B4-BE49-F238E27FC236}">
              <a16:creationId xmlns:a16="http://schemas.microsoft.com/office/drawing/2014/main" id="{7A7A4128-FC85-4D6E-9926-17BB3AE1B00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7" name="Host Control  603" hidden="1">
          <a:extLst>
            <a:ext uri="{FF2B5EF4-FFF2-40B4-BE49-F238E27FC236}">
              <a16:creationId xmlns:a16="http://schemas.microsoft.com/office/drawing/2014/main" id="{26BD5421-DA7B-4522-8ECB-22E9AE2C12B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8" name="Host Control  604" hidden="1">
          <a:extLst>
            <a:ext uri="{FF2B5EF4-FFF2-40B4-BE49-F238E27FC236}">
              <a16:creationId xmlns:a16="http://schemas.microsoft.com/office/drawing/2014/main" id="{D0248030-C8E4-4623-B843-62617B6513D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9" name="Host Control  605" hidden="1">
          <a:extLst>
            <a:ext uri="{FF2B5EF4-FFF2-40B4-BE49-F238E27FC236}">
              <a16:creationId xmlns:a16="http://schemas.microsoft.com/office/drawing/2014/main" id="{0260431C-6387-44B3-9C28-EF77EF3DE52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0" name="Host Control  606" hidden="1">
          <a:extLst>
            <a:ext uri="{FF2B5EF4-FFF2-40B4-BE49-F238E27FC236}">
              <a16:creationId xmlns:a16="http://schemas.microsoft.com/office/drawing/2014/main" id="{166833AE-A360-45EC-85C5-DC67E738930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1" name="Host Control  607" hidden="1">
          <a:extLst>
            <a:ext uri="{FF2B5EF4-FFF2-40B4-BE49-F238E27FC236}">
              <a16:creationId xmlns:a16="http://schemas.microsoft.com/office/drawing/2014/main" id="{CB31A8A5-9959-4274-B065-C92535D0597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2" name="Host Control  608" hidden="1">
          <a:extLst>
            <a:ext uri="{FF2B5EF4-FFF2-40B4-BE49-F238E27FC236}">
              <a16:creationId xmlns:a16="http://schemas.microsoft.com/office/drawing/2014/main" id="{49462350-CCE8-469D-879B-A9B98A4D8E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3" name="Host Control  609" hidden="1">
          <a:extLst>
            <a:ext uri="{FF2B5EF4-FFF2-40B4-BE49-F238E27FC236}">
              <a16:creationId xmlns:a16="http://schemas.microsoft.com/office/drawing/2014/main" id="{9EA3F164-17F7-4B20-B4D0-CF539CE8728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4" name="Host Control  610" hidden="1">
          <a:extLst>
            <a:ext uri="{FF2B5EF4-FFF2-40B4-BE49-F238E27FC236}">
              <a16:creationId xmlns:a16="http://schemas.microsoft.com/office/drawing/2014/main" id="{5CB6F59E-DC98-477C-A233-392EFFE8F79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5" name="Host Control  611" hidden="1">
          <a:extLst>
            <a:ext uri="{FF2B5EF4-FFF2-40B4-BE49-F238E27FC236}">
              <a16:creationId xmlns:a16="http://schemas.microsoft.com/office/drawing/2014/main" id="{9ADF40C0-942E-4055-92A9-FAE7B6AF58C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6" name="Host Control  483" hidden="1">
          <a:extLst>
            <a:ext uri="{FF2B5EF4-FFF2-40B4-BE49-F238E27FC236}">
              <a16:creationId xmlns:a16="http://schemas.microsoft.com/office/drawing/2014/main" id="{CF752F34-A3BC-4204-A499-A1DD8FCCE02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7" name="Host Control  484" hidden="1">
          <a:extLst>
            <a:ext uri="{FF2B5EF4-FFF2-40B4-BE49-F238E27FC236}">
              <a16:creationId xmlns:a16="http://schemas.microsoft.com/office/drawing/2014/main" id="{F4517631-D996-4FEA-A8E3-E4600E11A7E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8" name="Host Control  485" hidden="1">
          <a:extLst>
            <a:ext uri="{FF2B5EF4-FFF2-40B4-BE49-F238E27FC236}">
              <a16:creationId xmlns:a16="http://schemas.microsoft.com/office/drawing/2014/main" id="{E92A2071-0362-48A1-BF11-AE628FFDE1E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9" name="Host Control  486" hidden="1">
          <a:extLst>
            <a:ext uri="{FF2B5EF4-FFF2-40B4-BE49-F238E27FC236}">
              <a16:creationId xmlns:a16="http://schemas.microsoft.com/office/drawing/2014/main" id="{F7403698-A6B4-46D6-AA04-A6D2C9C71C0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0" name="Host Control  487" hidden="1">
          <a:extLst>
            <a:ext uri="{FF2B5EF4-FFF2-40B4-BE49-F238E27FC236}">
              <a16:creationId xmlns:a16="http://schemas.microsoft.com/office/drawing/2014/main" id="{C017F994-90CC-4BFB-8345-56559E7A09A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1" name="Host Control  488" hidden="1">
          <a:extLst>
            <a:ext uri="{FF2B5EF4-FFF2-40B4-BE49-F238E27FC236}">
              <a16:creationId xmlns:a16="http://schemas.microsoft.com/office/drawing/2014/main" id="{F46A0AED-2D9B-4B27-8C31-3F00D127F8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2" name="Host Control  489" hidden="1">
          <a:extLst>
            <a:ext uri="{FF2B5EF4-FFF2-40B4-BE49-F238E27FC236}">
              <a16:creationId xmlns:a16="http://schemas.microsoft.com/office/drawing/2014/main" id="{5B75CE0F-17B0-4CEB-BC46-DC8B66BE653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3" name="Host Control  490" hidden="1">
          <a:extLst>
            <a:ext uri="{FF2B5EF4-FFF2-40B4-BE49-F238E27FC236}">
              <a16:creationId xmlns:a16="http://schemas.microsoft.com/office/drawing/2014/main" id="{57E94711-6602-4A96-9EF5-F2EF1970D09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4" name="Host Control  491" hidden="1">
          <a:extLst>
            <a:ext uri="{FF2B5EF4-FFF2-40B4-BE49-F238E27FC236}">
              <a16:creationId xmlns:a16="http://schemas.microsoft.com/office/drawing/2014/main" id="{D0CC4FEE-437D-41D8-9C31-994864437DF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5" name="Host Control  492" hidden="1">
          <a:extLst>
            <a:ext uri="{FF2B5EF4-FFF2-40B4-BE49-F238E27FC236}">
              <a16:creationId xmlns:a16="http://schemas.microsoft.com/office/drawing/2014/main" id="{480B1ED4-FEFA-4303-ACB7-582596D5645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6" name="Host Control  493" hidden="1">
          <a:extLst>
            <a:ext uri="{FF2B5EF4-FFF2-40B4-BE49-F238E27FC236}">
              <a16:creationId xmlns:a16="http://schemas.microsoft.com/office/drawing/2014/main" id="{9056DD6A-0B93-4A44-89B0-904C31EC39C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7" name="Host Control  494" hidden="1">
          <a:extLst>
            <a:ext uri="{FF2B5EF4-FFF2-40B4-BE49-F238E27FC236}">
              <a16:creationId xmlns:a16="http://schemas.microsoft.com/office/drawing/2014/main" id="{37DB6AD5-FA56-402F-8B57-7DA9F49C885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8" name="Host Control  495" hidden="1">
          <a:extLst>
            <a:ext uri="{FF2B5EF4-FFF2-40B4-BE49-F238E27FC236}">
              <a16:creationId xmlns:a16="http://schemas.microsoft.com/office/drawing/2014/main" id="{9B7FD705-A2EB-4234-A4C3-35103D1875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9" name="Host Control  496" hidden="1">
          <a:extLst>
            <a:ext uri="{FF2B5EF4-FFF2-40B4-BE49-F238E27FC236}">
              <a16:creationId xmlns:a16="http://schemas.microsoft.com/office/drawing/2014/main" id="{40B7A0F9-1D73-43EA-91A6-5D0BC57E58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0" name="Host Control  497" hidden="1">
          <a:extLst>
            <a:ext uri="{FF2B5EF4-FFF2-40B4-BE49-F238E27FC236}">
              <a16:creationId xmlns:a16="http://schemas.microsoft.com/office/drawing/2014/main" id="{DC62EF77-04DF-4CBA-A111-BD12AD5FEFE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1" name="Host Control  498" hidden="1">
          <a:extLst>
            <a:ext uri="{FF2B5EF4-FFF2-40B4-BE49-F238E27FC236}">
              <a16:creationId xmlns:a16="http://schemas.microsoft.com/office/drawing/2014/main" id="{EEA3ECE2-89B3-4F1A-AD75-D7FCDDF12ED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2" name="Host Control  499" hidden="1">
          <a:extLst>
            <a:ext uri="{FF2B5EF4-FFF2-40B4-BE49-F238E27FC236}">
              <a16:creationId xmlns:a16="http://schemas.microsoft.com/office/drawing/2014/main" id="{71A33D83-BE76-41BC-8E6C-9B5D4D77FD9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3" name="Host Control  500" hidden="1">
          <a:extLst>
            <a:ext uri="{FF2B5EF4-FFF2-40B4-BE49-F238E27FC236}">
              <a16:creationId xmlns:a16="http://schemas.microsoft.com/office/drawing/2014/main" id="{F290EC90-0EB6-4FCC-BD06-89997C4F068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4" name="Host Control  501" hidden="1">
          <a:extLst>
            <a:ext uri="{FF2B5EF4-FFF2-40B4-BE49-F238E27FC236}">
              <a16:creationId xmlns:a16="http://schemas.microsoft.com/office/drawing/2014/main" id="{C722E5A6-BD12-422A-8CA0-46B91AFDBD8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5" name="Host Control  502" hidden="1">
          <a:extLst>
            <a:ext uri="{FF2B5EF4-FFF2-40B4-BE49-F238E27FC236}">
              <a16:creationId xmlns:a16="http://schemas.microsoft.com/office/drawing/2014/main" id="{D72DDF75-AD14-4EE5-90BB-7DB97AD5F4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6" name="Host Control  503" hidden="1">
          <a:extLst>
            <a:ext uri="{FF2B5EF4-FFF2-40B4-BE49-F238E27FC236}">
              <a16:creationId xmlns:a16="http://schemas.microsoft.com/office/drawing/2014/main" id="{46D384FC-5836-4688-8BAF-14D21BE5448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7" name="Host Control  504" hidden="1">
          <a:extLst>
            <a:ext uri="{FF2B5EF4-FFF2-40B4-BE49-F238E27FC236}">
              <a16:creationId xmlns:a16="http://schemas.microsoft.com/office/drawing/2014/main" id="{95CF17FC-C8E7-48DA-AF5E-5F7A89E897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8" name="Host Control  505" hidden="1">
          <a:extLst>
            <a:ext uri="{FF2B5EF4-FFF2-40B4-BE49-F238E27FC236}">
              <a16:creationId xmlns:a16="http://schemas.microsoft.com/office/drawing/2014/main" id="{3A039745-0008-45E4-8851-D04B3AA1AF6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9" name="Host Control  506" hidden="1">
          <a:extLst>
            <a:ext uri="{FF2B5EF4-FFF2-40B4-BE49-F238E27FC236}">
              <a16:creationId xmlns:a16="http://schemas.microsoft.com/office/drawing/2014/main" id="{92D29B93-DC14-4DC8-87FE-08A269BBD3F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0" name="Host Control  507" hidden="1">
          <a:extLst>
            <a:ext uri="{FF2B5EF4-FFF2-40B4-BE49-F238E27FC236}">
              <a16:creationId xmlns:a16="http://schemas.microsoft.com/office/drawing/2014/main" id="{4DA9CFE7-6D5A-4D8F-9C4E-C0B5EDCE46D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1" name="Host Control  508" hidden="1">
          <a:extLst>
            <a:ext uri="{FF2B5EF4-FFF2-40B4-BE49-F238E27FC236}">
              <a16:creationId xmlns:a16="http://schemas.microsoft.com/office/drawing/2014/main" id="{8A449A18-1771-4DE1-8318-47FEC0BDF2E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2" name="Host Control  509" hidden="1">
          <a:extLst>
            <a:ext uri="{FF2B5EF4-FFF2-40B4-BE49-F238E27FC236}">
              <a16:creationId xmlns:a16="http://schemas.microsoft.com/office/drawing/2014/main" id="{D7901850-A543-4D87-B889-E91A83873F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3" name="Host Control  510" hidden="1">
          <a:extLst>
            <a:ext uri="{FF2B5EF4-FFF2-40B4-BE49-F238E27FC236}">
              <a16:creationId xmlns:a16="http://schemas.microsoft.com/office/drawing/2014/main" id="{38FA3C05-D20A-429A-8054-11B5B93967F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4" name="Host Control  511" hidden="1">
          <a:extLst>
            <a:ext uri="{FF2B5EF4-FFF2-40B4-BE49-F238E27FC236}">
              <a16:creationId xmlns:a16="http://schemas.microsoft.com/office/drawing/2014/main" id="{B2F1F695-68D6-47B7-97BC-B6759DA3476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5" name="Host Control  512" hidden="1">
          <a:extLst>
            <a:ext uri="{FF2B5EF4-FFF2-40B4-BE49-F238E27FC236}">
              <a16:creationId xmlns:a16="http://schemas.microsoft.com/office/drawing/2014/main" id="{55E22527-6730-4D3C-B055-D59FCE6CECC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6" name="Host Control  517" hidden="1">
          <a:extLst>
            <a:ext uri="{FF2B5EF4-FFF2-40B4-BE49-F238E27FC236}">
              <a16:creationId xmlns:a16="http://schemas.microsoft.com/office/drawing/2014/main" id="{B5EF0E97-881F-4EA5-BB20-54B76520A03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7" name="Host Control  518" hidden="1">
          <a:extLst>
            <a:ext uri="{FF2B5EF4-FFF2-40B4-BE49-F238E27FC236}">
              <a16:creationId xmlns:a16="http://schemas.microsoft.com/office/drawing/2014/main" id="{8B31BDCE-9AD5-4637-88E0-386E2B5EE99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8" name="Host Control  519" hidden="1">
          <a:extLst>
            <a:ext uri="{FF2B5EF4-FFF2-40B4-BE49-F238E27FC236}">
              <a16:creationId xmlns:a16="http://schemas.microsoft.com/office/drawing/2014/main" id="{1AC36EAA-234D-41A5-A294-E1A39199C90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9" name="Host Control  520" hidden="1">
          <a:extLst>
            <a:ext uri="{FF2B5EF4-FFF2-40B4-BE49-F238E27FC236}">
              <a16:creationId xmlns:a16="http://schemas.microsoft.com/office/drawing/2014/main" id="{A122DA4C-B607-4FC8-9680-FD67F09D317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0" name="Host Control  521" hidden="1">
          <a:extLst>
            <a:ext uri="{FF2B5EF4-FFF2-40B4-BE49-F238E27FC236}">
              <a16:creationId xmlns:a16="http://schemas.microsoft.com/office/drawing/2014/main" id="{4C3F34FD-4F5C-4EC6-ADDF-76092259C08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1" name="Host Control  522" hidden="1">
          <a:extLst>
            <a:ext uri="{FF2B5EF4-FFF2-40B4-BE49-F238E27FC236}">
              <a16:creationId xmlns:a16="http://schemas.microsoft.com/office/drawing/2014/main" id="{586AC090-7271-4E82-8B45-E8AE501312E3}"/>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2" name="Host Control  523" hidden="1">
          <a:extLst>
            <a:ext uri="{FF2B5EF4-FFF2-40B4-BE49-F238E27FC236}">
              <a16:creationId xmlns:a16="http://schemas.microsoft.com/office/drawing/2014/main" id="{FF9D911B-1A2D-4C64-B104-067F821F452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3" name="Host Control  524" hidden="1">
          <a:extLst>
            <a:ext uri="{FF2B5EF4-FFF2-40B4-BE49-F238E27FC236}">
              <a16:creationId xmlns:a16="http://schemas.microsoft.com/office/drawing/2014/main" id="{5646A54F-3510-4EEF-9FB6-017CCE85B132}"/>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4" name="Host Control  525" hidden="1">
          <a:extLst>
            <a:ext uri="{FF2B5EF4-FFF2-40B4-BE49-F238E27FC236}">
              <a16:creationId xmlns:a16="http://schemas.microsoft.com/office/drawing/2014/main" id="{48EFAE09-FF16-469E-B114-B3FC2D8A09C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5" name="Host Control  526" hidden="1">
          <a:extLst>
            <a:ext uri="{FF2B5EF4-FFF2-40B4-BE49-F238E27FC236}">
              <a16:creationId xmlns:a16="http://schemas.microsoft.com/office/drawing/2014/main" id="{A2D83EC6-101A-4CC5-9C9D-581FAD99D01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6" name="Host Control  527" hidden="1">
          <a:extLst>
            <a:ext uri="{FF2B5EF4-FFF2-40B4-BE49-F238E27FC236}">
              <a16:creationId xmlns:a16="http://schemas.microsoft.com/office/drawing/2014/main" id="{C2966794-300D-4720-91DE-1BDCCF09CE4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7" name="Host Control  528" hidden="1">
          <a:extLst>
            <a:ext uri="{FF2B5EF4-FFF2-40B4-BE49-F238E27FC236}">
              <a16:creationId xmlns:a16="http://schemas.microsoft.com/office/drawing/2014/main" id="{8F4CD871-F2B6-4A4A-A809-7716A68AB85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8" name="Host Control  529" hidden="1">
          <a:extLst>
            <a:ext uri="{FF2B5EF4-FFF2-40B4-BE49-F238E27FC236}">
              <a16:creationId xmlns:a16="http://schemas.microsoft.com/office/drawing/2014/main" id="{904AC2B4-FF8C-4C46-9A6A-AB411D7AB31B}"/>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9" name="Host Control  530" hidden="1">
          <a:extLst>
            <a:ext uri="{FF2B5EF4-FFF2-40B4-BE49-F238E27FC236}">
              <a16:creationId xmlns:a16="http://schemas.microsoft.com/office/drawing/2014/main" id="{4769F854-73DC-4CCF-B0C5-CE303B38CE3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0" name="Host Control  531" hidden="1">
          <a:extLst>
            <a:ext uri="{FF2B5EF4-FFF2-40B4-BE49-F238E27FC236}">
              <a16:creationId xmlns:a16="http://schemas.microsoft.com/office/drawing/2014/main" id="{67A143A0-51B1-4B11-970F-2DEF733A2A3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1" name="Host Control  532" hidden="1">
          <a:extLst>
            <a:ext uri="{FF2B5EF4-FFF2-40B4-BE49-F238E27FC236}">
              <a16:creationId xmlns:a16="http://schemas.microsoft.com/office/drawing/2014/main" id="{4949C7EE-1A85-4F86-B27D-9CE8AEC78DF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2" name="Host Control  533" hidden="1">
          <a:extLst>
            <a:ext uri="{FF2B5EF4-FFF2-40B4-BE49-F238E27FC236}">
              <a16:creationId xmlns:a16="http://schemas.microsoft.com/office/drawing/2014/main" id="{F9B57B77-8321-44E0-8241-EBB42AF6B123}"/>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3" name="Host Control  534" hidden="1">
          <a:extLst>
            <a:ext uri="{FF2B5EF4-FFF2-40B4-BE49-F238E27FC236}">
              <a16:creationId xmlns:a16="http://schemas.microsoft.com/office/drawing/2014/main" id="{FC92F6F3-A50D-4823-818F-C48C2054DBB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4" name="Host Control  535" hidden="1">
          <a:extLst>
            <a:ext uri="{FF2B5EF4-FFF2-40B4-BE49-F238E27FC236}">
              <a16:creationId xmlns:a16="http://schemas.microsoft.com/office/drawing/2014/main" id="{05D57000-C336-47E0-B249-78DC53880CE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5" name="Host Control  536" hidden="1">
          <a:extLst>
            <a:ext uri="{FF2B5EF4-FFF2-40B4-BE49-F238E27FC236}">
              <a16:creationId xmlns:a16="http://schemas.microsoft.com/office/drawing/2014/main" id="{281B78C0-2AEA-4FE4-9481-F0B276A663F5}"/>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6" name="Host Control  537" hidden="1">
          <a:extLst>
            <a:ext uri="{FF2B5EF4-FFF2-40B4-BE49-F238E27FC236}">
              <a16:creationId xmlns:a16="http://schemas.microsoft.com/office/drawing/2014/main" id="{B6293C58-A5B4-4077-B715-BEFD95DFEC3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7" name="Host Control  538" hidden="1">
          <a:extLst>
            <a:ext uri="{FF2B5EF4-FFF2-40B4-BE49-F238E27FC236}">
              <a16:creationId xmlns:a16="http://schemas.microsoft.com/office/drawing/2014/main" id="{B3A168AC-7C84-4A15-BD45-AF7D41AD25A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8" name="Host Control  539" hidden="1">
          <a:extLst>
            <a:ext uri="{FF2B5EF4-FFF2-40B4-BE49-F238E27FC236}">
              <a16:creationId xmlns:a16="http://schemas.microsoft.com/office/drawing/2014/main" id="{BA11CF83-D124-4B1F-B3C6-D6A6FD369BD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9" name="Host Control  540" hidden="1">
          <a:extLst>
            <a:ext uri="{FF2B5EF4-FFF2-40B4-BE49-F238E27FC236}">
              <a16:creationId xmlns:a16="http://schemas.microsoft.com/office/drawing/2014/main" id="{F24072A0-4AFC-4A89-9758-D6370B896194}"/>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0" name="Host Control  541" hidden="1">
          <a:extLst>
            <a:ext uri="{FF2B5EF4-FFF2-40B4-BE49-F238E27FC236}">
              <a16:creationId xmlns:a16="http://schemas.microsoft.com/office/drawing/2014/main" id="{C43D4E4A-AAE2-4B73-A177-C5B5D94FED3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1" name="Host Control  542" hidden="1">
          <a:extLst>
            <a:ext uri="{FF2B5EF4-FFF2-40B4-BE49-F238E27FC236}">
              <a16:creationId xmlns:a16="http://schemas.microsoft.com/office/drawing/2014/main" id="{1DB87E66-558C-4693-A3A2-AD660DD796D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2" name="Host Control  543" hidden="1">
          <a:extLst>
            <a:ext uri="{FF2B5EF4-FFF2-40B4-BE49-F238E27FC236}">
              <a16:creationId xmlns:a16="http://schemas.microsoft.com/office/drawing/2014/main" id="{C7080E0D-EE31-4AF1-978F-0BDDB68C522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3" name="Host Control  544" hidden="1">
          <a:extLst>
            <a:ext uri="{FF2B5EF4-FFF2-40B4-BE49-F238E27FC236}">
              <a16:creationId xmlns:a16="http://schemas.microsoft.com/office/drawing/2014/main" id="{96384DBD-F317-4D07-A2DE-B1E28525016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4" name="Host Control  545" hidden="1">
          <a:extLst>
            <a:ext uri="{FF2B5EF4-FFF2-40B4-BE49-F238E27FC236}">
              <a16:creationId xmlns:a16="http://schemas.microsoft.com/office/drawing/2014/main" id="{98859AE9-ACA1-4F82-98FD-A4CDD8541E1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5" name="Host Control  583" hidden="1">
          <a:extLst>
            <a:ext uri="{FF2B5EF4-FFF2-40B4-BE49-F238E27FC236}">
              <a16:creationId xmlns:a16="http://schemas.microsoft.com/office/drawing/2014/main" id="{2BB225C8-8FF2-432D-8CB7-122AF83F7BB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6" name="Host Control  584" hidden="1">
          <a:extLst>
            <a:ext uri="{FF2B5EF4-FFF2-40B4-BE49-F238E27FC236}">
              <a16:creationId xmlns:a16="http://schemas.microsoft.com/office/drawing/2014/main" id="{73762D00-CEE2-464F-BD3B-C19275E9DD1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7" name="Host Control  585" hidden="1">
          <a:extLst>
            <a:ext uri="{FF2B5EF4-FFF2-40B4-BE49-F238E27FC236}">
              <a16:creationId xmlns:a16="http://schemas.microsoft.com/office/drawing/2014/main" id="{C6002C9F-188B-4F2D-AE01-AB7856DADED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8" name="Host Control  586" hidden="1">
          <a:extLst>
            <a:ext uri="{FF2B5EF4-FFF2-40B4-BE49-F238E27FC236}">
              <a16:creationId xmlns:a16="http://schemas.microsoft.com/office/drawing/2014/main" id="{06A2FDC3-7E1D-442F-9EA5-4677DD36A134}"/>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9" name="Host Control  587" hidden="1">
          <a:extLst>
            <a:ext uri="{FF2B5EF4-FFF2-40B4-BE49-F238E27FC236}">
              <a16:creationId xmlns:a16="http://schemas.microsoft.com/office/drawing/2014/main" id="{9B142599-F7BC-43FC-B250-58E793E69E1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0" name="Host Control  588" hidden="1">
          <a:extLst>
            <a:ext uri="{FF2B5EF4-FFF2-40B4-BE49-F238E27FC236}">
              <a16:creationId xmlns:a16="http://schemas.microsoft.com/office/drawing/2014/main" id="{1996CEE7-B329-4C8C-8E31-EA393050A77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1" name="Host Control  589" hidden="1">
          <a:extLst>
            <a:ext uri="{FF2B5EF4-FFF2-40B4-BE49-F238E27FC236}">
              <a16:creationId xmlns:a16="http://schemas.microsoft.com/office/drawing/2014/main" id="{71C5945B-55B1-410C-90F0-3B14C623E56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2" name="Host Control  590" hidden="1">
          <a:extLst>
            <a:ext uri="{FF2B5EF4-FFF2-40B4-BE49-F238E27FC236}">
              <a16:creationId xmlns:a16="http://schemas.microsoft.com/office/drawing/2014/main" id="{AC7F792A-5B0B-480D-A067-59F606839FB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3" name="Host Control  591" hidden="1">
          <a:extLst>
            <a:ext uri="{FF2B5EF4-FFF2-40B4-BE49-F238E27FC236}">
              <a16:creationId xmlns:a16="http://schemas.microsoft.com/office/drawing/2014/main" id="{9CE55BCF-F97A-4E27-AAC6-6FCCD0050142}"/>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4" name="Host Control  592" hidden="1">
          <a:extLst>
            <a:ext uri="{FF2B5EF4-FFF2-40B4-BE49-F238E27FC236}">
              <a16:creationId xmlns:a16="http://schemas.microsoft.com/office/drawing/2014/main" id="{EAB5F5FD-AC41-472B-9D53-997E5F9D757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5" name="Host Control  593" hidden="1">
          <a:extLst>
            <a:ext uri="{FF2B5EF4-FFF2-40B4-BE49-F238E27FC236}">
              <a16:creationId xmlns:a16="http://schemas.microsoft.com/office/drawing/2014/main" id="{05DA4C12-86A6-4092-846F-42E677E3CFC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6" name="Host Control  594" hidden="1">
          <a:extLst>
            <a:ext uri="{FF2B5EF4-FFF2-40B4-BE49-F238E27FC236}">
              <a16:creationId xmlns:a16="http://schemas.microsoft.com/office/drawing/2014/main" id="{3AC7D8DF-ED58-4623-9949-A8A3A7A53AC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7" name="Host Control  595" hidden="1">
          <a:extLst>
            <a:ext uri="{FF2B5EF4-FFF2-40B4-BE49-F238E27FC236}">
              <a16:creationId xmlns:a16="http://schemas.microsoft.com/office/drawing/2014/main" id="{B7F5A343-8DF0-42F9-AAEF-365E44C0353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8" name="Host Control  596" hidden="1">
          <a:extLst>
            <a:ext uri="{FF2B5EF4-FFF2-40B4-BE49-F238E27FC236}">
              <a16:creationId xmlns:a16="http://schemas.microsoft.com/office/drawing/2014/main" id="{3D4111A2-BBE6-42C0-99D5-A60CC7A1DFE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9" name="Host Control  597" hidden="1">
          <a:extLst>
            <a:ext uri="{FF2B5EF4-FFF2-40B4-BE49-F238E27FC236}">
              <a16:creationId xmlns:a16="http://schemas.microsoft.com/office/drawing/2014/main" id="{B4AF1BAE-8052-4A59-B463-11E282D3B12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0" name="Host Control  598" hidden="1">
          <a:extLst>
            <a:ext uri="{FF2B5EF4-FFF2-40B4-BE49-F238E27FC236}">
              <a16:creationId xmlns:a16="http://schemas.microsoft.com/office/drawing/2014/main" id="{03DF57F2-6B41-4405-B508-94D9EE5E781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1" name="Host Control  599" hidden="1">
          <a:extLst>
            <a:ext uri="{FF2B5EF4-FFF2-40B4-BE49-F238E27FC236}">
              <a16:creationId xmlns:a16="http://schemas.microsoft.com/office/drawing/2014/main" id="{8177FEE9-B514-4D15-A52F-BC3370E610E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2" name="Host Control  600" hidden="1">
          <a:extLst>
            <a:ext uri="{FF2B5EF4-FFF2-40B4-BE49-F238E27FC236}">
              <a16:creationId xmlns:a16="http://schemas.microsoft.com/office/drawing/2014/main" id="{152D5FAF-2F6C-4924-994C-E3B7594B7C2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3" name="Host Control  601" hidden="1">
          <a:extLst>
            <a:ext uri="{FF2B5EF4-FFF2-40B4-BE49-F238E27FC236}">
              <a16:creationId xmlns:a16="http://schemas.microsoft.com/office/drawing/2014/main" id="{18BBA152-8CD7-49C2-BC80-A6922CE846CB}"/>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4" name="Host Control  602" hidden="1">
          <a:extLst>
            <a:ext uri="{FF2B5EF4-FFF2-40B4-BE49-F238E27FC236}">
              <a16:creationId xmlns:a16="http://schemas.microsoft.com/office/drawing/2014/main" id="{3131B961-62B0-473C-972A-ECD51646AAF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5" name="Host Control  603" hidden="1">
          <a:extLst>
            <a:ext uri="{FF2B5EF4-FFF2-40B4-BE49-F238E27FC236}">
              <a16:creationId xmlns:a16="http://schemas.microsoft.com/office/drawing/2014/main" id="{A8E93C04-D283-454B-9CDF-C04E5F1C054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6" name="Host Control  604" hidden="1">
          <a:extLst>
            <a:ext uri="{FF2B5EF4-FFF2-40B4-BE49-F238E27FC236}">
              <a16:creationId xmlns:a16="http://schemas.microsoft.com/office/drawing/2014/main" id="{AB9AA5D7-CDD3-48E4-BCFA-1E2E54C5154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7" name="Host Control  605" hidden="1">
          <a:extLst>
            <a:ext uri="{FF2B5EF4-FFF2-40B4-BE49-F238E27FC236}">
              <a16:creationId xmlns:a16="http://schemas.microsoft.com/office/drawing/2014/main" id="{4091505A-7754-4B6E-8622-920CC5F897B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8" name="Host Control  606" hidden="1">
          <a:extLst>
            <a:ext uri="{FF2B5EF4-FFF2-40B4-BE49-F238E27FC236}">
              <a16:creationId xmlns:a16="http://schemas.microsoft.com/office/drawing/2014/main" id="{3083C68A-E1B9-4916-B8D7-617DA4DADD5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9" name="Host Control  607" hidden="1">
          <a:extLst>
            <a:ext uri="{FF2B5EF4-FFF2-40B4-BE49-F238E27FC236}">
              <a16:creationId xmlns:a16="http://schemas.microsoft.com/office/drawing/2014/main" id="{C73CD7AD-5BAD-42AF-938D-6EC4115BDD3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0" name="Host Control  608" hidden="1">
          <a:extLst>
            <a:ext uri="{FF2B5EF4-FFF2-40B4-BE49-F238E27FC236}">
              <a16:creationId xmlns:a16="http://schemas.microsoft.com/office/drawing/2014/main" id="{2B3185F3-490C-427A-A470-61E68D5518A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1" name="Host Control  609" hidden="1">
          <a:extLst>
            <a:ext uri="{FF2B5EF4-FFF2-40B4-BE49-F238E27FC236}">
              <a16:creationId xmlns:a16="http://schemas.microsoft.com/office/drawing/2014/main" id="{0E75B9E4-AF03-4439-8E00-B2080A0EE3E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2" name="Host Control  610" hidden="1">
          <a:extLst>
            <a:ext uri="{FF2B5EF4-FFF2-40B4-BE49-F238E27FC236}">
              <a16:creationId xmlns:a16="http://schemas.microsoft.com/office/drawing/2014/main" id="{822C56FC-CDAE-4BD7-B29A-F1DA62BF7CA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3" name="Host Control  611" hidden="1">
          <a:extLst>
            <a:ext uri="{FF2B5EF4-FFF2-40B4-BE49-F238E27FC236}">
              <a16:creationId xmlns:a16="http://schemas.microsoft.com/office/drawing/2014/main" id="{42B2388E-B85E-41D8-B8C6-19F04E76CD6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4" name="Host Control  32" hidden="1">
          <a:extLst>
            <a:ext uri="{FF2B5EF4-FFF2-40B4-BE49-F238E27FC236}">
              <a16:creationId xmlns:a16="http://schemas.microsoft.com/office/drawing/2014/main" id="{245512D7-E62D-40B0-8DA5-0151C6D262B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5" name="Host Control  33" hidden="1">
          <a:extLst>
            <a:ext uri="{FF2B5EF4-FFF2-40B4-BE49-F238E27FC236}">
              <a16:creationId xmlns:a16="http://schemas.microsoft.com/office/drawing/2014/main" id="{23D70830-48D6-4975-86A6-5B5E042ECBD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6" name="Host Control  34" hidden="1">
          <a:extLst>
            <a:ext uri="{FF2B5EF4-FFF2-40B4-BE49-F238E27FC236}">
              <a16:creationId xmlns:a16="http://schemas.microsoft.com/office/drawing/2014/main" id="{1CF21AD5-A1A4-4163-A0F4-DB2876E40C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7" name="Host Control  35" hidden="1">
          <a:extLst>
            <a:ext uri="{FF2B5EF4-FFF2-40B4-BE49-F238E27FC236}">
              <a16:creationId xmlns:a16="http://schemas.microsoft.com/office/drawing/2014/main" id="{5D636D13-1DA1-47F3-A66E-F8AE427983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8" name="Host Control  36" hidden="1">
          <a:extLst>
            <a:ext uri="{FF2B5EF4-FFF2-40B4-BE49-F238E27FC236}">
              <a16:creationId xmlns:a16="http://schemas.microsoft.com/office/drawing/2014/main" id="{F656FC58-D83E-4281-9AE3-E3D851324F2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9" name="Host Control  37" hidden="1">
          <a:extLst>
            <a:ext uri="{FF2B5EF4-FFF2-40B4-BE49-F238E27FC236}">
              <a16:creationId xmlns:a16="http://schemas.microsoft.com/office/drawing/2014/main" id="{E2EAF315-5D0C-4E92-B398-92AF1CE30D8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0" name="Host Control  38" hidden="1">
          <a:extLst>
            <a:ext uri="{FF2B5EF4-FFF2-40B4-BE49-F238E27FC236}">
              <a16:creationId xmlns:a16="http://schemas.microsoft.com/office/drawing/2014/main" id="{34883503-2DF8-44CF-8869-891E9047BDE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1" name="Host Control  39" hidden="1">
          <a:extLst>
            <a:ext uri="{FF2B5EF4-FFF2-40B4-BE49-F238E27FC236}">
              <a16:creationId xmlns:a16="http://schemas.microsoft.com/office/drawing/2014/main" id="{0FBB1C38-5906-44B2-85D0-FCE7D79A0A4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2" name="Host Control  40" hidden="1">
          <a:extLst>
            <a:ext uri="{FF2B5EF4-FFF2-40B4-BE49-F238E27FC236}">
              <a16:creationId xmlns:a16="http://schemas.microsoft.com/office/drawing/2014/main" id="{FE7867B9-B795-4803-B635-F92003E5CC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3" name="Host Control  41" hidden="1">
          <a:extLst>
            <a:ext uri="{FF2B5EF4-FFF2-40B4-BE49-F238E27FC236}">
              <a16:creationId xmlns:a16="http://schemas.microsoft.com/office/drawing/2014/main" id="{E2EBF726-B97F-4806-965D-5CD56BC0A39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4" name="Host Control  42" hidden="1">
          <a:extLst>
            <a:ext uri="{FF2B5EF4-FFF2-40B4-BE49-F238E27FC236}">
              <a16:creationId xmlns:a16="http://schemas.microsoft.com/office/drawing/2014/main" id="{CD14A06A-F808-4ED9-BF3D-DFEBDB5B347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5" name="Host Control  43" hidden="1">
          <a:extLst>
            <a:ext uri="{FF2B5EF4-FFF2-40B4-BE49-F238E27FC236}">
              <a16:creationId xmlns:a16="http://schemas.microsoft.com/office/drawing/2014/main" id="{75805295-5D52-47D3-B162-4AC2F84325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6" name="Host Control  44" hidden="1">
          <a:extLst>
            <a:ext uri="{FF2B5EF4-FFF2-40B4-BE49-F238E27FC236}">
              <a16:creationId xmlns:a16="http://schemas.microsoft.com/office/drawing/2014/main" id="{35ADF6D0-A4C7-47B8-A026-02FB0B14225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7" name="Host Control  45" hidden="1">
          <a:extLst>
            <a:ext uri="{FF2B5EF4-FFF2-40B4-BE49-F238E27FC236}">
              <a16:creationId xmlns:a16="http://schemas.microsoft.com/office/drawing/2014/main" id="{5334E451-850E-400B-A058-A0B7049D7A1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8" name="Host Control  46" hidden="1">
          <a:extLst>
            <a:ext uri="{FF2B5EF4-FFF2-40B4-BE49-F238E27FC236}">
              <a16:creationId xmlns:a16="http://schemas.microsoft.com/office/drawing/2014/main" id="{6ABBE5CE-0751-4DDD-BBB8-E55ADA05CAA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9" name="Host Control  47" hidden="1">
          <a:extLst>
            <a:ext uri="{FF2B5EF4-FFF2-40B4-BE49-F238E27FC236}">
              <a16:creationId xmlns:a16="http://schemas.microsoft.com/office/drawing/2014/main" id="{AC3540F2-E2E4-4AE0-A8A5-1E2BA84C0F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0" name="Host Control  48" hidden="1">
          <a:extLst>
            <a:ext uri="{FF2B5EF4-FFF2-40B4-BE49-F238E27FC236}">
              <a16:creationId xmlns:a16="http://schemas.microsoft.com/office/drawing/2014/main" id="{B31BD7D1-7DCD-4188-AF09-E8238EFA861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1" name="Host Control  49" hidden="1">
          <a:extLst>
            <a:ext uri="{FF2B5EF4-FFF2-40B4-BE49-F238E27FC236}">
              <a16:creationId xmlns:a16="http://schemas.microsoft.com/office/drawing/2014/main" id="{667650E5-3E30-426A-90EF-6DA9758B19D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2" name="Host Control  50" hidden="1">
          <a:extLst>
            <a:ext uri="{FF2B5EF4-FFF2-40B4-BE49-F238E27FC236}">
              <a16:creationId xmlns:a16="http://schemas.microsoft.com/office/drawing/2014/main" id="{1F4EAEB3-3AB7-4D86-ABCA-458B3D5167D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3" name="Host Control  51" hidden="1">
          <a:extLst>
            <a:ext uri="{FF2B5EF4-FFF2-40B4-BE49-F238E27FC236}">
              <a16:creationId xmlns:a16="http://schemas.microsoft.com/office/drawing/2014/main" id="{E2072AFE-762D-4E11-BC78-37F001D2A1C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4" name="Host Control  52" hidden="1">
          <a:extLst>
            <a:ext uri="{FF2B5EF4-FFF2-40B4-BE49-F238E27FC236}">
              <a16:creationId xmlns:a16="http://schemas.microsoft.com/office/drawing/2014/main" id="{78825B1B-8757-4480-8A3F-365D4FDDDC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5" name="Host Control  53" hidden="1">
          <a:extLst>
            <a:ext uri="{FF2B5EF4-FFF2-40B4-BE49-F238E27FC236}">
              <a16:creationId xmlns:a16="http://schemas.microsoft.com/office/drawing/2014/main" id="{65BA1471-4F4B-49CE-B6A6-1E750E56521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6" name="Host Control  54" hidden="1">
          <a:extLst>
            <a:ext uri="{FF2B5EF4-FFF2-40B4-BE49-F238E27FC236}">
              <a16:creationId xmlns:a16="http://schemas.microsoft.com/office/drawing/2014/main" id="{CE8CA0F0-028A-4880-AB6C-DEB3F5F02C6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7" name="Host Control  55" hidden="1">
          <a:extLst>
            <a:ext uri="{FF2B5EF4-FFF2-40B4-BE49-F238E27FC236}">
              <a16:creationId xmlns:a16="http://schemas.microsoft.com/office/drawing/2014/main" id="{41B22076-BD6E-420A-B479-5CE2BE11110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8" name="Host Control  56" hidden="1">
          <a:extLst>
            <a:ext uri="{FF2B5EF4-FFF2-40B4-BE49-F238E27FC236}">
              <a16:creationId xmlns:a16="http://schemas.microsoft.com/office/drawing/2014/main" id="{C5DD6388-E9A4-45C0-B796-E77E77359E8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9" name="Host Control  57" hidden="1">
          <a:extLst>
            <a:ext uri="{FF2B5EF4-FFF2-40B4-BE49-F238E27FC236}">
              <a16:creationId xmlns:a16="http://schemas.microsoft.com/office/drawing/2014/main" id="{86CC3139-B5DC-4D06-B416-8D880A4E894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0" name="Host Control  58" hidden="1">
          <a:extLst>
            <a:ext uri="{FF2B5EF4-FFF2-40B4-BE49-F238E27FC236}">
              <a16:creationId xmlns:a16="http://schemas.microsoft.com/office/drawing/2014/main" id="{98C60BB7-EC88-4164-B68E-819D5C219FE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1" name="Host Control  59" hidden="1">
          <a:extLst>
            <a:ext uri="{FF2B5EF4-FFF2-40B4-BE49-F238E27FC236}">
              <a16:creationId xmlns:a16="http://schemas.microsoft.com/office/drawing/2014/main" id="{496F40F1-56CB-43CC-8ABD-243CE98E1E1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2" name="Host Control  60" hidden="1">
          <a:extLst>
            <a:ext uri="{FF2B5EF4-FFF2-40B4-BE49-F238E27FC236}">
              <a16:creationId xmlns:a16="http://schemas.microsoft.com/office/drawing/2014/main" id="{620E5535-83A5-4A91-92F7-7D3C096B6DC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3" name="Host Control  61" hidden="1">
          <a:extLst>
            <a:ext uri="{FF2B5EF4-FFF2-40B4-BE49-F238E27FC236}">
              <a16:creationId xmlns:a16="http://schemas.microsoft.com/office/drawing/2014/main" id="{60B895C0-068B-4D48-A010-A2713CF136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4" name="Host Control  65" hidden="1">
          <a:extLst>
            <a:ext uri="{FF2B5EF4-FFF2-40B4-BE49-F238E27FC236}">
              <a16:creationId xmlns:a16="http://schemas.microsoft.com/office/drawing/2014/main" id="{ECB2A34F-0470-4775-841D-67E8103F4EA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5" name="Host Control  66" hidden="1">
          <a:extLst>
            <a:ext uri="{FF2B5EF4-FFF2-40B4-BE49-F238E27FC236}">
              <a16:creationId xmlns:a16="http://schemas.microsoft.com/office/drawing/2014/main" id="{2979873B-6B73-408D-9AE5-107B8E7AAF5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6" name="Host Control  67" hidden="1">
          <a:extLst>
            <a:ext uri="{FF2B5EF4-FFF2-40B4-BE49-F238E27FC236}">
              <a16:creationId xmlns:a16="http://schemas.microsoft.com/office/drawing/2014/main" id="{78907002-A3BE-4979-84C4-BE771353EE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7" name="Host Control  68" hidden="1">
          <a:extLst>
            <a:ext uri="{FF2B5EF4-FFF2-40B4-BE49-F238E27FC236}">
              <a16:creationId xmlns:a16="http://schemas.microsoft.com/office/drawing/2014/main" id="{3C60A093-044F-49E8-9AD7-5C063A8ACB0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8" name="Host Control  69" hidden="1">
          <a:extLst>
            <a:ext uri="{FF2B5EF4-FFF2-40B4-BE49-F238E27FC236}">
              <a16:creationId xmlns:a16="http://schemas.microsoft.com/office/drawing/2014/main" id="{062EF210-1C92-4A47-BC55-35491DE8E5D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9" name="Host Control  70" hidden="1">
          <a:extLst>
            <a:ext uri="{FF2B5EF4-FFF2-40B4-BE49-F238E27FC236}">
              <a16:creationId xmlns:a16="http://schemas.microsoft.com/office/drawing/2014/main" id="{6DF44D1D-4DEA-4FC4-94B1-11C88F4EFF3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0" name="Host Control  71" hidden="1">
          <a:extLst>
            <a:ext uri="{FF2B5EF4-FFF2-40B4-BE49-F238E27FC236}">
              <a16:creationId xmlns:a16="http://schemas.microsoft.com/office/drawing/2014/main" id="{28F2FCEE-06CC-4807-AE37-4FDC56912E4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1" name="Host Control  72" hidden="1">
          <a:extLst>
            <a:ext uri="{FF2B5EF4-FFF2-40B4-BE49-F238E27FC236}">
              <a16:creationId xmlns:a16="http://schemas.microsoft.com/office/drawing/2014/main" id="{3D24CEE6-533A-4E06-8F5D-907682411F9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2" name="Host Control  73" hidden="1">
          <a:extLst>
            <a:ext uri="{FF2B5EF4-FFF2-40B4-BE49-F238E27FC236}">
              <a16:creationId xmlns:a16="http://schemas.microsoft.com/office/drawing/2014/main" id="{4774CEB1-6DC8-42CB-9169-F091DC0ADC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3" name="Host Control  74" hidden="1">
          <a:extLst>
            <a:ext uri="{FF2B5EF4-FFF2-40B4-BE49-F238E27FC236}">
              <a16:creationId xmlns:a16="http://schemas.microsoft.com/office/drawing/2014/main" id="{6D76714A-C7C3-44DD-BB15-D8FE7CFC190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4" name="Host Control  75" hidden="1">
          <a:extLst>
            <a:ext uri="{FF2B5EF4-FFF2-40B4-BE49-F238E27FC236}">
              <a16:creationId xmlns:a16="http://schemas.microsoft.com/office/drawing/2014/main" id="{88CBBA19-CF78-467E-A5DD-21AD8EA5105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5" name="Host Control  76" hidden="1">
          <a:extLst>
            <a:ext uri="{FF2B5EF4-FFF2-40B4-BE49-F238E27FC236}">
              <a16:creationId xmlns:a16="http://schemas.microsoft.com/office/drawing/2014/main" id="{8AE17E9B-F99C-4CBA-A577-5D4E9B3D222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6" name="Host Control  77" hidden="1">
          <a:extLst>
            <a:ext uri="{FF2B5EF4-FFF2-40B4-BE49-F238E27FC236}">
              <a16:creationId xmlns:a16="http://schemas.microsoft.com/office/drawing/2014/main" id="{DDE458C2-833E-4D22-B52B-E78D84E0FB5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7" name="Host Control  78" hidden="1">
          <a:extLst>
            <a:ext uri="{FF2B5EF4-FFF2-40B4-BE49-F238E27FC236}">
              <a16:creationId xmlns:a16="http://schemas.microsoft.com/office/drawing/2014/main" id="{ED461E35-AD44-475D-968C-CE4A56E071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8" name="Host Control  79" hidden="1">
          <a:extLst>
            <a:ext uri="{FF2B5EF4-FFF2-40B4-BE49-F238E27FC236}">
              <a16:creationId xmlns:a16="http://schemas.microsoft.com/office/drawing/2014/main" id="{97636A8D-9F3C-45A0-94C2-D058E15B51A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9" name="Host Control  80" hidden="1">
          <a:extLst>
            <a:ext uri="{FF2B5EF4-FFF2-40B4-BE49-F238E27FC236}">
              <a16:creationId xmlns:a16="http://schemas.microsoft.com/office/drawing/2014/main" id="{15033D4E-7302-453E-800B-0BD9480AE7B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0" name="Host Control  81" hidden="1">
          <a:extLst>
            <a:ext uri="{FF2B5EF4-FFF2-40B4-BE49-F238E27FC236}">
              <a16:creationId xmlns:a16="http://schemas.microsoft.com/office/drawing/2014/main" id="{CA6E12A3-36B8-448C-8464-F8D09C56E5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1" name="Host Control  82" hidden="1">
          <a:extLst>
            <a:ext uri="{FF2B5EF4-FFF2-40B4-BE49-F238E27FC236}">
              <a16:creationId xmlns:a16="http://schemas.microsoft.com/office/drawing/2014/main" id="{5A03EE54-557E-4D8B-9363-F6234BB9D45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2" name="Host Control  83" hidden="1">
          <a:extLst>
            <a:ext uri="{FF2B5EF4-FFF2-40B4-BE49-F238E27FC236}">
              <a16:creationId xmlns:a16="http://schemas.microsoft.com/office/drawing/2014/main" id="{7B873A4E-4421-4BB5-9357-66E76EA592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3" name="Host Control  84" hidden="1">
          <a:extLst>
            <a:ext uri="{FF2B5EF4-FFF2-40B4-BE49-F238E27FC236}">
              <a16:creationId xmlns:a16="http://schemas.microsoft.com/office/drawing/2014/main" id="{658CA305-FFD4-489E-802B-5C6D6785417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4" name="Host Control  85" hidden="1">
          <a:extLst>
            <a:ext uri="{FF2B5EF4-FFF2-40B4-BE49-F238E27FC236}">
              <a16:creationId xmlns:a16="http://schemas.microsoft.com/office/drawing/2014/main" id="{267DEAF1-63A2-4662-AC78-1A67F5DD3A6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5" name="Host Control  86" hidden="1">
          <a:extLst>
            <a:ext uri="{FF2B5EF4-FFF2-40B4-BE49-F238E27FC236}">
              <a16:creationId xmlns:a16="http://schemas.microsoft.com/office/drawing/2014/main" id="{39694121-C559-4EE0-81C4-32C49D74785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6" name="Host Control  87" hidden="1">
          <a:extLst>
            <a:ext uri="{FF2B5EF4-FFF2-40B4-BE49-F238E27FC236}">
              <a16:creationId xmlns:a16="http://schemas.microsoft.com/office/drawing/2014/main" id="{2EA70272-4A43-425B-81F5-8C1CDEC0BA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7" name="Host Control  88" hidden="1">
          <a:extLst>
            <a:ext uri="{FF2B5EF4-FFF2-40B4-BE49-F238E27FC236}">
              <a16:creationId xmlns:a16="http://schemas.microsoft.com/office/drawing/2014/main" id="{2C71378E-3E07-4D80-BA61-EF055D174A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8" name="Host Control  89" hidden="1">
          <a:extLst>
            <a:ext uri="{FF2B5EF4-FFF2-40B4-BE49-F238E27FC236}">
              <a16:creationId xmlns:a16="http://schemas.microsoft.com/office/drawing/2014/main" id="{7F268FD5-B8FE-4B3F-91E0-799235E4131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9" name="Host Control  90" hidden="1">
          <a:extLst>
            <a:ext uri="{FF2B5EF4-FFF2-40B4-BE49-F238E27FC236}">
              <a16:creationId xmlns:a16="http://schemas.microsoft.com/office/drawing/2014/main" id="{D1A9F399-14A0-4F67-BB41-39DE75B4A45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0" name="Host Control  91" hidden="1">
          <a:extLst>
            <a:ext uri="{FF2B5EF4-FFF2-40B4-BE49-F238E27FC236}">
              <a16:creationId xmlns:a16="http://schemas.microsoft.com/office/drawing/2014/main" id="{D6F88978-DB53-4DDE-8251-C030DA7732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1" name="Host Control  92" hidden="1">
          <a:extLst>
            <a:ext uri="{FF2B5EF4-FFF2-40B4-BE49-F238E27FC236}">
              <a16:creationId xmlns:a16="http://schemas.microsoft.com/office/drawing/2014/main" id="{4926A114-E1C5-414B-99B7-4CB1071CE6D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2" name="Host Control  93" hidden="1">
          <a:extLst>
            <a:ext uri="{FF2B5EF4-FFF2-40B4-BE49-F238E27FC236}">
              <a16:creationId xmlns:a16="http://schemas.microsoft.com/office/drawing/2014/main" id="{870182B1-F3C1-4473-B2C6-6E765446A53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3" name="Host Control  94" hidden="1">
          <a:extLst>
            <a:ext uri="{FF2B5EF4-FFF2-40B4-BE49-F238E27FC236}">
              <a16:creationId xmlns:a16="http://schemas.microsoft.com/office/drawing/2014/main" id="{C8EFF914-63C4-4848-A99C-0E95F8C6120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4" name="Host Control  98" hidden="1">
          <a:extLst>
            <a:ext uri="{FF2B5EF4-FFF2-40B4-BE49-F238E27FC236}">
              <a16:creationId xmlns:a16="http://schemas.microsoft.com/office/drawing/2014/main" id="{FA8666EC-E67D-4B6C-8E60-A6D8C3BF66D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5" name="Host Control  99" hidden="1">
          <a:extLst>
            <a:ext uri="{FF2B5EF4-FFF2-40B4-BE49-F238E27FC236}">
              <a16:creationId xmlns:a16="http://schemas.microsoft.com/office/drawing/2014/main" id="{879BFB9F-D80B-498F-904C-138AD1FAEA9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6" name="Host Control  100" hidden="1">
          <a:extLst>
            <a:ext uri="{FF2B5EF4-FFF2-40B4-BE49-F238E27FC236}">
              <a16:creationId xmlns:a16="http://schemas.microsoft.com/office/drawing/2014/main" id="{AE6FB50C-0278-43F2-B067-E6A19B8DBA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7" name="Host Control  101" hidden="1">
          <a:extLst>
            <a:ext uri="{FF2B5EF4-FFF2-40B4-BE49-F238E27FC236}">
              <a16:creationId xmlns:a16="http://schemas.microsoft.com/office/drawing/2014/main" id="{E85151BE-104B-4CFD-A45A-8643B92AB4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8" name="Host Control  102" hidden="1">
          <a:extLst>
            <a:ext uri="{FF2B5EF4-FFF2-40B4-BE49-F238E27FC236}">
              <a16:creationId xmlns:a16="http://schemas.microsoft.com/office/drawing/2014/main" id="{3F63491F-4F61-4700-8616-74D487EDFBF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9" name="Host Control  103" hidden="1">
          <a:extLst>
            <a:ext uri="{FF2B5EF4-FFF2-40B4-BE49-F238E27FC236}">
              <a16:creationId xmlns:a16="http://schemas.microsoft.com/office/drawing/2014/main" id="{82D1A2D1-4116-491E-9CC9-852DA176688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0" name="Host Control  104" hidden="1">
          <a:extLst>
            <a:ext uri="{FF2B5EF4-FFF2-40B4-BE49-F238E27FC236}">
              <a16:creationId xmlns:a16="http://schemas.microsoft.com/office/drawing/2014/main" id="{A009BB17-618A-4D6C-8A94-89423453DB0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1" name="Host Control  105" hidden="1">
          <a:extLst>
            <a:ext uri="{FF2B5EF4-FFF2-40B4-BE49-F238E27FC236}">
              <a16:creationId xmlns:a16="http://schemas.microsoft.com/office/drawing/2014/main" id="{7702D44E-255E-40AF-9F53-7824F8B0F14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2" name="Host Control  106" hidden="1">
          <a:extLst>
            <a:ext uri="{FF2B5EF4-FFF2-40B4-BE49-F238E27FC236}">
              <a16:creationId xmlns:a16="http://schemas.microsoft.com/office/drawing/2014/main" id="{6AD8579A-BB11-40F8-86E7-F63DD6A9A2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3" name="Host Control  107" hidden="1">
          <a:extLst>
            <a:ext uri="{FF2B5EF4-FFF2-40B4-BE49-F238E27FC236}">
              <a16:creationId xmlns:a16="http://schemas.microsoft.com/office/drawing/2014/main" id="{09E03B93-C450-437D-9824-3B5625E51B0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4" name="Host Control  108" hidden="1">
          <a:extLst>
            <a:ext uri="{FF2B5EF4-FFF2-40B4-BE49-F238E27FC236}">
              <a16:creationId xmlns:a16="http://schemas.microsoft.com/office/drawing/2014/main" id="{122517A5-AE78-4173-9563-D2DDE4A93F8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5" name="Host Control  109" hidden="1">
          <a:extLst>
            <a:ext uri="{FF2B5EF4-FFF2-40B4-BE49-F238E27FC236}">
              <a16:creationId xmlns:a16="http://schemas.microsoft.com/office/drawing/2014/main" id="{DF9AB228-EE49-42B8-A143-185FA04CA09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6" name="Host Control  110" hidden="1">
          <a:extLst>
            <a:ext uri="{FF2B5EF4-FFF2-40B4-BE49-F238E27FC236}">
              <a16:creationId xmlns:a16="http://schemas.microsoft.com/office/drawing/2014/main" id="{ABD05195-C5A5-4350-9C24-B91E9E3ABFF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7" name="Host Control  111" hidden="1">
          <a:extLst>
            <a:ext uri="{FF2B5EF4-FFF2-40B4-BE49-F238E27FC236}">
              <a16:creationId xmlns:a16="http://schemas.microsoft.com/office/drawing/2014/main" id="{E267B3A3-D7B7-4CFF-ABBA-EE78DCE368A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8" name="Host Control  112" hidden="1">
          <a:extLst>
            <a:ext uri="{FF2B5EF4-FFF2-40B4-BE49-F238E27FC236}">
              <a16:creationId xmlns:a16="http://schemas.microsoft.com/office/drawing/2014/main" id="{26AF1B76-56F8-4FC4-87CD-560F76595B8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9" name="Host Control  113" hidden="1">
          <a:extLst>
            <a:ext uri="{FF2B5EF4-FFF2-40B4-BE49-F238E27FC236}">
              <a16:creationId xmlns:a16="http://schemas.microsoft.com/office/drawing/2014/main" id="{3A393C44-B5A8-4EA0-B5BE-D3580C7D128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0" name="Host Control  114" hidden="1">
          <a:extLst>
            <a:ext uri="{FF2B5EF4-FFF2-40B4-BE49-F238E27FC236}">
              <a16:creationId xmlns:a16="http://schemas.microsoft.com/office/drawing/2014/main" id="{6782738B-EB0B-4EDC-954E-FDBA2875133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1" name="Host Control  115" hidden="1">
          <a:extLst>
            <a:ext uri="{FF2B5EF4-FFF2-40B4-BE49-F238E27FC236}">
              <a16:creationId xmlns:a16="http://schemas.microsoft.com/office/drawing/2014/main" id="{D812E8A8-C4AA-439D-A106-BF93056E87F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2" name="Host Control  116" hidden="1">
          <a:extLst>
            <a:ext uri="{FF2B5EF4-FFF2-40B4-BE49-F238E27FC236}">
              <a16:creationId xmlns:a16="http://schemas.microsoft.com/office/drawing/2014/main" id="{7559358B-CE57-45F4-A079-F959FAB8FF5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3" name="Host Control  117" hidden="1">
          <a:extLst>
            <a:ext uri="{FF2B5EF4-FFF2-40B4-BE49-F238E27FC236}">
              <a16:creationId xmlns:a16="http://schemas.microsoft.com/office/drawing/2014/main" id="{9CF5E8BA-E1EC-43D9-A4B6-078E2CBC8AF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4" name="Host Control  118" hidden="1">
          <a:extLst>
            <a:ext uri="{FF2B5EF4-FFF2-40B4-BE49-F238E27FC236}">
              <a16:creationId xmlns:a16="http://schemas.microsoft.com/office/drawing/2014/main" id="{B1385B44-0F7B-4FDB-B2F8-741CCA66852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5" name="Host Control  119" hidden="1">
          <a:extLst>
            <a:ext uri="{FF2B5EF4-FFF2-40B4-BE49-F238E27FC236}">
              <a16:creationId xmlns:a16="http://schemas.microsoft.com/office/drawing/2014/main" id="{CB958465-125F-4339-9537-DE96EFDEB6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6" name="Host Control  120" hidden="1">
          <a:extLst>
            <a:ext uri="{FF2B5EF4-FFF2-40B4-BE49-F238E27FC236}">
              <a16:creationId xmlns:a16="http://schemas.microsoft.com/office/drawing/2014/main" id="{15020BBB-5C5E-4BE7-815C-D8ADC13BD49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7" name="Host Control  121" hidden="1">
          <a:extLst>
            <a:ext uri="{FF2B5EF4-FFF2-40B4-BE49-F238E27FC236}">
              <a16:creationId xmlns:a16="http://schemas.microsoft.com/office/drawing/2014/main" id="{4B0E0F8B-E7C6-464D-A460-2F0FB6AD6B6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8" name="Host Control  122" hidden="1">
          <a:extLst>
            <a:ext uri="{FF2B5EF4-FFF2-40B4-BE49-F238E27FC236}">
              <a16:creationId xmlns:a16="http://schemas.microsoft.com/office/drawing/2014/main" id="{E9B309F2-CE04-4E78-927B-3215644957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9" name="Host Control  123" hidden="1">
          <a:extLst>
            <a:ext uri="{FF2B5EF4-FFF2-40B4-BE49-F238E27FC236}">
              <a16:creationId xmlns:a16="http://schemas.microsoft.com/office/drawing/2014/main" id="{6A78680B-0ADE-4DC6-AF24-72A4316144D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0" name="Host Control  124" hidden="1">
          <a:extLst>
            <a:ext uri="{FF2B5EF4-FFF2-40B4-BE49-F238E27FC236}">
              <a16:creationId xmlns:a16="http://schemas.microsoft.com/office/drawing/2014/main" id="{9DEC2DD6-EC43-42DA-9561-A077A8F90A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1" name="Host Control  125" hidden="1">
          <a:extLst>
            <a:ext uri="{FF2B5EF4-FFF2-40B4-BE49-F238E27FC236}">
              <a16:creationId xmlns:a16="http://schemas.microsoft.com/office/drawing/2014/main" id="{1D8F77F5-601E-4856-8E05-CECCF4DDF7E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2" name="Host Control  126" hidden="1">
          <a:extLst>
            <a:ext uri="{FF2B5EF4-FFF2-40B4-BE49-F238E27FC236}">
              <a16:creationId xmlns:a16="http://schemas.microsoft.com/office/drawing/2014/main" id="{9ED18494-3673-4686-9D70-2307714E0F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3" name="Host Control  127" hidden="1">
          <a:extLst>
            <a:ext uri="{FF2B5EF4-FFF2-40B4-BE49-F238E27FC236}">
              <a16:creationId xmlns:a16="http://schemas.microsoft.com/office/drawing/2014/main" id="{BA41A93E-1F1A-4FE0-BA97-B01C43C296F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4" name="Host Control  135" hidden="1">
          <a:extLst>
            <a:ext uri="{FF2B5EF4-FFF2-40B4-BE49-F238E27FC236}">
              <a16:creationId xmlns:a16="http://schemas.microsoft.com/office/drawing/2014/main" id="{5F990843-417E-414D-94FF-D62A2698C30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5" name="Host Control  136" hidden="1">
          <a:extLst>
            <a:ext uri="{FF2B5EF4-FFF2-40B4-BE49-F238E27FC236}">
              <a16:creationId xmlns:a16="http://schemas.microsoft.com/office/drawing/2014/main" id="{D72BE260-855C-492F-B714-E962F317ECF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6" name="Host Control  137" hidden="1">
          <a:extLst>
            <a:ext uri="{FF2B5EF4-FFF2-40B4-BE49-F238E27FC236}">
              <a16:creationId xmlns:a16="http://schemas.microsoft.com/office/drawing/2014/main" id="{44F12E9C-EB4F-4F74-BFF1-8FD5471D71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7" name="Host Control  138" hidden="1">
          <a:extLst>
            <a:ext uri="{FF2B5EF4-FFF2-40B4-BE49-F238E27FC236}">
              <a16:creationId xmlns:a16="http://schemas.microsoft.com/office/drawing/2014/main" id="{4A30B2C9-8109-4687-A3DA-662FE3F3C95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8" name="Host Control  139" hidden="1">
          <a:extLst>
            <a:ext uri="{FF2B5EF4-FFF2-40B4-BE49-F238E27FC236}">
              <a16:creationId xmlns:a16="http://schemas.microsoft.com/office/drawing/2014/main" id="{C57A80F8-769D-43A5-9874-D9271036F32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9" name="Host Control  140" hidden="1">
          <a:extLst>
            <a:ext uri="{FF2B5EF4-FFF2-40B4-BE49-F238E27FC236}">
              <a16:creationId xmlns:a16="http://schemas.microsoft.com/office/drawing/2014/main" id="{D85D8A48-F394-497E-A87C-E06F185D1A5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0" name="Host Control  141" hidden="1">
          <a:extLst>
            <a:ext uri="{FF2B5EF4-FFF2-40B4-BE49-F238E27FC236}">
              <a16:creationId xmlns:a16="http://schemas.microsoft.com/office/drawing/2014/main" id="{9C7AE41E-91DB-40AC-AD28-D2B3B348D8E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1" name="Host Control  142" hidden="1">
          <a:extLst>
            <a:ext uri="{FF2B5EF4-FFF2-40B4-BE49-F238E27FC236}">
              <a16:creationId xmlns:a16="http://schemas.microsoft.com/office/drawing/2014/main" id="{98EE31F9-ADF4-46CB-9351-2C4EAC779E2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2" name="Host Control  143" hidden="1">
          <a:extLst>
            <a:ext uri="{FF2B5EF4-FFF2-40B4-BE49-F238E27FC236}">
              <a16:creationId xmlns:a16="http://schemas.microsoft.com/office/drawing/2014/main" id="{01EEAE52-020A-49D0-9302-2E3449191BE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3" name="Host Control  144" hidden="1">
          <a:extLst>
            <a:ext uri="{FF2B5EF4-FFF2-40B4-BE49-F238E27FC236}">
              <a16:creationId xmlns:a16="http://schemas.microsoft.com/office/drawing/2014/main" id="{BB230F49-AC1A-4E76-AE21-B0E16FA8E45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4" name="Host Control  145" hidden="1">
          <a:extLst>
            <a:ext uri="{FF2B5EF4-FFF2-40B4-BE49-F238E27FC236}">
              <a16:creationId xmlns:a16="http://schemas.microsoft.com/office/drawing/2014/main" id="{281E0B1B-9110-43FF-9274-07AE2A1996C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5" name="Host Control  146" hidden="1">
          <a:extLst>
            <a:ext uri="{FF2B5EF4-FFF2-40B4-BE49-F238E27FC236}">
              <a16:creationId xmlns:a16="http://schemas.microsoft.com/office/drawing/2014/main" id="{DCA2BD35-1F3D-40E1-81BA-ADD72CAD578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6" name="Host Control  147" hidden="1">
          <a:extLst>
            <a:ext uri="{FF2B5EF4-FFF2-40B4-BE49-F238E27FC236}">
              <a16:creationId xmlns:a16="http://schemas.microsoft.com/office/drawing/2014/main" id="{B9007358-BE0D-46F1-9D70-967670DFA2B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7" name="Host Control  148" hidden="1">
          <a:extLst>
            <a:ext uri="{FF2B5EF4-FFF2-40B4-BE49-F238E27FC236}">
              <a16:creationId xmlns:a16="http://schemas.microsoft.com/office/drawing/2014/main" id="{FBD19FF5-07D5-40D3-A918-CEB438016D7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8" name="Host Control  149" hidden="1">
          <a:extLst>
            <a:ext uri="{FF2B5EF4-FFF2-40B4-BE49-F238E27FC236}">
              <a16:creationId xmlns:a16="http://schemas.microsoft.com/office/drawing/2014/main" id="{CF5653BB-571E-48BB-BDC2-BC8D8B802BC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9" name="Host Control  150" hidden="1">
          <a:extLst>
            <a:ext uri="{FF2B5EF4-FFF2-40B4-BE49-F238E27FC236}">
              <a16:creationId xmlns:a16="http://schemas.microsoft.com/office/drawing/2014/main" id="{9A4C7027-D872-4C75-A004-361A6C2F869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0" name="Host Control  151" hidden="1">
          <a:extLst>
            <a:ext uri="{FF2B5EF4-FFF2-40B4-BE49-F238E27FC236}">
              <a16:creationId xmlns:a16="http://schemas.microsoft.com/office/drawing/2014/main" id="{C2A8779A-5D8E-4D47-B826-4F44BBB03FD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1" name="Host Control  152" hidden="1">
          <a:extLst>
            <a:ext uri="{FF2B5EF4-FFF2-40B4-BE49-F238E27FC236}">
              <a16:creationId xmlns:a16="http://schemas.microsoft.com/office/drawing/2014/main" id="{0EEF4E17-78E7-4874-9216-45D923DD8E8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2" name="Host Control  153" hidden="1">
          <a:extLst>
            <a:ext uri="{FF2B5EF4-FFF2-40B4-BE49-F238E27FC236}">
              <a16:creationId xmlns:a16="http://schemas.microsoft.com/office/drawing/2014/main" id="{B617BF82-2826-4580-AD98-DBC10F6264F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3" name="Host Control  154" hidden="1">
          <a:extLst>
            <a:ext uri="{FF2B5EF4-FFF2-40B4-BE49-F238E27FC236}">
              <a16:creationId xmlns:a16="http://schemas.microsoft.com/office/drawing/2014/main" id="{72B9265A-6664-4F99-9D3D-F921F49F194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4" name="Host Control  155" hidden="1">
          <a:extLst>
            <a:ext uri="{FF2B5EF4-FFF2-40B4-BE49-F238E27FC236}">
              <a16:creationId xmlns:a16="http://schemas.microsoft.com/office/drawing/2014/main" id="{D0FBE559-3032-4C23-BAC8-32D87BBC76D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5" name="Host Control  156" hidden="1">
          <a:extLst>
            <a:ext uri="{FF2B5EF4-FFF2-40B4-BE49-F238E27FC236}">
              <a16:creationId xmlns:a16="http://schemas.microsoft.com/office/drawing/2014/main" id="{BE6EA452-826E-4204-A377-26AAF792D16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6" name="Host Control  157" hidden="1">
          <a:extLst>
            <a:ext uri="{FF2B5EF4-FFF2-40B4-BE49-F238E27FC236}">
              <a16:creationId xmlns:a16="http://schemas.microsoft.com/office/drawing/2014/main" id="{9CA07D41-9012-4E54-802E-28E7E3234CE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7" name="Host Control  158" hidden="1">
          <a:extLst>
            <a:ext uri="{FF2B5EF4-FFF2-40B4-BE49-F238E27FC236}">
              <a16:creationId xmlns:a16="http://schemas.microsoft.com/office/drawing/2014/main" id="{E3CD3E5C-E3CD-4561-8369-7A1559821C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8" name="Host Control  159" hidden="1">
          <a:extLst>
            <a:ext uri="{FF2B5EF4-FFF2-40B4-BE49-F238E27FC236}">
              <a16:creationId xmlns:a16="http://schemas.microsoft.com/office/drawing/2014/main" id="{4F00022D-2900-4031-82F4-821117EB1A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9" name="Host Control  160" hidden="1">
          <a:extLst>
            <a:ext uri="{FF2B5EF4-FFF2-40B4-BE49-F238E27FC236}">
              <a16:creationId xmlns:a16="http://schemas.microsoft.com/office/drawing/2014/main" id="{95694160-9728-4B1D-9CD5-CDA7093B037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0" name="Host Control  161" hidden="1">
          <a:extLst>
            <a:ext uri="{FF2B5EF4-FFF2-40B4-BE49-F238E27FC236}">
              <a16:creationId xmlns:a16="http://schemas.microsoft.com/office/drawing/2014/main" id="{AE63CA7A-0BAC-47C6-920B-1ED40C3C6B6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1" name="Host Control  162" hidden="1">
          <a:extLst>
            <a:ext uri="{FF2B5EF4-FFF2-40B4-BE49-F238E27FC236}">
              <a16:creationId xmlns:a16="http://schemas.microsoft.com/office/drawing/2014/main" id="{5DE68A08-18B4-43EA-854D-3C6BDE4A24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2" name="Host Control  163" hidden="1">
          <a:extLst>
            <a:ext uri="{FF2B5EF4-FFF2-40B4-BE49-F238E27FC236}">
              <a16:creationId xmlns:a16="http://schemas.microsoft.com/office/drawing/2014/main" id="{CFA30C93-E615-474E-87C5-F3B2126E6A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3" name="Host Control  164" hidden="1">
          <a:extLst>
            <a:ext uri="{FF2B5EF4-FFF2-40B4-BE49-F238E27FC236}">
              <a16:creationId xmlns:a16="http://schemas.microsoft.com/office/drawing/2014/main" id="{02392D58-7C58-4329-976B-590B7CC917D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4" name="Host Control  168" hidden="1">
          <a:extLst>
            <a:ext uri="{FF2B5EF4-FFF2-40B4-BE49-F238E27FC236}">
              <a16:creationId xmlns:a16="http://schemas.microsoft.com/office/drawing/2014/main" id="{CF261669-4C92-404C-A62E-96D3DE1538E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5" name="Host Control  169" hidden="1">
          <a:extLst>
            <a:ext uri="{FF2B5EF4-FFF2-40B4-BE49-F238E27FC236}">
              <a16:creationId xmlns:a16="http://schemas.microsoft.com/office/drawing/2014/main" id="{B91F5004-E706-4D5F-B913-A3D1AD1266B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6" name="Host Control  170" hidden="1">
          <a:extLst>
            <a:ext uri="{FF2B5EF4-FFF2-40B4-BE49-F238E27FC236}">
              <a16:creationId xmlns:a16="http://schemas.microsoft.com/office/drawing/2014/main" id="{9298BDD8-6491-48AE-9D29-6680B79DC68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7" name="Host Control  171" hidden="1">
          <a:extLst>
            <a:ext uri="{FF2B5EF4-FFF2-40B4-BE49-F238E27FC236}">
              <a16:creationId xmlns:a16="http://schemas.microsoft.com/office/drawing/2014/main" id="{979B0FF6-C9F3-403A-B47D-00EC83EAE66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8" name="Host Control  172" hidden="1">
          <a:extLst>
            <a:ext uri="{FF2B5EF4-FFF2-40B4-BE49-F238E27FC236}">
              <a16:creationId xmlns:a16="http://schemas.microsoft.com/office/drawing/2014/main" id="{1B17F17E-3B78-4C1A-A681-D7C4FBD6681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9" name="Host Control  173" hidden="1">
          <a:extLst>
            <a:ext uri="{FF2B5EF4-FFF2-40B4-BE49-F238E27FC236}">
              <a16:creationId xmlns:a16="http://schemas.microsoft.com/office/drawing/2014/main" id="{DBC7D935-B531-4628-8D14-9FB942927A2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0" name="Host Control  174" hidden="1">
          <a:extLst>
            <a:ext uri="{FF2B5EF4-FFF2-40B4-BE49-F238E27FC236}">
              <a16:creationId xmlns:a16="http://schemas.microsoft.com/office/drawing/2014/main" id="{28634E5F-20FA-44F0-88A2-717BBFD88D5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1" name="Host Control  175" hidden="1">
          <a:extLst>
            <a:ext uri="{FF2B5EF4-FFF2-40B4-BE49-F238E27FC236}">
              <a16:creationId xmlns:a16="http://schemas.microsoft.com/office/drawing/2014/main" id="{5114D12B-7EC6-4741-B117-C39E18089E4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2" name="Host Control  176" hidden="1">
          <a:extLst>
            <a:ext uri="{FF2B5EF4-FFF2-40B4-BE49-F238E27FC236}">
              <a16:creationId xmlns:a16="http://schemas.microsoft.com/office/drawing/2014/main" id="{7B2D304D-1F24-49E1-80A5-001BD499E5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3" name="Host Control  177" hidden="1">
          <a:extLst>
            <a:ext uri="{FF2B5EF4-FFF2-40B4-BE49-F238E27FC236}">
              <a16:creationId xmlns:a16="http://schemas.microsoft.com/office/drawing/2014/main" id="{AE4493BA-33B4-4441-B3BE-7CBC7F8242A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4" name="Host Control  178" hidden="1">
          <a:extLst>
            <a:ext uri="{FF2B5EF4-FFF2-40B4-BE49-F238E27FC236}">
              <a16:creationId xmlns:a16="http://schemas.microsoft.com/office/drawing/2014/main" id="{03D5A72E-2E83-4821-91B8-0CC1D6E8A75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5" name="Host Control  179" hidden="1">
          <a:extLst>
            <a:ext uri="{FF2B5EF4-FFF2-40B4-BE49-F238E27FC236}">
              <a16:creationId xmlns:a16="http://schemas.microsoft.com/office/drawing/2014/main" id="{C37E8F17-AD58-49CC-AED1-4CF800485A4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6" name="Host Control  180" hidden="1">
          <a:extLst>
            <a:ext uri="{FF2B5EF4-FFF2-40B4-BE49-F238E27FC236}">
              <a16:creationId xmlns:a16="http://schemas.microsoft.com/office/drawing/2014/main" id="{01075E6F-5772-401E-A80E-5500E545DC8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7" name="Host Control  181" hidden="1">
          <a:extLst>
            <a:ext uri="{FF2B5EF4-FFF2-40B4-BE49-F238E27FC236}">
              <a16:creationId xmlns:a16="http://schemas.microsoft.com/office/drawing/2014/main" id="{F471EAF0-211F-43C8-ABF4-3257A4BC1A0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8" name="Host Control  182" hidden="1">
          <a:extLst>
            <a:ext uri="{FF2B5EF4-FFF2-40B4-BE49-F238E27FC236}">
              <a16:creationId xmlns:a16="http://schemas.microsoft.com/office/drawing/2014/main" id="{BEA321D9-722D-457E-9691-B5DF5465E69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9" name="Host Control  183" hidden="1">
          <a:extLst>
            <a:ext uri="{FF2B5EF4-FFF2-40B4-BE49-F238E27FC236}">
              <a16:creationId xmlns:a16="http://schemas.microsoft.com/office/drawing/2014/main" id="{BF12E508-CF1B-4171-A874-59789E2A000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0" name="Host Control  184" hidden="1">
          <a:extLst>
            <a:ext uri="{FF2B5EF4-FFF2-40B4-BE49-F238E27FC236}">
              <a16:creationId xmlns:a16="http://schemas.microsoft.com/office/drawing/2014/main" id="{B63914EC-7A0F-4385-977F-9D60509DAFB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1" name="Host Control  185" hidden="1">
          <a:extLst>
            <a:ext uri="{FF2B5EF4-FFF2-40B4-BE49-F238E27FC236}">
              <a16:creationId xmlns:a16="http://schemas.microsoft.com/office/drawing/2014/main" id="{99DEC035-4C29-49C5-9ECE-9D9484975E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2" name="Host Control  186" hidden="1">
          <a:extLst>
            <a:ext uri="{FF2B5EF4-FFF2-40B4-BE49-F238E27FC236}">
              <a16:creationId xmlns:a16="http://schemas.microsoft.com/office/drawing/2014/main" id="{D70BA0EA-C53B-4E36-946D-66682C58FD5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3" name="Host Control  187" hidden="1">
          <a:extLst>
            <a:ext uri="{FF2B5EF4-FFF2-40B4-BE49-F238E27FC236}">
              <a16:creationId xmlns:a16="http://schemas.microsoft.com/office/drawing/2014/main" id="{CFEDD529-9A66-4C4C-B124-4365F748706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4" name="Host Control  188" hidden="1">
          <a:extLst>
            <a:ext uri="{FF2B5EF4-FFF2-40B4-BE49-F238E27FC236}">
              <a16:creationId xmlns:a16="http://schemas.microsoft.com/office/drawing/2014/main" id="{FF8A743B-2363-47B8-9AC2-D5FB83D7B9F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5" name="Host Control  189" hidden="1">
          <a:extLst>
            <a:ext uri="{FF2B5EF4-FFF2-40B4-BE49-F238E27FC236}">
              <a16:creationId xmlns:a16="http://schemas.microsoft.com/office/drawing/2014/main" id="{684A8C6C-1C65-4326-849B-0F737FEEF8E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6" name="Host Control  190" hidden="1">
          <a:extLst>
            <a:ext uri="{FF2B5EF4-FFF2-40B4-BE49-F238E27FC236}">
              <a16:creationId xmlns:a16="http://schemas.microsoft.com/office/drawing/2014/main" id="{6B13AF41-77BB-4797-81D4-CFCDA776764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7" name="Host Control  191" hidden="1">
          <a:extLst>
            <a:ext uri="{FF2B5EF4-FFF2-40B4-BE49-F238E27FC236}">
              <a16:creationId xmlns:a16="http://schemas.microsoft.com/office/drawing/2014/main" id="{8D5ACFAC-B896-4D49-B2FC-B6A1BF8EFA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8" name="Host Control  192" hidden="1">
          <a:extLst>
            <a:ext uri="{FF2B5EF4-FFF2-40B4-BE49-F238E27FC236}">
              <a16:creationId xmlns:a16="http://schemas.microsoft.com/office/drawing/2014/main" id="{9E103DB4-E693-4F27-840B-4C0D93B8B4A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9" name="Host Control  193" hidden="1">
          <a:extLst>
            <a:ext uri="{FF2B5EF4-FFF2-40B4-BE49-F238E27FC236}">
              <a16:creationId xmlns:a16="http://schemas.microsoft.com/office/drawing/2014/main" id="{ECEDD222-82A9-457E-8B73-C9E624F6EC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0" name="Host Control  194" hidden="1">
          <a:extLst>
            <a:ext uri="{FF2B5EF4-FFF2-40B4-BE49-F238E27FC236}">
              <a16:creationId xmlns:a16="http://schemas.microsoft.com/office/drawing/2014/main" id="{57E20252-2C6E-44AE-B532-1829659A37E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1" name="Host Control  195" hidden="1">
          <a:extLst>
            <a:ext uri="{FF2B5EF4-FFF2-40B4-BE49-F238E27FC236}">
              <a16:creationId xmlns:a16="http://schemas.microsoft.com/office/drawing/2014/main" id="{B3643824-7D7C-422C-8C13-E2EEE8BEDC5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2" name="Host Control  196" hidden="1">
          <a:extLst>
            <a:ext uri="{FF2B5EF4-FFF2-40B4-BE49-F238E27FC236}">
              <a16:creationId xmlns:a16="http://schemas.microsoft.com/office/drawing/2014/main" id="{F91E48EF-AA95-4800-BDE3-06BEA556B8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3" name="Host Control  197" hidden="1">
          <a:extLst>
            <a:ext uri="{FF2B5EF4-FFF2-40B4-BE49-F238E27FC236}">
              <a16:creationId xmlns:a16="http://schemas.microsoft.com/office/drawing/2014/main" id="{81F1DEF4-75DA-44A2-A263-87A1962865F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4" name="Host Control  201" hidden="1">
          <a:extLst>
            <a:ext uri="{FF2B5EF4-FFF2-40B4-BE49-F238E27FC236}">
              <a16:creationId xmlns:a16="http://schemas.microsoft.com/office/drawing/2014/main" id="{9475DC7F-1E32-46EB-BD83-EDB1756EDC8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5" name="Host Control  202" hidden="1">
          <a:extLst>
            <a:ext uri="{FF2B5EF4-FFF2-40B4-BE49-F238E27FC236}">
              <a16:creationId xmlns:a16="http://schemas.microsoft.com/office/drawing/2014/main" id="{6862AFCF-5112-47B6-9141-C7F1293BDDF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6" name="Host Control  203" hidden="1">
          <a:extLst>
            <a:ext uri="{FF2B5EF4-FFF2-40B4-BE49-F238E27FC236}">
              <a16:creationId xmlns:a16="http://schemas.microsoft.com/office/drawing/2014/main" id="{A598CE16-8739-4ABE-B238-4823CA5D5F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7" name="Host Control  204" hidden="1">
          <a:extLst>
            <a:ext uri="{FF2B5EF4-FFF2-40B4-BE49-F238E27FC236}">
              <a16:creationId xmlns:a16="http://schemas.microsoft.com/office/drawing/2014/main" id="{6DECA865-2445-4B9D-950E-5F75F3FD61C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8" name="Host Control  205" hidden="1">
          <a:extLst>
            <a:ext uri="{FF2B5EF4-FFF2-40B4-BE49-F238E27FC236}">
              <a16:creationId xmlns:a16="http://schemas.microsoft.com/office/drawing/2014/main" id="{5DA8637E-B388-4451-915B-74CBBEDBF64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9" name="Host Control  206" hidden="1">
          <a:extLst>
            <a:ext uri="{FF2B5EF4-FFF2-40B4-BE49-F238E27FC236}">
              <a16:creationId xmlns:a16="http://schemas.microsoft.com/office/drawing/2014/main" id="{B58DF2A9-4464-4403-8703-4C3464F82F2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0" name="Host Control  207" hidden="1">
          <a:extLst>
            <a:ext uri="{FF2B5EF4-FFF2-40B4-BE49-F238E27FC236}">
              <a16:creationId xmlns:a16="http://schemas.microsoft.com/office/drawing/2014/main" id="{9BAE7650-9FE2-4397-B474-076DF76BC6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1" name="Host Control  208" hidden="1">
          <a:extLst>
            <a:ext uri="{FF2B5EF4-FFF2-40B4-BE49-F238E27FC236}">
              <a16:creationId xmlns:a16="http://schemas.microsoft.com/office/drawing/2014/main" id="{43D9C933-166A-4709-BA2C-49F495A7B2D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2" name="Host Control  209" hidden="1">
          <a:extLst>
            <a:ext uri="{FF2B5EF4-FFF2-40B4-BE49-F238E27FC236}">
              <a16:creationId xmlns:a16="http://schemas.microsoft.com/office/drawing/2014/main" id="{56B7A06B-01B2-4829-B821-2FD7E32375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3" name="Host Control  210" hidden="1">
          <a:extLst>
            <a:ext uri="{FF2B5EF4-FFF2-40B4-BE49-F238E27FC236}">
              <a16:creationId xmlns:a16="http://schemas.microsoft.com/office/drawing/2014/main" id="{04BFE34B-21F1-4702-9709-17DF3A6D404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4" name="Host Control  211" hidden="1">
          <a:extLst>
            <a:ext uri="{FF2B5EF4-FFF2-40B4-BE49-F238E27FC236}">
              <a16:creationId xmlns:a16="http://schemas.microsoft.com/office/drawing/2014/main" id="{7BD07F77-198E-4FA6-9E0E-8F35B7EE9B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5" name="Host Control  212" hidden="1">
          <a:extLst>
            <a:ext uri="{FF2B5EF4-FFF2-40B4-BE49-F238E27FC236}">
              <a16:creationId xmlns:a16="http://schemas.microsoft.com/office/drawing/2014/main" id="{2FCB32CA-9547-4FF8-8450-B42DE77739C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6" name="Host Control  213" hidden="1">
          <a:extLst>
            <a:ext uri="{FF2B5EF4-FFF2-40B4-BE49-F238E27FC236}">
              <a16:creationId xmlns:a16="http://schemas.microsoft.com/office/drawing/2014/main" id="{AD26EB23-95CE-452D-9158-A5725CB3261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7" name="Host Control  214" hidden="1">
          <a:extLst>
            <a:ext uri="{FF2B5EF4-FFF2-40B4-BE49-F238E27FC236}">
              <a16:creationId xmlns:a16="http://schemas.microsoft.com/office/drawing/2014/main" id="{25BE3B2E-4D73-4B48-B8B2-98399713E32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8" name="Host Control  215" hidden="1">
          <a:extLst>
            <a:ext uri="{FF2B5EF4-FFF2-40B4-BE49-F238E27FC236}">
              <a16:creationId xmlns:a16="http://schemas.microsoft.com/office/drawing/2014/main" id="{36777CA8-CD7D-468D-995A-55C65EA0A50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9" name="Host Control  216" hidden="1">
          <a:extLst>
            <a:ext uri="{FF2B5EF4-FFF2-40B4-BE49-F238E27FC236}">
              <a16:creationId xmlns:a16="http://schemas.microsoft.com/office/drawing/2014/main" id="{66C5E3A3-A913-4D66-B729-A79F005F502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0" name="Host Control  217" hidden="1">
          <a:extLst>
            <a:ext uri="{FF2B5EF4-FFF2-40B4-BE49-F238E27FC236}">
              <a16:creationId xmlns:a16="http://schemas.microsoft.com/office/drawing/2014/main" id="{358E81B9-0F30-41CD-BB71-A912C5E44F8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1" name="Host Control  218" hidden="1">
          <a:extLst>
            <a:ext uri="{FF2B5EF4-FFF2-40B4-BE49-F238E27FC236}">
              <a16:creationId xmlns:a16="http://schemas.microsoft.com/office/drawing/2014/main" id="{6F5A633B-37BC-41F8-ADE8-ECD097E339B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2" name="Host Control  219" hidden="1">
          <a:extLst>
            <a:ext uri="{FF2B5EF4-FFF2-40B4-BE49-F238E27FC236}">
              <a16:creationId xmlns:a16="http://schemas.microsoft.com/office/drawing/2014/main" id="{4B425553-47D6-44B0-A65A-D56DB3692F1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3" name="Host Control  220" hidden="1">
          <a:extLst>
            <a:ext uri="{FF2B5EF4-FFF2-40B4-BE49-F238E27FC236}">
              <a16:creationId xmlns:a16="http://schemas.microsoft.com/office/drawing/2014/main" id="{79A52A11-B46E-4E66-8518-0207BD864B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4" name="Host Control  221" hidden="1">
          <a:extLst>
            <a:ext uri="{FF2B5EF4-FFF2-40B4-BE49-F238E27FC236}">
              <a16:creationId xmlns:a16="http://schemas.microsoft.com/office/drawing/2014/main" id="{B10ADF22-4B2B-4EF1-8243-47082BFE73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5" name="Host Control  222" hidden="1">
          <a:extLst>
            <a:ext uri="{FF2B5EF4-FFF2-40B4-BE49-F238E27FC236}">
              <a16:creationId xmlns:a16="http://schemas.microsoft.com/office/drawing/2014/main" id="{53C7867F-B694-4B7E-BDB0-8E0A09E17C3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6" name="Host Control  223" hidden="1">
          <a:extLst>
            <a:ext uri="{FF2B5EF4-FFF2-40B4-BE49-F238E27FC236}">
              <a16:creationId xmlns:a16="http://schemas.microsoft.com/office/drawing/2014/main" id="{F6C3A795-F9A8-4CF0-8B31-852F4EC7898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7" name="Host Control  224" hidden="1">
          <a:extLst>
            <a:ext uri="{FF2B5EF4-FFF2-40B4-BE49-F238E27FC236}">
              <a16:creationId xmlns:a16="http://schemas.microsoft.com/office/drawing/2014/main" id="{5522D427-8E1D-4B0C-8916-2594F018511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8" name="Host Control  225" hidden="1">
          <a:extLst>
            <a:ext uri="{FF2B5EF4-FFF2-40B4-BE49-F238E27FC236}">
              <a16:creationId xmlns:a16="http://schemas.microsoft.com/office/drawing/2014/main" id="{FDFEC266-ED00-42A5-A8AD-AE777BE86C4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9" name="Host Control  226" hidden="1">
          <a:extLst>
            <a:ext uri="{FF2B5EF4-FFF2-40B4-BE49-F238E27FC236}">
              <a16:creationId xmlns:a16="http://schemas.microsoft.com/office/drawing/2014/main" id="{02E0E98F-665B-4F33-AE9D-5AF2955895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0" name="Host Control  227" hidden="1">
          <a:extLst>
            <a:ext uri="{FF2B5EF4-FFF2-40B4-BE49-F238E27FC236}">
              <a16:creationId xmlns:a16="http://schemas.microsoft.com/office/drawing/2014/main" id="{468591B4-5940-4674-8EF7-5EF8444E2F7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1" name="Host Control  228" hidden="1">
          <a:extLst>
            <a:ext uri="{FF2B5EF4-FFF2-40B4-BE49-F238E27FC236}">
              <a16:creationId xmlns:a16="http://schemas.microsoft.com/office/drawing/2014/main" id="{83F6DBC8-5E93-4BC0-A70B-94F85D4D0DF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2" name="Host Control  229" hidden="1">
          <a:extLst>
            <a:ext uri="{FF2B5EF4-FFF2-40B4-BE49-F238E27FC236}">
              <a16:creationId xmlns:a16="http://schemas.microsoft.com/office/drawing/2014/main" id="{7BF398FA-D029-4C42-AAE2-DEFDB68A5E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3" name="Host Control  230" hidden="1">
          <a:extLst>
            <a:ext uri="{FF2B5EF4-FFF2-40B4-BE49-F238E27FC236}">
              <a16:creationId xmlns:a16="http://schemas.microsoft.com/office/drawing/2014/main" id="{1035E8B5-8B5A-4964-A416-CB1ABC49054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4" name="Host Control  234" hidden="1">
          <a:extLst>
            <a:ext uri="{FF2B5EF4-FFF2-40B4-BE49-F238E27FC236}">
              <a16:creationId xmlns:a16="http://schemas.microsoft.com/office/drawing/2014/main" id="{403DC98B-76FF-4356-AFD7-2ADB448BC6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5" name="Host Control  235" hidden="1">
          <a:extLst>
            <a:ext uri="{FF2B5EF4-FFF2-40B4-BE49-F238E27FC236}">
              <a16:creationId xmlns:a16="http://schemas.microsoft.com/office/drawing/2014/main" id="{F3BE0EE3-3DC6-459C-AF11-F0EDAED628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6" name="Host Control  236" hidden="1">
          <a:extLst>
            <a:ext uri="{FF2B5EF4-FFF2-40B4-BE49-F238E27FC236}">
              <a16:creationId xmlns:a16="http://schemas.microsoft.com/office/drawing/2014/main" id="{C003E4F6-7A56-4D60-B5EF-CEF08BC0DE7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7" name="Host Control  237" hidden="1">
          <a:extLst>
            <a:ext uri="{FF2B5EF4-FFF2-40B4-BE49-F238E27FC236}">
              <a16:creationId xmlns:a16="http://schemas.microsoft.com/office/drawing/2014/main" id="{5C983033-D180-4174-9C88-0D4DD66C05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8" name="Host Control  238" hidden="1">
          <a:extLst>
            <a:ext uri="{FF2B5EF4-FFF2-40B4-BE49-F238E27FC236}">
              <a16:creationId xmlns:a16="http://schemas.microsoft.com/office/drawing/2014/main" id="{8B25544A-7FDF-4080-9678-B064427CC94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9" name="Host Control  239" hidden="1">
          <a:extLst>
            <a:ext uri="{FF2B5EF4-FFF2-40B4-BE49-F238E27FC236}">
              <a16:creationId xmlns:a16="http://schemas.microsoft.com/office/drawing/2014/main" id="{6AA5B296-BF76-4FDD-84A9-D9473AC373A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0" name="Host Control  240" hidden="1">
          <a:extLst>
            <a:ext uri="{FF2B5EF4-FFF2-40B4-BE49-F238E27FC236}">
              <a16:creationId xmlns:a16="http://schemas.microsoft.com/office/drawing/2014/main" id="{F0667578-1335-4DB7-8382-AF887C7405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1" name="Host Control  241" hidden="1">
          <a:extLst>
            <a:ext uri="{FF2B5EF4-FFF2-40B4-BE49-F238E27FC236}">
              <a16:creationId xmlns:a16="http://schemas.microsoft.com/office/drawing/2014/main" id="{892F424F-BEB1-42C0-8ABE-BD491C56B8F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2" name="Host Control  242" hidden="1">
          <a:extLst>
            <a:ext uri="{FF2B5EF4-FFF2-40B4-BE49-F238E27FC236}">
              <a16:creationId xmlns:a16="http://schemas.microsoft.com/office/drawing/2014/main" id="{050C5CCC-96A9-4A49-AAF0-A3009B44A7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3" name="Host Control  243" hidden="1">
          <a:extLst>
            <a:ext uri="{FF2B5EF4-FFF2-40B4-BE49-F238E27FC236}">
              <a16:creationId xmlns:a16="http://schemas.microsoft.com/office/drawing/2014/main" id="{256C8847-F06E-44DF-93CC-5A4F1738DE1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4" name="Host Control  244" hidden="1">
          <a:extLst>
            <a:ext uri="{FF2B5EF4-FFF2-40B4-BE49-F238E27FC236}">
              <a16:creationId xmlns:a16="http://schemas.microsoft.com/office/drawing/2014/main" id="{BD52CFA6-8826-48AD-929B-A6FF2A9F70E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5" name="Host Control  245" hidden="1">
          <a:extLst>
            <a:ext uri="{FF2B5EF4-FFF2-40B4-BE49-F238E27FC236}">
              <a16:creationId xmlns:a16="http://schemas.microsoft.com/office/drawing/2014/main" id="{C2D187AF-8B6B-4B3F-AC8B-D1D535DB6CD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6" name="Host Control  246" hidden="1">
          <a:extLst>
            <a:ext uri="{FF2B5EF4-FFF2-40B4-BE49-F238E27FC236}">
              <a16:creationId xmlns:a16="http://schemas.microsoft.com/office/drawing/2014/main" id="{BB97B777-13A0-41CA-BEB5-604060A0C8A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7" name="Host Control  247" hidden="1">
          <a:extLst>
            <a:ext uri="{FF2B5EF4-FFF2-40B4-BE49-F238E27FC236}">
              <a16:creationId xmlns:a16="http://schemas.microsoft.com/office/drawing/2014/main" id="{41A4C94D-C98B-424D-BC49-873FB74C5D7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8" name="Host Control  248" hidden="1">
          <a:extLst>
            <a:ext uri="{FF2B5EF4-FFF2-40B4-BE49-F238E27FC236}">
              <a16:creationId xmlns:a16="http://schemas.microsoft.com/office/drawing/2014/main" id="{E71FE3A6-3953-4CF0-96B0-0421065DC19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9" name="Host Control  249" hidden="1">
          <a:extLst>
            <a:ext uri="{FF2B5EF4-FFF2-40B4-BE49-F238E27FC236}">
              <a16:creationId xmlns:a16="http://schemas.microsoft.com/office/drawing/2014/main" id="{4250CED9-56D8-442D-97C0-3746FDFB53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0" name="Host Control  250" hidden="1">
          <a:extLst>
            <a:ext uri="{FF2B5EF4-FFF2-40B4-BE49-F238E27FC236}">
              <a16:creationId xmlns:a16="http://schemas.microsoft.com/office/drawing/2014/main" id="{2B4115CE-5B7F-4333-8223-E0214B864D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1" name="Host Control  251" hidden="1">
          <a:extLst>
            <a:ext uri="{FF2B5EF4-FFF2-40B4-BE49-F238E27FC236}">
              <a16:creationId xmlns:a16="http://schemas.microsoft.com/office/drawing/2014/main" id="{15F6B05C-C8A6-4F30-9EE1-333240BFDF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2" name="Host Control  252" hidden="1">
          <a:extLst>
            <a:ext uri="{FF2B5EF4-FFF2-40B4-BE49-F238E27FC236}">
              <a16:creationId xmlns:a16="http://schemas.microsoft.com/office/drawing/2014/main" id="{D4CC3692-2082-43FA-B048-1F55EB1774F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3" name="Host Control  253" hidden="1">
          <a:extLst>
            <a:ext uri="{FF2B5EF4-FFF2-40B4-BE49-F238E27FC236}">
              <a16:creationId xmlns:a16="http://schemas.microsoft.com/office/drawing/2014/main" id="{A34AB076-DB3A-42C0-95B2-69C16DDE8E7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4" name="Host Control  254" hidden="1">
          <a:extLst>
            <a:ext uri="{FF2B5EF4-FFF2-40B4-BE49-F238E27FC236}">
              <a16:creationId xmlns:a16="http://schemas.microsoft.com/office/drawing/2014/main" id="{4CF1E1F2-0E28-45D2-86BB-482081E368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5" name="Host Control  255" hidden="1">
          <a:extLst>
            <a:ext uri="{FF2B5EF4-FFF2-40B4-BE49-F238E27FC236}">
              <a16:creationId xmlns:a16="http://schemas.microsoft.com/office/drawing/2014/main" id="{25A19CC9-24A3-4665-9A2B-48E14838789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6" name="Host Control  256" hidden="1">
          <a:extLst>
            <a:ext uri="{FF2B5EF4-FFF2-40B4-BE49-F238E27FC236}">
              <a16:creationId xmlns:a16="http://schemas.microsoft.com/office/drawing/2014/main" id="{3EB74835-9A2F-41A7-B3AE-711E090A13E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7" name="Host Control  257" hidden="1">
          <a:extLst>
            <a:ext uri="{FF2B5EF4-FFF2-40B4-BE49-F238E27FC236}">
              <a16:creationId xmlns:a16="http://schemas.microsoft.com/office/drawing/2014/main" id="{B659AD2E-CFA1-470C-B790-4FF5221497A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8" name="Host Control  258" hidden="1">
          <a:extLst>
            <a:ext uri="{FF2B5EF4-FFF2-40B4-BE49-F238E27FC236}">
              <a16:creationId xmlns:a16="http://schemas.microsoft.com/office/drawing/2014/main" id="{F1D94B26-2110-4603-8BAB-7A0375E880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9" name="Host Control  259" hidden="1">
          <a:extLst>
            <a:ext uri="{FF2B5EF4-FFF2-40B4-BE49-F238E27FC236}">
              <a16:creationId xmlns:a16="http://schemas.microsoft.com/office/drawing/2014/main" id="{79418EA9-3E1C-46F4-920A-BF3A705CD6C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0" name="Host Control  260" hidden="1">
          <a:extLst>
            <a:ext uri="{FF2B5EF4-FFF2-40B4-BE49-F238E27FC236}">
              <a16:creationId xmlns:a16="http://schemas.microsoft.com/office/drawing/2014/main" id="{DD793908-93AF-45BA-BC93-4BF8E3B42B1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1" name="Host Control  261" hidden="1">
          <a:extLst>
            <a:ext uri="{FF2B5EF4-FFF2-40B4-BE49-F238E27FC236}">
              <a16:creationId xmlns:a16="http://schemas.microsoft.com/office/drawing/2014/main" id="{BB5E7616-1D34-4BC9-9F23-5336ED3E55E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2" name="Host Control  262" hidden="1">
          <a:extLst>
            <a:ext uri="{FF2B5EF4-FFF2-40B4-BE49-F238E27FC236}">
              <a16:creationId xmlns:a16="http://schemas.microsoft.com/office/drawing/2014/main" id="{193B73D8-4F9C-4452-96DB-A6C86ED221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3" name="Host Control  263" hidden="1">
          <a:extLst>
            <a:ext uri="{FF2B5EF4-FFF2-40B4-BE49-F238E27FC236}">
              <a16:creationId xmlns:a16="http://schemas.microsoft.com/office/drawing/2014/main" id="{46CE0C8A-0F60-41CB-B779-D638AD8539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4" name="Host Control  267" hidden="1">
          <a:extLst>
            <a:ext uri="{FF2B5EF4-FFF2-40B4-BE49-F238E27FC236}">
              <a16:creationId xmlns:a16="http://schemas.microsoft.com/office/drawing/2014/main" id="{2C7A5ECF-3890-4679-83D4-37CCD777599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5" name="Host Control  268" hidden="1">
          <a:extLst>
            <a:ext uri="{FF2B5EF4-FFF2-40B4-BE49-F238E27FC236}">
              <a16:creationId xmlns:a16="http://schemas.microsoft.com/office/drawing/2014/main" id="{51ED7100-DF75-46FD-8413-4944B307383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6" name="Host Control  269" hidden="1">
          <a:extLst>
            <a:ext uri="{FF2B5EF4-FFF2-40B4-BE49-F238E27FC236}">
              <a16:creationId xmlns:a16="http://schemas.microsoft.com/office/drawing/2014/main" id="{2B9E4702-29DF-4914-BECF-651D96A102B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7" name="Host Control  270" hidden="1">
          <a:extLst>
            <a:ext uri="{FF2B5EF4-FFF2-40B4-BE49-F238E27FC236}">
              <a16:creationId xmlns:a16="http://schemas.microsoft.com/office/drawing/2014/main" id="{0EC91956-A2FB-4126-AB28-5A337E23D21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8" name="Host Control  271" hidden="1">
          <a:extLst>
            <a:ext uri="{FF2B5EF4-FFF2-40B4-BE49-F238E27FC236}">
              <a16:creationId xmlns:a16="http://schemas.microsoft.com/office/drawing/2014/main" id="{6388B6FF-8848-4C83-8485-D780D87E99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9" name="Host Control  272" hidden="1">
          <a:extLst>
            <a:ext uri="{FF2B5EF4-FFF2-40B4-BE49-F238E27FC236}">
              <a16:creationId xmlns:a16="http://schemas.microsoft.com/office/drawing/2014/main" id="{BA3C50CD-4DBF-44BD-A99D-66AC0D993B2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0" name="Host Control  273" hidden="1">
          <a:extLst>
            <a:ext uri="{FF2B5EF4-FFF2-40B4-BE49-F238E27FC236}">
              <a16:creationId xmlns:a16="http://schemas.microsoft.com/office/drawing/2014/main" id="{A657BA28-4A9B-4E49-9403-61F72EC76D3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1" name="Host Control  274" hidden="1">
          <a:extLst>
            <a:ext uri="{FF2B5EF4-FFF2-40B4-BE49-F238E27FC236}">
              <a16:creationId xmlns:a16="http://schemas.microsoft.com/office/drawing/2014/main" id="{6E05D307-37AB-42D9-9AFC-0C3F55EA9DE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2" name="Host Control  275" hidden="1">
          <a:extLst>
            <a:ext uri="{FF2B5EF4-FFF2-40B4-BE49-F238E27FC236}">
              <a16:creationId xmlns:a16="http://schemas.microsoft.com/office/drawing/2014/main" id="{8667DE2C-A6F1-404F-B662-1F66D6E246C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3" name="Host Control  276" hidden="1">
          <a:extLst>
            <a:ext uri="{FF2B5EF4-FFF2-40B4-BE49-F238E27FC236}">
              <a16:creationId xmlns:a16="http://schemas.microsoft.com/office/drawing/2014/main" id="{86A54568-03E5-44C4-80F7-EF63C974732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4" name="Host Control  277" hidden="1">
          <a:extLst>
            <a:ext uri="{FF2B5EF4-FFF2-40B4-BE49-F238E27FC236}">
              <a16:creationId xmlns:a16="http://schemas.microsoft.com/office/drawing/2014/main" id="{48C57665-EED4-4EB4-BCDB-AC879293DBB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5" name="Host Control  278" hidden="1">
          <a:extLst>
            <a:ext uri="{FF2B5EF4-FFF2-40B4-BE49-F238E27FC236}">
              <a16:creationId xmlns:a16="http://schemas.microsoft.com/office/drawing/2014/main" id="{F2BB8887-A662-44CA-ACA6-F8A5EE40F0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6" name="Host Control  279" hidden="1">
          <a:extLst>
            <a:ext uri="{FF2B5EF4-FFF2-40B4-BE49-F238E27FC236}">
              <a16:creationId xmlns:a16="http://schemas.microsoft.com/office/drawing/2014/main" id="{A7BB3422-D254-4C76-871B-6E5E062BAAE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7" name="Host Control  280" hidden="1">
          <a:extLst>
            <a:ext uri="{FF2B5EF4-FFF2-40B4-BE49-F238E27FC236}">
              <a16:creationId xmlns:a16="http://schemas.microsoft.com/office/drawing/2014/main" id="{E94663EF-A9AD-4426-820F-B632668456B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8" name="Host Control  281" hidden="1">
          <a:extLst>
            <a:ext uri="{FF2B5EF4-FFF2-40B4-BE49-F238E27FC236}">
              <a16:creationId xmlns:a16="http://schemas.microsoft.com/office/drawing/2014/main" id="{1AF141A2-DF4F-4DF4-B6E5-A4078EFF03A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9" name="Host Control  282" hidden="1">
          <a:extLst>
            <a:ext uri="{FF2B5EF4-FFF2-40B4-BE49-F238E27FC236}">
              <a16:creationId xmlns:a16="http://schemas.microsoft.com/office/drawing/2014/main" id="{C9E482C4-1326-4241-992B-1853513A512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0" name="Host Control  283" hidden="1">
          <a:extLst>
            <a:ext uri="{FF2B5EF4-FFF2-40B4-BE49-F238E27FC236}">
              <a16:creationId xmlns:a16="http://schemas.microsoft.com/office/drawing/2014/main" id="{91113A38-2407-48E7-9301-90FF173FE0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1" name="Host Control  284" hidden="1">
          <a:extLst>
            <a:ext uri="{FF2B5EF4-FFF2-40B4-BE49-F238E27FC236}">
              <a16:creationId xmlns:a16="http://schemas.microsoft.com/office/drawing/2014/main" id="{DBBBE654-C5EF-457C-B95B-1C6ACE539C9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2" name="Host Control  285" hidden="1">
          <a:extLst>
            <a:ext uri="{FF2B5EF4-FFF2-40B4-BE49-F238E27FC236}">
              <a16:creationId xmlns:a16="http://schemas.microsoft.com/office/drawing/2014/main" id="{9919E00E-DAF1-4537-933C-652FDC87B35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3" name="Host Control  286" hidden="1">
          <a:extLst>
            <a:ext uri="{FF2B5EF4-FFF2-40B4-BE49-F238E27FC236}">
              <a16:creationId xmlns:a16="http://schemas.microsoft.com/office/drawing/2014/main" id="{6789A189-9200-49D5-9D48-6D29728D9FC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4" name="Host Control  287" hidden="1">
          <a:extLst>
            <a:ext uri="{FF2B5EF4-FFF2-40B4-BE49-F238E27FC236}">
              <a16:creationId xmlns:a16="http://schemas.microsoft.com/office/drawing/2014/main" id="{F19CD714-5CA3-414B-B0E0-8DDF5E98EF9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5" name="Host Control  288" hidden="1">
          <a:extLst>
            <a:ext uri="{FF2B5EF4-FFF2-40B4-BE49-F238E27FC236}">
              <a16:creationId xmlns:a16="http://schemas.microsoft.com/office/drawing/2014/main" id="{B1CAD915-18E7-4962-8C8B-0B2BB499AF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6" name="Host Control  289" hidden="1">
          <a:extLst>
            <a:ext uri="{FF2B5EF4-FFF2-40B4-BE49-F238E27FC236}">
              <a16:creationId xmlns:a16="http://schemas.microsoft.com/office/drawing/2014/main" id="{90898A94-00C6-4726-949E-80A35225E2E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7" name="Host Control  290" hidden="1">
          <a:extLst>
            <a:ext uri="{FF2B5EF4-FFF2-40B4-BE49-F238E27FC236}">
              <a16:creationId xmlns:a16="http://schemas.microsoft.com/office/drawing/2014/main" id="{4B4BA0BB-6A04-43C1-9103-E58BFEDD503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8" name="Host Control  291" hidden="1">
          <a:extLst>
            <a:ext uri="{FF2B5EF4-FFF2-40B4-BE49-F238E27FC236}">
              <a16:creationId xmlns:a16="http://schemas.microsoft.com/office/drawing/2014/main" id="{CE219FBF-121B-4125-AD62-0CDC0897F4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9" name="Host Control  292" hidden="1">
          <a:extLst>
            <a:ext uri="{FF2B5EF4-FFF2-40B4-BE49-F238E27FC236}">
              <a16:creationId xmlns:a16="http://schemas.microsoft.com/office/drawing/2014/main" id="{27014734-F425-4628-BF29-EE3C9F5F3C3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0" name="Host Control  293" hidden="1">
          <a:extLst>
            <a:ext uri="{FF2B5EF4-FFF2-40B4-BE49-F238E27FC236}">
              <a16:creationId xmlns:a16="http://schemas.microsoft.com/office/drawing/2014/main" id="{77CCD67C-B338-401B-9814-F71E480FEC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1" name="Host Control  294" hidden="1">
          <a:extLst>
            <a:ext uri="{FF2B5EF4-FFF2-40B4-BE49-F238E27FC236}">
              <a16:creationId xmlns:a16="http://schemas.microsoft.com/office/drawing/2014/main" id="{4B9E642B-CC17-4CC7-B23B-9AC3BE117D1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2" name="Host Control  295" hidden="1">
          <a:extLst>
            <a:ext uri="{FF2B5EF4-FFF2-40B4-BE49-F238E27FC236}">
              <a16:creationId xmlns:a16="http://schemas.microsoft.com/office/drawing/2014/main" id="{7F7685ED-AEA8-4E8A-8C46-351FFF5C574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3" name="Host Control  296" hidden="1">
          <a:extLst>
            <a:ext uri="{FF2B5EF4-FFF2-40B4-BE49-F238E27FC236}">
              <a16:creationId xmlns:a16="http://schemas.microsoft.com/office/drawing/2014/main" id="{E4C47776-D822-48DB-AB27-39C4AB37C7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4" name="Host Control  32">
          <a:extLst>
            <a:ext uri="{FF2B5EF4-FFF2-40B4-BE49-F238E27FC236}">
              <a16:creationId xmlns:a16="http://schemas.microsoft.com/office/drawing/2014/main" id="{994779A9-1760-44D6-A733-782DB59DA8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5" name="Host Control  33">
          <a:extLst>
            <a:ext uri="{FF2B5EF4-FFF2-40B4-BE49-F238E27FC236}">
              <a16:creationId xmlns:a16="http://schemas.microsoft.com/office/drawing/2014/main" id="{59376ABC-DF95-47F1-BD7F-C3317796378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6" name="Host Control  34">
          <a:extLst>
            <a:ext uri="{FF2B5EF4-FFF2-40B4-BE49-F238E27FC236}">
              <a16:creationId xmlns:a16="http://schemas.microsoft.com/office/drawing/2014/main" id="{13958909-E9C2-4B5C-AF3A-A2BC3DF182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7" name="Host Control  35">
          <a:extLst>
            <a:ext uri="{FF2B5EF4-FFF2-40B4-BE49-F238E27FC236}">
              <a16:creationId xmlns:a16="http://schemas.microsoft.com/office/drawing/2014/main" id="{8D9BC970-BAB8-43F8-AAFB-6F0B9093175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8" name="Host Control  36">
          <a:extLst>
            <a:ext uri="{FF2B5EF4-FFF2-40B4-BE49-F238E27FC236}">
              <a16:creationId xmlns:a16="http://schemas.microsoft.com/office/drawing/2014/main" id="{362D5545-7322-4D08-957C-8590B8E1680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9" name="Host Control  37">
          <a:extLst>
            <a:ext uri="{FF2B5EF4-FFF2-40B4-BE49-F238E27FC236}">
              <a16:creationId xmlns:a16="http://schemas.microsoft.com/office/drawing/2014/main" id="{3C064A9E-7582-47A2-BF5D-0A841265BB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0" name="Host Control  38">
          <a:extLst>
            <a:ext uri="{FF2B5EF4-FFF2-40B4-BE49-F238E27FC236}">
              <a16:creationId xmlns:a16="http://schemas.microsoft.com/office/drawing/2014/main" id="{2ECABA23-9ED3-4C4A-B11C-0A7D1BC3A97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1" name="Host Control  39">
          <a:extLst>
            <a:ext uri="{FF2B5EF4-FFF2-40B4-BE49-F238E27FC236}">
              <a16:creationId xmlns:a16="http://schemas.microsoft.com/office/drawing/2014/main" id="{94F803A3-1984-4AB5-A2CA-863C1F93664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2" name="Host Control  40">
          <a:extLst>
            <a:ext uri="{FF2B5EF4-FFF2-40B4-BE49-F238E27FC236}">
              <a16:creationId xmlns:a16="http://schemas.microsoft.com/office/drawing/2014/main" id="{DE1EB92C-67AA-47D9-AB7C-93F1AF4204E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3" name="Host Control  41">
          <a:extLst>
            <a:ext uri="{FF2B5EF4-FFF2-40B4-BE49-F238E27FC236}">
              <a16:creationId xmlns:a16="http://schemas.microsoft.com/office/drawing/2014/main" id="{02EE6C39-3600-45D6-808C-A336CEE0035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4" name="Host Control  42">
          <a:extLst>
            <a:ext uri="{FF2B5EF4-FFF2-40B4-BE49-F238E27FC236}">
              <a16:creationId xmlns:a16="http://schemas.microsoft.com/office/drawing/2014/main" id="{F8660772-35E5-4B41-90C8-1C8F4BF67E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5" name="Host Control  43">
          <a:extLst>
            <a:ext uri="{FF2B5EF4-FFF2-40B4-BE49-F238E27FC236}">
              <a16:creationId xmlns:a16="http://schemas.microsoft.com/office/drawing/2014/main" id="{B0E50338-1466-4B96-8C11-6A601E9564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6" name="Host Control  44">
          <a:extLst>
            <a:ext uri="{FF2B5EF4-FFF2-40B4-BE49-F238E27FC236}">
              <a16:creationId xmlns:a16="http://schemas.microsoft.com/office/drawing/2014/main" id="{A1348F58-DF05-43C1-8286-E91555472C6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7" name="Host Control  45">
          <a:extLst>
            <a:ext uri="{FF2B5EF4-FFF2-40B4-BE49-F238E27FC236}">
              <a16:creationId xmlns:a16="http://schemas.microsoft.com/office/drawing/2014/main" id="{F4593CFA-E70C-416E-A11A-CF3E9BDAB78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8" name="Host Control  46">
          <a:extLst>
            <a:ext uri="{FF2B5EF4-FFF2-40B4-BE49-F238E27FC236}">
              <a16:creationId xmlns:a16="http://schemas.microsoft.com/office/drawing/2014/main" id="{C7F657D5-BEDC-4BF0-90E8-7937D82F149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9" name="Host Control  47">
          <a:extLst>
            <a:ext uri="{FF2B5EF4-FFF2-40B4-BE49-F238E27FC236}">
              <a16:creationId xmlns:a16="http://schemas.microsoft.com/office/drawing/2014/main" id="{B40CB321-D41A-48E5-B648-418E2909AAC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0" name="Host Control  48">
          <a:extLst>
            <a:ext uri="{FF2B5EF4-FFF2-40B4-BE49-F238E27FC236}">
              <a16:creationId xmlns:a16="http://schemas.microsoft.com/office/drawing/2014/main" id="{B1D2E4DB-706F-4E40-A96D-D9B4BA05BF1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1" name="Host Control  49">
          <a:extLst>
            <a:ext uri="{FF2B5EF4-FFF2-40B4-BE49-F238E27FC236}">
              <a16:creationId xmlns:a16="http://schemas.microsoft.com/office/drawing/2014/main" id="{59A772E5-076F-47B8-A990-ED0C0DA503C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2" name="Host Control  50">
          <a:extLst>
            <a:ext uri="{FF2B5EF4-FFF2-40B4-BE49-F238E27FC236}">
              <a16:creationId xmlns:a16="http://schemas.microsoft.com/office/drawing/2014/main" id="{FDB281F2-4D21-4085-82DF-D23A2E06EE9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3" name="Host Control  51">
          <a:extLst>
            <a:ext uri="{FF2B5EF4-FFF2-40B4-BE49-F238E27FC236}">
              <a16:creationId xmlns:a16="http://schemas.microsoft.com/office/drawing/2014/main" id="{4D0ACAA3-FD05-4BB3-934A-EC3253D10E9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4" name="Host Control  52">
          <a:extLst>
            <a:ext uri="{FF2B5EF4-FFF2-40B4-BE49-F238E27FC236}">
              <a16:creationId xmlns:a16="http://schemas.microsoft.com/office/drawing/2014/main" id="{AB29EC09-A491-48FD-94E0-CC56C82110D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5" name="Host Control  53">
          <a:extLst>
            <a:ext uri="{FF2B5EF4-FFF2-40B4-BE49-F238E27FC236}">
              <a16:creationId xmlns:a16="http://schemas.microsoft.com/office/drawing/2014/main" id="{0AB8C0AE-A1D4-44E9-A8FE-830DF31C7A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6" name="Host Control  54">
          <a:extLst>
            <a:ext uri="{FF2B5EF4-FFF2-40B4-BE49-F238E27FC236}">
              <a16:creationId xmlns:a16="http://schemas.microsoft.com/office/drawing/2014/main" id="{C4FF800D-02B3-4897-959D-20BB526886D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7" name="Host Control  55">
          <a:extLst>
            <a:ext uri="{FF2B5EF4-FFF2-40B4-BE49-F238E27FC236}">
              <a16:creationId xmlns:a16="http://schemas.microsoft.com/office/drawing/2014/main" id="{8AD754AE-09BC-42FD-82F0-4FDA8FDD445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8" name="Host Control  56">
          <a:extLst>
            <a:ext uri="{FF2B5EF4-FFF2-40B4-BE49-F238E27FC236}">
              <a16:creationId xmlns:a16="http://schemas.microsoft.com/office/drawing/2014/main" id="{145DE6D7-8238-4917-ADE4-F0882DF98F9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9" name="Host Control  57">
          <a:extLst>
            <a:ext uri="{FF2B5EF4-FFF2-40B4-BE49-F238E27FC236}">
              <a16:creationId xmlns:a16="http://schemas.microsoft.com/office/drawing/2014/main" id="{DD6ED4AF-76F6-4922-9EF2-482E2CCC800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0" name="Host Control  58">
          <a:extLst>
            <a:ext uri="{FF2B5EF4-FFF2-40B4-BE49-F238E27FC236}">
              <a16:creationId xmlns:a16="http://schemas.microsoft.com/office/drawing/2014/main" id="{6AAE31F1-6EC2-473C-BE66-CFA07318787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1" name="Host Control  59">
          <a:extLst>
            <a:ext uri="{FF2B5EF4-FFF2-40B4-BE49-F238E27FC236}">
              <a16:creationId xmlns:a16="http://schemas.microsoft.com/office/drawing/2014/main" id="{1135769D-93B7-48E7-B306-5645D59A78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2" name="Host Control  60">
          <a:extLst>
            <a:ext uri="{FF2B5EF4-FFF2-40B4-BE49-F238E27FC236}">
              <a16:creationId xmlns:a16="http://schemas.microsoft.com/office/drawing/2014/main" id="{A3BF6821-1AB6-41C2-865F-8E923BDAA29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3" name="Host Control  61">
          <a:extLst>
            <a:ext uri="{FF2B5EF4-FFF2-40B4-BE49-F238E27FC236}">
              <a16:creationId xmlns:a16="http://schemas.microsoft.com/office/drawing/2014/main" id="{D7480BF7-EF59-4C8A-903B-E94D44D031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4" name="Host Control  65">
          <a:extLst>
            <a:ext uri="{FF2B5EF4-FFF2-40B4-BE49-F238E27FC236}">
              <a16:creationId xmlns:a16="http://schemas.microsoft.com/office/drawing/2014/main" id="{934DBC50-C722-4E66-A0C1-202EE40E845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5" name="Host Control  66">
          <a:extLst>
            <a:ext uri="{FF2B5EF4-FFF2-40B4-BE49-F238E27FC236}">
              <a16:creationId xmlns:a16="http://schemas.microsoft.com/office/drawing/2014/main" id="{B56639A4-F075-4532-9B01-42FCE76410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6" name="Host Control  67">
          <a:extLst>
            <a:ext uri="{FF2B5EF4-FFF2-40B4-BE49-F238E27FC236}">
              <a16:creationId xmlns:a16="http://schemas.microsoft.com/office/drawing/2014/main" id="{CA43719C-EEBD-4F8A-B3DD-7F5AF6C825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7" name="Host Control  68">
          <a:extLst>
            <a:ext uri="{FF2B5EF4-FFF2-40B4-BE49-F238E27FC236}">
              <a16:creationId xmlns:a16="http://schemas.microsoft.com/office/drawing/2014/main" id="{3639B9AF-B418-4A83-99EF-C739E9E32A6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8" name="Host Control  69">
          <a:extLst>
            <a:ext uri="{FF2B5EF4-FFF2-40B4-BE49-F238E27FC236}">
              <a16:creationId xmlns:a16="http://schemas.microsoft.com/office/drawing/2014/main" id="{3AF1CAC5-45A0-487D-9F41-1F040F0173F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9" name="Host Control  70">
          <a:extLst>
            <a:ext uri="{FF2B5EF4-FFF2-40B4-BE49-F238E27FC236}">
              <a16:creationId xmlns:a16="http://schemas.microsoft.com/office/drawing/2014/main" id="{DA7FFE25-6542-44D5-A3FD-06690F9C43B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0" name="Host Control  71">
          <a:extLst>
            <a:ext uri="{FF2B5EF4-FFF2-40B4-BE49-F238E27FC236}">
              <a16:creationId xmlns:a16="http://schemas.microsoft.com/office/drawing/2014/main" id="{D7BBAF7E-3A84-42D1-AFA1-45C8DA36A67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1" name="Host Control  72">
          <a:extLst>
            <a:ext uri="{FF2B5EF4-FFF2-40B4-BE49-F238E27FC236}">
              <a16:creationId xmlns:a16="http://schemas.microsoft.com/office/drawing/2014/main" id="{45E0A34E-FD72-40F4-A1B1-9FD9498FF99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2" name="Host Control  73">
          <a:extLst>
            <a:ext uri="{FF2B5EF4-FFF2-40B4-BE49-F238E27FC236}">
              <a16:creationId xmlns:a16="http://schemas.microsoft.com/office/drawing/2014/main" id="{414F4784-2029-4AB2-877C-CCE68736696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3" name="Host Control  74">
          <a:extLst>
            <a:ext uri="{FF2B5EF4-FFF2-40B4-BE49-F238E27FC236}">
              <a16:creationId xmlns:a16="http://schemas.microsoft.com/office/drawing/2014/main" id="{CE62B936-CE8B-4516-BCBE-16D562C2F60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4" name="Host Control  75">
          <a:extLst>
            <a:ext uri="{FF2B5EF4-FFF2-40B4-BE49-F238E27FC236}">
              <a16:creationId xmlns:a16="http://schemas.microsoft.com/office/drawing/2014/main" id="{9BF9B4FF-F27F-4AFC-B6CD-DF399707220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5" name="Host Control  76">
          <a:extLst>
            <a:ext uri="{FF2B5EF4-FFF2-40B4-BE49-F238E27FC236}">
              <a16:creationId xmlns:a16="http://schemas.microsoft.com/office/drawing/2014/main" id="{902DD339-8F42-4462-B2F1-70FA77FE9D1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6" name="Host Control  77">
          <a:extLst>
            <a:ext uri="{FF2B5EF4-FFF2-40B4-BE49-F238E27FC236}">
              <a16:creationId xmlns:a16="http://schemas.microsoft.com/office/drawing/2014/main" id="{B18A939C-BA12-43C5-BCAD-D20C76E291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7" name="Host Control  78">
          <a:extLst>
            <a:ext uri="{FF2B5EF4-FFF2-40B4-BE49-F238E27FC236}">
              <a16:creationId xmlns:a16="http://schemas.microsoft.com/office/drawing/2014/main" id="{F52FE0C2-CF09-4FFC-9E52-5289E12F3AA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8" name="Host Control  79">
          <a:extLst>
            <a:ext uri="{FF2B5EF4-FFF2-40B4-BE49-F238E27FC236}">
              <a16:creationId xmlns:a16="http://schemas.microsoft.com/office/drawing/2014/main" id="{B29CBBEA-CAFB-4C84-ADC8-EE074DDD3C4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9" name="Host Control  80">
          <a:extLst>
            <a:ext uri="{FF2B5EF4-FFF2-40B4-BE49-F238E27FC236}">
              <a16:creationId xmlns:a16="http://schemas.microsoft.com/office/drawing/2014/main" id="{3A994043-1300-4E27-95AF-F779DFAAB20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0" name="Host Control  81">
          <a:extLst>
            <a:ext uri="{FF2B5EF4-FFF2-40B4-BE49-F238E27FC236}">
              <a16:creationId xmlns:a16="http://schemas.microsoft.com/office/drawing/2014/main" id="{0358EEEB-B0BD-48B7-BD52-191A87DE75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1" name="Host Control  82">
          <a:extLst>
            <a:ext uri="{FF2B5EF4-FFF2-40B4-BE49-F238E27FC236}">
              <a16:creationId xmlns:a16="http://schemas.microsoft.com/office/drawing/2014/main" id="{42ED7A7E-1EA4-4AC7-B935-FBB1A22A229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2" name="Host Control  83">
          <a:extLst>
            <a:ext uri="{FF2B5EF4-FFF2-40B4-BE49-F238E27FC236}">
              <a16:creationId xmlns:a16="http://schemas.microsoft.com/office/drawing/2014/main" id="{81B24A3A-2504-4226-94E1-9C6EFADBBC8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3" name="Host Control  84">
          <a:extLst>
            <a:ext uri="{FF2B5EF4-FFF2-40B4-BE49-F238E27FC236}">
              <a16:creationId xmlns:a16="http://schemas.microsoft.com/office/drawing/2014/main" id="{89580A67-CEF9-4F96-809D-9B91DCDF738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4" name="Host Control  85">
          <a:extLst>
            <a:ext uri="{FF2B5EF4-FFF2-40B4-BE49-F238E27FC236}">
              <a16:creationId xmlns:a16="http://schemas.microsoft.com/office/drawing/2014/main" id="{CF6553F5-9B55-476C-92E4-91BF6C32C8B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5" name="Host Control  86">
          <a:extLst>
            <a:ext uri="{FF2B5EF4-FFF2-40B4-BE49-F238E27FC236}">
              <a16:creationId xmlns:a16="http://schemas.microsoft.com/office/drawing/2014/main" id="{5250CBFC-7CEF-43F1-9162-BCEA244ABE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6" name="Host Control  87">
          <a:extLst>
            <a:ext uri="{FF2B5EF4-FFF2-40B4-BE49-F238E27FC236}">
              <a16:creationId xmlns:a16="http://schemas.microsoft.com/office/drawing/2014/main" id="{F17EF014-7DF9-4DB4-B93C-4A1E7281D7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7" name="Host Control  88">
          <a:extLst>
            <a:ext uri="{FF2B5EF4-FFF2-40B4-BE49-F238E27FC236}">
              <a16:creationId xmlns:a16="http://schemas.microsoft.com/office/drawing/2014/main" id="{990F233C-9572-4C69-952A-AD1D4FE169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8" name="Host Control  89">
          <a:extLst>
            <a:ext uri="{FF2B5EF4-FFF2-40B4-BE49-F238E27FC236}">
              <a16:creationId xmlns:a16="http://schemas.microsoft.com/office/drawing/2014/main" id="{BB0C1F61-A295-4A53-9800-19E6DDE1B8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9" name="Host Control  90">
          <a:extLst>
            <a:ext uri="{FF2B5EF4-FFF2-40B4-BE49-F238E27FC236}">
              <a16:creationId xmlns:a16="http://schemas.microsoft.com/office/drawing/2014/main" id="{1781E6FD-57E2-427B-9CCC-A3D0615561D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0" name="Host Control  91">
          <a:extLst>
            <a:ext uri="{FF2B5EF4-FFF2-40B4-BE49-F238E27FC236}">
              <a16:creationId xmlns:a16="http://schemas.microsoft.com/office/drawing/2014/main" id="{7A0072CE-6D0B-46E0-A8DF-732BE109569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1" name="Host Control  92">
          <a:extLst>
            <a:ext uri="{FF2B5EF4-FFF2-40B4-BE49-F238E27FC236}">
              <a16:creationId xmlns:a16="http://schemas.microsoft.com/office/drawing/2014/main" id="{1C065134-917B-4791-A861-F23A7372F0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2" name="Host Control  93">
          <a:extLst>
            <a:ext uri="{FF2B5EF4-FFF2-40B4-BE49-F238E27FC236}">
              <a16:creationId xmlns:a16="http://schemas.microsoft.com/office/drawing/2014/main" id="{B5B95D76-77FC-4399-B755-A427796654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3" name="Host Control  94">
          <a:extLst>
            <a:ext uri="{FF2B5EF4-FFF2-40B4-BE49-F238E27FC236}">
              <a16:creationId xmlns:a16="http://schemas.microsoft.com/office/drawing/2014/main" id="{405C37DB-6F18-4DBA-8E21-D3DEDA602DB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4" name="Host Control  98">
          <a:extLst>
            <a:ext uri="{FF2B5EF4-FFF2-40B4-BE49-F238E27FC236}">
              <a16:creationId xmlns:a16="http://schemas.microsoft.com/office/drawing/2014/main" id="{700A5807-9483-4F9B-9F1B-76945860C0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5" name="Host Control  99">
          <a:extLst>
            <a:ext uri="{FF2B5EF4-FFF2-40B4-BE49-F238E27FC236}">
              <a16:creationId xmlns:a16="http://schemas.microsoft.com/office/drawing/2014/main" id="{650C90BA-B13D-4286-A323-28A53B6D860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6" name="Host Control  100">
          <a:extLst>
            <a:ext uri="{FF2B5EF4-FFF2-40B4-BE49-F238E27FC236}">
              <a16:creationId xmlns:a16="http://schemas.microsoft.com/office/drawing/2014/main" id="{698EE6B0-00C5-42BA-AF70-45444C91D42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7" name="Host Control  101">
          <a:extLst>
            <a:ext uri="{FF2B5EF4-FFF2-40B4-BE49-F238E27FC236}">
              <a16:creationId xmlns:a16="http://schemas.microsoft.com/office/drawing/2014/main" id="{778D7544-0D1C-47BF-AA26-5715176BAE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8" name="Host Control  102">
          <a:extLst>
            <a:ext uri="{FF2B5EF4-FFF2-40B4-BE49-F238E27FC236}">
              <a16:creationId xmlns:a16="http://schemas.microsoft.com/office/drawing/2014/main" id="{FC9C282E-0342-40CF-A41C-CF0C6293A9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9" name="Host Control  103">
          <a:extLst>
            <a:ext uri="{FF2B5EF4-FFF2-40B4-BE49-F238E27FC236}">
              <a16:creationId xmlns:a16="http://schemas.microsoft.com/office/drawing/2014/main" id="{40C2E93F-48C3-4EAD-9123-41D17811C6E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0" name="Host Control  104">
          <a:extLst>
            <a:ext uri="{FF2B5EF4-FFF2-40B4-BE49-F238E27FC236}">
              <a16:creationId xmlns:a16="http://schemas.microsoft.com/office/drawing/2014/main" id="{45D0112E-02BB-4EE7-A4E9-5B9A47A670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1" name="Host Control  105">
          <a:extLst>
            <a:ext uri="{FF2B5EF4-FFF2-40B4-BE49-F238E27FC236}">
              <a16:creationId xmlns:a16="http://schemas.microsoft.com/office/drawing/2014/main" id="{B2202F81-9E6E-4F1B-825E-8BF3358564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2" name="Host Control  106">
          <a:extLst>
            <a:ext uri="{FF2B5EF4-FFF2-40B4-BE49-F238E27FC236}">
              <a16:creationId xmlns:a16="http://schemas.microsoft.com/office/drawing/2014/main" id="{C35BF0F9-6F7C-4E67-B08D-5E97BAF69B8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3" name="Host Control  107">
          <a:extLst>
            <a:ext uri="{FF2B5EF4-FFF2-40B4-BE49-F238E27FC236}">
              <a16:creationId xmlns:a16="http://schemas.microsoft.com/office/drawing/2014/main" id="{45E5AF31-776C-4BC7-B5DB-05854E76E5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4" name="Host Control  108">
          <a:extLst>
            <a:ext uri="{FF2B5EF4-FFF2-40B4-BE49-F238E27FC236}">
              <a16:creationId xmlns:a16="http://schemas.microsoft.com/office/drawing/2014/main" id="{5ED6090F-E30B-4844-B079-A992AC5AEB7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5" name="Host Control  109">
          <a:extLst>
            <a:ext uri="{FF2B5EF4-FFF2-40B4-BE49-F238E27FC236}">
              <a16:creationId xmlns:a16="http://schemas.microsoft.com/office/drawing/2014/main" id="{5F4FEB48-DF33-4CA6-B3DE-4AC38DE83B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6" name="Host Control  110">
          <a:extLst>
            <a:ext uri="{FF2B5EF4-FFF2-40B4-BE49-F238E27FC236}">
              <a16:creationId xmlns:a16="http://schemas.microsoft.com/office/drawing/2014/main" id="{875055D3-EE2F-473D-AA61-027744F1239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7" name="Host Control  111">
          <a:extLst>
            <a:ext uri="{FF2B5EF4-FFF2-40B4-BE49-F238E27FC236}">
              <a16:creationId xmlns:a16="http://schemas.microsoft.com/office/drawing/2014/main" id="{6911F1A1-3294-4D72-B67D-2ED30490493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8" name="Host Control  112">
          <a:extLst>
            <a:ext uri="{FF2B5EF4-FFF2-40B4-BE49-F238E27FC236}">
              <a16:creationId xmlns:a16="http://schemas.microsoft.com/office/drawing/2014/main" id="{9780EE45-BD8F-4FA3-A69C-885AA7815D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9" name="Host Control  113">
          <a:extLst>
            <a:ext uri="{FF2B5EF4-FFF2-40B4-BE49-F238E27FC236}">
              <a16:creationId xmlns:a16="http://schemas.microsoft.com/office/drawing/2014/main" id="{CC0732AF-B195-4889-82BE-B86F02356B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0" name="Host Control  114">
          <a:extLst>
            <a:ext uri="{FF2B5EF4-FFF2-40B4-BE49-F238E27FC236}">
              <a16:creationId xmlns:a16="http://schemas.microsoft.com/office/drawing/2014/main" id="{FF1D1198-122D-41DE-9B9F-B979460EDCB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1" name="Host Control  115">
          <a:extLst>
            <a:ext uri="{FF2B5EF4-FFF2-40B4-BE49-F238E27FC236}">
              <a16:creationId xmlns:a16="http://schemas.microsoft.com/office/drawing/2014/main" id="{5A24FD42-8C54-486D-8DD2-2E7A05EE04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2" name="Host Control  116">
          <a:extLst>
            <a:ext uri="{FF2B5EF4-FFF2-40B4-BE49-F238E27FC236}">
              <a16:creationId xmlns:a16="http://schemas.microsoft.com/office/drawing/2014/main" id="{5D9B48D3-72B1-4455-AE9A-5E9650934E6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3" name="Host Control  117">
          <a:extLst>
            <a:ext uri="{FF2B5EF4-FFF2-40B4-BE49-F238E27FC236}">
              <a16:creationId xmlns:a16="http://schemas.microsoft.com/office/drawing/2014/main" id="{651C29A2-F396-448E-A15B-2D5E100516F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4" name="Host Control  118">
          <a:extLst>
            <a:ext uri="{FF2B5EF4-FFF2-40B4-BE49-F238E27FC236}">
              <a16:creationId xmlns:a16="http://schemas.microsoft.com/office/drawing/2014/main" id="{19D49ED0-761C-42B7-9B56-2F45FF0CB86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5" name="Host Control  119">
          <a:extLst>
            <a:ext uri="{FF2B5EF4-FFF2-40B4-BE49-F238E27FC236}">
              <a16:creationId xmlns:a16="http://schemas.microsoft.com/office/drawing/2014/main" id="{F33347B4-E85A-4BD1-9ADB-6CE45D541E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6" name="Host Control  120">
          <a:extLst>
            <a:ext uri="{FF2B5EF4-FFF2-40B4-BE49-F238E27FC236}">
              <a16:creationId xmlns:a16="http://schemas.microsoft.com/office/drawing/2014/main" id="{962E730A-7897-4BD4-AE23-F7564CF98AE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7" name="Host Control  121">
          <a:extLst>
            <a:ext uri="{FF2B5EF4-FFF2-40B4-BE49-F238E27FC236}">
              <a16:creationId xmlns:a16="http://schemas.microsoft.com/office/drawing/2014/main" id="{5419F064-5780-48B4-913C-F42456FC85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8" name="Host Control  122">
          <a:extLst>
            <a:ext uri="{FF2B5EF4-FFF2-40B4-BE49-F238E27FC236}">
              <a16:creationId xmlns:a16="http://schemas.microsoft.com/office/drawing/2014/main" id="{FC04B363-F3F6-4A2B-AF7E-0C92616FC86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9" name="Host Control  123">
          <a:extLst>
            <a:ext uri="{FF2B5EF4-FFF2-40B4-BE49-F238E27FC236}">
              <a16:creationId xmlns:a16="http://schemas.microsoft.com/office/drawing/2014/main" id="{BA0F3F48-2FC6-448C-8F6B-E5BBB52E094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0" name="Host Control  124">
          <a:extLst>
            <a:ext uri="{FF2B5EF4-FFF2-40B4-BE49-F238E27FC236}">
              <a16:creationId xmlns:a16="http://schemas.microsoft.com/office/drawing/2014/main" id="{4A9DC690-330E-43F5-B09E-0D363BD665A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1" name="Host Control  125">
          <a:extLst>
            <a:ext uri="{FF2B5EF4-FFF2-40B4-BE49-F238E27FC236}">
              <a16:creationId xmlns:a16="http://schemas.microsoft.com/office/drawing/2014/main" id="{D82B7916-5FD5-4A5F-A81A-294A38C94D7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2" name="Host Control  126">
          <a:extLst>
            <a:ext uri="{FF2B5EF4-FFF2-40B4-BE49-F238E27FC236}">
              <a16:creationId xmlns:a16="http://schemas.microsoft.com/office/drawing/2014/main" id="{76BAB5E1-EC07-457F-AE65-A6D6B296B7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3" name="Host Control  127">
          <a:extLst>
            <a:ext uri="{FF2B5EF4-FFF2-40B4-BE49-F238E27FC236}">
              <a16:creationId xmlns:a16="http://schemas.microsoft.com/office/drawing/2014/main" id="{FB926DB0-5E4C-498B-A02A-065DD68E889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4" name="Host Control  135">
          <a:extLst>
            <a:ext uri="{FF2B5EF4-FFF2-40B4-BE49-F238E27FC236}">
              <a16:creationId xmlns:a16="http://schemas.microsoft.com/office/drawing/2014/main" id="{CD03D158-4E88-4516-92FB-F1E4D042367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5" name="Host Control  136">
          <a:extLst>
            <a:ext uri="{FF2B5EF4-FFF2-40B4-BE49-F238E27FC236}">
              <a16:creationId xmlns:a16="http://schemas.microsoft.com/office/drawing/2014/main" id="{A09BCB6E-4131-4285-992C-176F1FF763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6" name="Host Control  137">
          <a:extLst>
            <a:ext uri="{FF2B5EF4-FFF2-40B4-BE49-F238E27FC236}">
              <a16:creationId xmlns:a16="http://schemas.microsoft.com/office/drawing/2014/main" id="{3F7CC4DA-1340-4FF7-8D80-00DF23EA8CF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7" name="Host Control  138">
          <a:extLst>
            <a:ext uri="{FF2B5EF4-FFF2-40B4-BE49-F238E27FC236}">
              <a16:creationId xmlns:a16="http://schemas.microsoft.com/office/drawing/2014/main" id="{992BA0AA-ED33-4752-AD69-4A1E65577B4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8" name="Host Control  139">
          <a:extLst>
            <a:ext uri="{FF2B5EF4-FFF2-40B4-BE49-F238E27FC236}">
              <a16:creationId xmlns:a16="http://schemas.microsoft.com/office/drawing/2014/main" id="{F4FCCC53-DED3-42C1-AADE-5EEDFB7200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9" name="Host Control  140">
          <a:extLst>
            <a:ext uri="{FF2B5EF4-FFF2-40B4-BE49-F238E27FC236}">
              <a16:creationId xmlns:a16="http://schemas.microsoft.com/office/drawing/2014/main" id="{F6EBDEFD-3106-4D87-AA71-EAC07C6E0A7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0" name="Host Control  141">
          <a:extLst>
            <a:ext uri="{FF2B5EF4-FFF2-40B4-BE49-F238E27FC236}">
              <a16:creationId xmlns:a16="http://schemas.microsoft.com/office/drawing/2014/main" id="{9B362B15-3504-4B59-A4A1-4BA8F02470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1" name="Host Control  142">
          <a:extLst>
            <a:ext uri="{FF2B5EF4-FFF2-40B4-BE49-F238E27FC236}">
              <a16:creationId xmlns:a16="http://schemas.microsoft.com/office/drawing/2014/main" id="{A2C60899-58AA-495F-884E-DEF910DBDCE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2" name="Host Control  143">
          <a:extLst>
            <a:ext uri="{FF2B5EF4-FFF2-40B4-BE49-F238E27FC236}">
              <a16:creationId xmlns:a16="http://schemas.microsoft.com/office/drawing/2014/main" id="{F1737F9A-BDDA-476B-9791-169916171BD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3" name="Host Control  144">
          <a:extLst>
            <a:ext uri="{FF2B5EF4-FFF2-40B4-BE49-F238E27FC236}">
              <a16:creationId xmlns:a16="http://schemas.microsoft.com/office/drawing/2014/main" id="{839FFFC3-C52E-4118-981C-0D517A58191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4" name="Host Control  145">
          <a:extLst>
            <a:ext uri="{FF2B5EF4-FFF2-40B4-BE49-F238E27FC236}">
              <a16:creationId xmlns:a16="http://schemas.microsoft.com/office/drawing/2014/main" id="{90716CE6-388E-4E5A-8389-05A28949ED1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5" name="Host Control  146">
          <a:extLst>
            <a:ext uri="{FF2B5EF4-FFF2-40B4-BE49-F238E27FC236}">
              <a16:creationId xmlns:a16="http://schemas.microsoft.com/office/drawing/2014/main" id="{FA93315A-BF9A-431C-A29F-0E553A269AA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6" name="Host Control  147">
          <a:extLst>
            <a:ext uri="{FF2B5EF4-FFF2-40B4-BE49-F238E27FC236}">
              <a16:creationId xmlns:a16="http://schemas.microsoft.com/office/drawing/2014/main" id="{9C9543CB-1C9C-4A23-8259-3CAEB3FB899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7" name="Host Control  148">
          <a:extLst>
            <a:ext uri="{FF2B5EF4-FFF2-40B4-BE49-F238E27FC236}">
              <a16:creationId xmlns:a16="http://schemas.microsoft.com/office/drawing/2014/main" id="{51DE1416-AF37-40E1-A559-01CDB03E73F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8" name="Host Control  149">
          <a:extLst>
            <a:ext uri="{FF2B5EF4-FFF2-40B4-BE49-F238E27FC236}">
              <a16:creationId xmlns:a16="http://schemas.microsoft.com/office/drawing/2014/main" id="{2569E7CD-DF07-4810-A5C6-F5AB60F737B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9" name="Host Control  150">
          <a:extLst>
            <a:ext uri="{FF2B5EF4-FFF2-40B4-BE49-F238E27FC236}">
              <a16:creationId xmlns:a16="http://schemas.microsoft.com/office/drawing/2014/main" id="{B69EE8EB-91DB-4D6C-A43D-653FCE21247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0" name="Host Control  151">
          <a:extLst>
            <a:ext uri="{FF2B5EF4-FFF2-40B4-BE49-F238E27FC236}">
              <a16:creationId xmlns:a16="http://schemas.microsoft.com/office/drawing/2014/main" id="{D274C99E-45B1-4147-BFA6-3E89B3BECDE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1" name="Host Control  152">
          <a:extLst>
            <a:ext uri="{FF2B5EF4-FFF2-40B4-BE49-F238E27FC236}">
              <a16:creationId xmlns:a16="http://schemas.microsoft.com/office/drawing/2014/main" id="{568CB5A2-1BF1-4A95-82E5-32542F4888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2" name="Host Control  153">
          <a:extLst>
            <a:ext uri="{FF2B5EF4-FFF2-40B4-BE49-F238E27FC236}">
              <a16:creationId xmlns:a16="http://schemas.microsoft.com/office/drawing/2014/main" id="{E5F13133-9B7A-4B15-B9D6-72F3462674F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3" name="Host Control  154">
          <a:extLst>
            <a:ext uri="{FF2B5EF4-FFF2-40B4-BE49-F238E27FC236}">
              <a16:creationId xmlns:a16="http://schemas.microsoft.com/office/drawing/2014/main" id="{2E7D2797-CA1E-48D3-9519-B58E2E3B1D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4" name="Host Control  155">
          <a:extLst>
            <a:ext uri="{FF2B5EF4-FFF2-40B4-BE49-F238E27FC236}">
              <a16:creationId xmlns:a16="http://schemas.microsoft.com/office/drawing/2014/main" id="{EE0DEE95-4BC9-4022-A15B-BA8A3DFB436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5" name="Host Control  156">
          <a:extLst>
            <a:ext uri="{FF2B5EF4-FFF2-40B4-BE49-F238E27FC236}">
              <a16:creationId xmlns:a16="http://schemas.microsoft.com/office/drawing/2014/main" id="{D8885EF5-1EEF-4939-88F1-7D76C06B23F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6" name="Host Control  157">
          <a:extLst>
            <a:ext uri="{FF2B5EF4-FFF2-40B4-BE49-F238E27FC236}">
              <a16:creationId xmlns:a16="http://schemas.microsoft.com/office/drawing/2014/main" id="{0370BC2D-D624-4BB7-814D-0B945CCBB6B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7" name="Host Control  158">
          <a:extLst>
            <a:ext uri="{FF2B5EF4-FFF2-40B4-BE49-F238E27FC236}">
              <a16:creationId xmlns:a16="http://schemas.microsoft.com/office/drawing/2014/main" id="{6AA0983C-9A31-426A-BD01-383D7C2120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8" name="Host Control  159">
          <a:extLst>
            <a:ext uri="{FF2B5EF4-FFF2-40B4-BE49-F238E27FC236}">
              <a16:creationId xmlns:a16="http://schemas.microsoft.com/office/drawing/2014/main" id="{67957760-048B-44BD-8584-C014783840D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9" name="Host Control  160">
          <a:extLst>
            <a:ext uri="{FF2B5EF4-FFF2-40B4-BE49-F238E27FC236}">
              <a16:creationId xmlns:a16="http://schemas.microsoft.com/office/drawing/2014/main" id="{173CCC17-2EB8-4AA2-A758-ABEDC0FCFEF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0" name="Host Control  161">
          <a:extLst>
            <a:ext uri="{FF2B5EF4-FFF2-40B4-BE49-F238E27FC236}">
              <a16:creationId xmlns:a16="http://schemas.microsoft.com/office/drawing/2014/main" id="{9A4BA405-B8CC-4368-A5EE-62AA4565688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1" name="Host Control  162">
          <a:extLst>
            <a:ext uri="{FF2B5EF4-FFF2-40B4-BE49-F238E27FC236}">
              <a16:creationId xmlns:a16="http://schemas.microsoft.com/office/drawing/2014/main" id="{2DB4DD78-F0BF-4665-9C97-F21F50EADC4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2" name="Host Control  163">
          <a:extLst>
            <a:ext uri="{FF2B5EF4-FFF2-40B4-BE49-F238E27FC236}">
              <a16:creationId xmlns:a16="http://schemas.microsoft.com/office/drawing/2014/main" id="{A910D956-BDB9-4FA3-9EC0-A216CF2A92E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3" name="Host Control  164">
          <a:extLst>
            <a:ext uri="{FF2B5EF4-FFF2-40B4-BE49-F238E27FC236}">
              <a16:creationId xmlns:a16="http://schemas.microsoft.com/office/drawing/2014/main" id="{1FBA5457-C269-41BF-BB4E-40A08A890F8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4" name="Host Control  168">
          <a:extLst>
            <a:ext uri="{FF2B5EF4-FFF2-40B4-BE49-F238E27FC236}">
              <a16:creationId xmlns:a16="http://schemas.microsoft.com/office/drawing/2014/main" id="{D2A56663-B731-4AA5-AE80-E2F98B9E250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5" name="Host Control  169">
          <a:extLst>
            <a:ext uri="{FF2B5EF4-FFF2-40B4-BE49-F238E27FC236}">
              <a16:creationId xmlns:a16="http://schemas.microsoft.com/office/drawing/2014/main" id="{68F84669-E511-4ED8-85B0-0E74C90E57B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6" name="Host Control  170">
          <a:extLst>
            <a:ext uri="{FF2B5EF4-FFF2-40B4-BE49-F238E27FC236}">
              <a16:creationId xmlns:a16="http://schemas.microsoft.com/office/drawing/2014/main" id="{0B9AB815-BF05-41BD-9C11-E38D86BE218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7" name="Host Control  171">
          <a:extLst>
            <a:ext uri="{FF2B5EF4-FFF2-40B4-BE49-F238E27FC236}">
              <a16:creationId xmlns:a16="http://schemas.microsoft.com/office/drawing/2014/main" id="{9482C5D1-DA59-46C8-951C-87AC952BED7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8" name="Host Control  172">
          <a:extLst>
            <a:ext uri="{FF2B5EF4-FFF2-40B4-BE49-F238E27FC236}">
              <a16:creationId xmlns:a16="http://schemas.microsoft.com/office/drawing/2014/main" id="{7C66868D-3899-4438-A597-51D0E65A319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9" name="Host Control  173">
          <a:extLst>
            <a:ext uri="{FF2B5EF4-FFF2-40B4-BE49-F238E27FC236}">
              <a16:creationId xmlns:a16="http://schemas.microsoft.com/office/drawing/2014/main" id="{57186703-182F-429C-A390-C49998CF515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0" name="Host Control  174">
          <a:extLst>
            <a:ext uri="{FF2B5EF4-FFF2-40B4-BE49-F238E27FC236}">
              <a16:creationId xmlns:a16="http://schemas.microsoft.com/office/drawing/2014/main" id="{8C225C40-D561-4045-9998-8314B20EB97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1" name="Host Control  175">
          <a:extLst>
            <a:ext uri="{FF2B5EF4-FFF2-40B4-BE49-F238E27FC236}">
              <a16:creationId xmlns:a16="http://schemas.microsoft.com/office/drawing/2014/main" id="{E6F140E3-5A67-4C99-A281-6EC9869C597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2" name="Host Control  176">
          <a:extLst>
            <a:ext uri="{FF2B5EF4-FFF2-40B4-BE49-F238E27FC236}">
              <a16:creationId xmlns:a16="http://schemas.microsoft.com/office/drawing/2014/main" id="{F5662C63-8E41-437D-8AE6-88432E7D30B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3" name="Host Control  177">
          <a:extLst>
            <a:ext uri="{FF2B5EF4-FFF2-40B4-BE49-F238E27FC236}">
              <a16:creationId xmlns:a16="http://schemas.microsoft.com/office/drawing/2014/main" id="{CD25351B-68BF-4CDE-B4CB-36AF755896F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4" name="Host Control  178">
          <a:extLst>
            <a:ext uri="{FF2B5EF4-FFF2-40B4-BE49-F238E27FC236}">
              <a16:creationId xmlns:a16="http://schemas.microsoft.com/office/drawing/2014/main" id="{AD33C36D-8593-4452-BF78-B072A1EDF44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5" name="Host Control  179">
          <a:extLst>
            <a:ext uri="{FF2B5EF4-FFF2-40B4-BE49-F238E27FC236}">
              <a16:creationId xmlns:a16="http://schemas.microsoft.com/office/drawing/2014/main" id="{FD2D8429-422E-4975-AA75-E5808B8405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6" name="Host Control  180">
          <a:extLst>
            <a:ext uri="{FF2B5EF4-FFF2-40B4-BE49-F238E27FC236}">
              <a16:creationId xmlns:a16="http://schemas.microsoft.com/office/drawing/2014/main" id="{0FE70822-2475-4CF4-9114-BEA25CB7461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7" name="Host Control  181">
          <a:extLst>
            <a:ext uri="{FF2B5EF4-FFF2-40B4-BE49-F238E27FC236}">
              <a16:creationId xmlns:a16="http://schemas.microsoft.com/office/drawing/2014/main" id="{CCB99703-8B26-493D-BAEE-EBCFDDBCD7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8" name="Host Control  182">
          <a:extLst>
            <a:ext uri="{FF2B5EF4-FFF2-40B4-BE49-F238E27FC236}">
              <a16:creationId xmlns:a16="http://schemas.microsoft.com/office/drawing/2014/main" id="{98C5D141-9745-48A4-A4E3-5638C8B8675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9" name="Host Control  183">
          <a:extLst>
            <a:ext uri="{FF2B5EF4-FFF2-40B4-BE49-F238E27FC236}">
              <a16:creationId xmlns:a16="http://schemas.microsoft.com/office/drawing/2014/main" id="{7A6DA315-0B67-4EC5-80DC-119976B4DE7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0" name="Host Control  184">
          <a:extLst>
            <a:ext uri="{FF2B5EF4-FFF2-40B4-BE49-F238E27FC236}">
              <a16:creationId xmlns:a16="http://schemas.microsoft.com/office/drawing/2014/main" id="{C9A54279-E070-4B7B-8393-0A0AF8E198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1" name="Host Control  185">
          <a:extLst>
            <a:ext uri="{FF2B5EF4-FFF2-40B4-BE49-F238E27FC236}">
              <a16:creationId xmlns:a16="http://schemas.microsoft.com/office/drawing/2014/main" id="{C5597405-34A5-4177-9002-B814724E60A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2" name="Host Control  186">
          <a:extLst>
            <a:ext uri="{FF2B5EF4-FFF2-40B4-BE49-F238E27FC236}">
              <a16:creationId xmlns:a16="http://schemas.microsoft.com/office/drawing/2014/main" id="{C0E03F6B-707D-449B-B468-0332E23F19C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3" name="Host Control  187">
          <a:extLst>
            <a:ext uri="{FF2B5EF4-FFF2-40B4-BE49-F238E27FC236}">
              <a16:creationId xmlns:a16="http://schemas.microsoft.com/office/drawing/2014/main" id="{7EC872CC-0F8F-4C1C-A1A2-3FFCBB92056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4" name="Host Control  188">
          <a:extLst>
            <a:ext uri="{FF2B5EF4-FFF2-40B4-BE49-F238E27FC236}">
              <a16:creationId xmlns:a16="http://schemas.microsoft.com/office/drawing/2014/main" id="{49812A54-1D45-4C7E-8C05-4049EDD5C79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5" name="Host Control  189">
          <a:extLst>
            <a:ext uri="{FF2B5EF4-FFF2-40B4-BE49-F238E27FC236}">
              <a16:creationId xmlns:a16="http://schemas.microsoft.com/office/drawing/2014/main" id="{2C3944B4-8369-4A7F-B55C-4E8F7036BA7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6" name="Host Control  190">
          <a:extLst>
            <a:ext uri="{FF2B5EF4-FFF2-40B4-BE49-F238E27FC236}">
              <a16:creationId xmlns:a16="http://schemas.microsoft.com/office/drawing/2014/main" id="{C09F0BBC-F027-4378-975D-2BE6CA5C148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7" name="Host Control  191">
          <a:extLst>
            <a:ext uri="{FF2B5EF4-FFF2-40B4-BE49-F238E27FC236}">
              <a16:creationId xmlns:a16="http://schemas.microsoft.com/office/drawing/2014/main" id="{C70C1C3F-AF0D-48BA-A1A7-F723E0960DA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8" name="Host Control  192">
          <a:extLst>
            <a:ext uri="{FF2B5EF4-FFF2-40B4-BE49-F238E27FC236}">
              <a16:creationId xmlns:a16="http://schemas.microsoft.com/office/drawing/2014/main" id="{6AA8B8AF-4786-4609-85A0-39672EA477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9" name="Host Control  193">
          <a:extLst>
            <a:ext uri="{FF2B5EF4-FFF2-40B4-BE49-F238E27FC236}">
              <a16:creationId xmlns:a16="http://schemas.microsoft.com/office/drawing/2014/main" id="{6D3D9E3D-AF1E-4CE6-9282-DCAC26675F5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0" name="Host Control  194">
          <a:extLst>
            <a:ext uri="{FF2B5EF4-FFF2-40B4-BE49-F238E27FC236}">
              <a16:creationId xmlns:a16="http://schemas.microsoft.com/office/drawing/2014/main" id="{24B55584-7B10-4159-BBB4-EC08BC78A72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1" name="Host Control  195">
          <a:extLst>
            <a:ext uri="{FF2B5EF4-FFF2-40B4-BE49-F238E27FC236}">
              <a16:creationId xmlns:a16="http://schemas.microsoft.com/office/drawing/2014/main" id="{F381E049-9CD7-436A-ACB4-2052C52FDBD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2" name="Host Control  196">
          <a:extLst>
            <a:ext uri="{FF2B5EF4-FFF2-40B4-BE49-F238E27FC236}">
              <a16:creationId xmlns:a16="http://schemas.microsoft.com/office/drawing/2014/main" id="{14726088-C3F4-4F4B-8D87-0CD04CE81E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3" name="Host Control  197">
          <a:extLst>
            <a:ext uri="{FF2B5EF4-FFF2-40B4-BE49-F238E27FC236}">
              <a16:creationId xmlns:a16="http://schemas.microsoft.com/office/drawing/2014/main" id="{8164B304-2576-493D-A436-314F7512978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4" name="Host Control  201" hidden="1">
          <a:extLst>
            <a:ext uri="{FF2B5EF4-FFF2-40B4-BE49-F238E27FC236}">
              <a16:creationId xmlns:a16="http://schemas.microsoft.com/office/drawing/2014/main" id="{003ED08C-9F9A-40EF-8CC7-07C583F63C8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5" name="Host Control  202" hidden="1">
          <a:extLst>
            <a:ext uri="{FF2B5EF4-FFF2-40B4-BE49-F238E27FC236}">
              <a16:creationId xmlns:a16="http://schemas.microsoft.com/office/drawing/2014/main" id="{7E1A1B6F-5B87-436C-AF7D-E5C417BA9D4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6" name="Host Control  203" hidden="1">
          <a:extLst>
            <a:ext uri="{FF2B5EF4-FFF2-40B4-BE49-F238E27FC236}">
              <a16:creationId xmlns:a16="http://schemas.microsoft.com/office/drawing/2014/main" id="{13029189-2F42-4E6E-9FEB-ED83FD8EA37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7" name="Host Control  204" hidden="1">
          <a:extLst>
            <a:ext uri="{FF2B5EF4-FFF2-40B4-BE49-F238E27FC236}">
              <a16:creationId xmlns:a16="http://schemas.microsoft.com/office/drawing/2014/main" id="{4BAF04CC-6E37-458E-94EB-7362B64CD7F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8" name="Host Control  205" hidden="1">
          <a:extLst>
            <a:ext uri="{FF2B5EF4-FFF2-40B4-BE49-F238E27FC236}">
              <a16:creationId xmlns:a16="http://schemas.microsoft.com/office/drawing/2014/main" id="{7C01FEAF-61DE-49A7-81E0-48012D5B0D2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9" name="Host Control  206" hidden="1">
          <a:extLst>
            <a:ext uri="{FF2B5EF4-FFF2-40B4-BE49-F238E27FC236}">
              <a16:creationId xmlns:a16="http://schemas.microsoft.com/office/drawing/2014/main" id="{671EBAFC-7E7D-46D1-8986-6BEC31F89D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0" name="Host Control  207" hidden="1">
          <a:extLst>
            <a:ext uri="{FF2B5EF4-FFF2-40B4-BE49-F238E27FC236}">
              <a16:creationId xmlns:a16="http://schemas.microsoft.com/office/drawing/2014/main" id="{08856283-B6B8-4EEE-B6EF-4FB7746ED37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1" name="Host Control  208" hidden="1">
          <a:extLst>
            <a:ext uri="{FF2B5EF4-FFF2-40B4-BE49-F238E27FC236}">
              <a16:creationId xmlns:a16="http://schemas.microsoft.com/office/drawing/2014/main" id="{96DB227A-F060-4008-9486-000C849F84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2" name="Host Control  209" hidden="1">
          <a:extLst>
            <a:ext uri="{FF2B5EF4-FFF2-40B4-BE49-F238E27FC236}">
              <a16:creationId xmlns:a16="http://schemas.microsoft.com/office/drawing/2014/main" id="{37724527-F06D-4E5D-99F3-A9C2023CF22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3" name="Host Control  210" hidden="1">
          <a:extLst>
            <a:ext uri="{FF2B5EF4-FFF2-40B4-BE49-F238E27FC236}">
              <a16:creationId xmlns:a16="http://schemas.microsoft.com/office/drawing/2014/main" id="{E0DD450C-EBC1-4AB8-B482-B77AC91E27F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4" name="Host Control  211" hidden="1">
          <a:extLst>
            <a:ext uri="{FF2B5EF4-FFF2-40B4-BE49-F238E27FC236}">
              <a16:creationId xmlns:a16="http://schemas.microsoft.com/office/drawing/2014/main" id="{74D15D86-87CB-474F-9EB8-74C001981D6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5" name="Host Control  212" hidden="1">
          <a:extLst>
            <a:ext uri="{FF2B5EF4-FFF2-40B4-BE49-F238E27FC236}">
              <a16:creationId xmlns:a16="http://schemas.microsoft.com/office/drawing/2014/main" id="{38C62586-CE13-413B-983B-8B4D7CF15D8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6" name="Host Control  213" hidden="1">
          <a:extLst>
            <a:ext uri="{FF2B5EF4-FFF2-40B4-BE49-F238E27FC236}">
              <a16:creationId xmlns:a16="http://schemas.microsoft.com/office/drawing/2014/main" id="{642051C0-4509-45FC-9EC5-E4E9998926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7" name="Host Control  214" hidden="1">
          <a:extLst>
            <a:ext uri="{FF2B5EF4-FFF2-40B4-BE49-F238E27FC236}">
              <a16:creationId xmlns:a16="http://schemas.microsoft.com/office/drawing/2014/main" id="{568CE246-93A1-4579-868C-AEFCCA79B4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8" name="Host Control  215" hidden="1">
          <a:extLst>
            <a:ext uri="{FF2B5EF4-FFF2-40B4-BE49-F238E27FC236}">
              <a16:creationId xmlns:a16="http://schemas.microsoft.com/office/drawing/2014/main" id="{C35DE7D4-7895-494B-88BB-03981C42479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9" name="Host Control  216" hidden="1">
          <a:extLst>
            <a:ext uri="{FF2B5EF4-FFF2-40B4-BE49-F238E27FC236}">
              <a16:creationId xmlns:a16="http://schemas.microsoft.com/office/drawing/2014/main" id="{D5D54B6C-8BBD-4035-9D0A-DB443E3B843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0" name="Host Control  217" hidden="1">
          <a:extLst>
            <a:ext uri="{FF2B5EF4-FFF2-40B4-BE49-F238E27FC236}">
              <a16:creationId xmlns:a16="http://schemas.microsoft.com/office/drawing/2014/main" id="{FE5ED19A-1B66-4039-BDC9-D4AADB46EC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1" name="Host Control  218" hidden="1">
          <a:extLst>
            <a:ext uri="{FF2B5EF4-FFF2-40B4-BE49-F238E27FC236}">
              <a16:creationId xmlns:a16="http://schemas.microsoft.com/office/drawing/2014/main" id="{0BE4BC21-FCEC-4133-BC7C-BB159E5E811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2" name="Host Control  219" hidden="1">
          <a:extLst>
            <a:ext uri="{FF2B5EF4-FFF2-40B4-BE49-F238E27FC236}">
              <a16:creationId xmlns:a16="http://schemas.microsoft.com/office/drawing/2014/main" id="{AEE9A988-B545-4602-A372-3C449C61979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3" name="Host Control  220" hidden="1">
          <a:extLst>
            <a:ext uri="{FF2B5EF4-FFF2-40B4-BE49-F238E27FC236}">
              <a16:creationId xmlns:a16="http://schemas.microsoft.com/office/drawing/2014/main" id="{A8B0D5A5-66EF-47D1-B29E-6F9262C0313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4" name="Host Control  221" hidden="1">
          <a:extLst>
            <a:ext uri="{FF2B5EF4-FFF2-40B4-BE49-F238E27FC236}">
              <a16:creationId xmlns:a16="http://schemas.microsoft.com/office/drawing/2014/main" id="{5EF1364F-5267-4E54-BF40-52E8DCA5179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5" name="Host Control  222" hidden="1">
          <a:extLst>
            <a:ext uri="{FF2B5EF4-FFF2-40B4-BE49-F238E27FC236}">
              <a16:creationId xmlns:a16="http://schemas.microsoft.com/office/drawing/2014/main" id="{FF20AAC6-7E54-4E35-8649-406C4C3E125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6" name="Host Control  223" hidden="1">
          <a:extLst>
            <a:ext uri="{FF2B5EF4-FFF2-40B4-BE49-F238E27FC236}">
              <a16:creationId xmlns:a16="http://schemas.microsoft.com/office/drawing/2014/main" id="{A3578972-BB26-4EBB-AB10-2152B45E8CB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7" name="Host Control  224" hidden="1">
          <a:extLst>
            <a:ext uri="{FF2B5EF4-FFF2-40B4-BE49-F238E27FC236}">
              <a16:creationId xmlns:a16="http://schemas.microsoft.com/office/drawing/2014/main" id="{2A3BE46F-50D7-4B9A-B26F-F2AF87F20E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8" name="Host Control  225" hidden="1">
          <a:extLst>
            <a:ext uri="{FF2B5EF4-FFF2-40B4-BE49-F238E27FC236}">
              <a16:creationId xmlns:a16="http://schemas.microsoft.com/office/drawing/2014/main" id="{5AD317A2-A934-44AB-BBF8-9E09AD1202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9" name="Host Control  226" hidden="1">
          <a:extLst>
            <a:ext uri="{FF2B5EF4-FFF2-40B4-BE49-F238E27FC236}">
              <a16:creationId xmlns:a16="http://schemas.microsoft.com/office/drawing/2014/main" id="{18ED8F50-0B28-4E1B-B1E4-0F0CF85770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0" name="Host Control  227" hidden="1">
          <a:extLst>
            <a:ext uri="{FF2B5EF4-FFF2-40B4-BE49-F238E27FC236}">
              <a16:creationId xmlns:a16="http://schemas.microsoft.com/office/drawing/2014/main" id="{0B7027DC-BC75-46C7-AF8F-CEA36F23816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1" name="Host Control  228" hidden="1">
          <a:extLst>
            <a:ext uri="{FF2B5EF4-FFF2-40B4-BE49-F238E27FC236}">
              <a16:creationId xmlns:a16="http://schemas.microsoft.com/office/drawing/2014/main" id="{0554CC87-41F1-4500-AA78-1AA0D5617CD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2" name="Host Control  229" hidden="1">
          <a:extLst>
            <a:ext uri="{FF2B5EF4-FFF2-40B4-BE49-F238E27FC236}">
              <a16:creationId xmlns:a16="http://schemas.microsoft.com/office/drawing/2014/main" id="{965D3107-93F5-49FD-8A10-6E5EB8DA592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3" name="Host Control  230" hidden="1">
          <a:extLst>
            <a:ext uri="{FF2B5EF4-FFF2-40B4-BE49-F238E27FC236}">
              <a16:creationId xmlns:a16="http://schemas.microsoft.com/office/drawing/2014/main" id="{555B9C70-534C-4864-B689-4656F20FB5F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4" name="Host Control  234" hidden="1">
          <a:extLst>
            <a:ext uri="{FF2B5EF4-FFF2-40B4-BE49-F238E27FC236}">
              <a16:creationId xmlns:a16="http://schemas.microsoft.com/office/drawing/2014/main" id="{7232E5EC-3DE1-4553-B56C-C3FFE907AB2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5" name="Host Control  235" hidden="1">
          <a:extLst>
            <a:ext uri="{FF2B5EF4-FFF2-40B4-BE49-F238E27FC236}">
              <a16:creationId xmlns:a16="http://schemas.microsoft.com/office/drawing/2014/main" id="{6630B403-B801-40B3-849E-4EB3A93116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6" name="Host Control  236" hidden="1">
          <a:extLst>
            <a:ext uri="{FF2B5EF4-FFF2-40B4-BE49-F238E27FC236}">
              <a16:creationId xmlns:a16="http://schemas.microsoft.com/office/drawing/2014/main" id="{F5187BD7-F4B4-4E4B-AC60-7EEC8396170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7" name="Host Control  237" hidden="1">
          <a:extLst>
            <a:ext uri="{FF2B5EF4-FFF2-40B4-BE49-F238E27FC236}">
              <a16:creationId xmlns:a16="http://schemas.microsoft.com/office/drawing/2014/main" id="{FF55F00B-758B-4921-827B-C651FC0A1A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8" name="Host Control  238" hidden="1">
          <a:extLst>
            <a:ext uri="{FF2B5EF4-FFF2-40B4-BE49-F238E27FC236}">
              <a16:creationId xmlns:a16="http://schemas.microsoft.com/office/drawing/2014/main" id="{83392026-B290-4ED8-B916-11DCE8133C9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9" name="Host Control  239" hidden="1">
          <a:extLst>
            <a:ext uri="{FF2B5EF4-FFF2-40B4-BE49-F238E27FC236}">
              <a16:creationId xmlns:a16="http://schemas.microsoft.com/office/drawing/2014/main" id="{6AF20659-EA74-4D4E-B6BC-6D6497BE02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0" name="Host Control  240" hidden="1">
          <a:extLst>
            <a:ext uri="{FF2B5EF4-FFF2-40B4-BE49-F238E27FC236}">
              <a16:creationId xmlns:a16="http://schemas.microsoft.com/office/drawing/2014/main" id="{AC066FEE-631D-4542-97ED-7E598523F74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1" name="Host Control  241" hidden="1">
          <a:extLst>
            <a:ext uri="{FF2B5EF4-FFF2-40B4-BE49-F238E27FC236}">
              <a16:creationId xmlns:a16="http://schemas.microsoft.com/office/drawing/2014/main" id="{E64A9771-755C-4A4B-87EE-FFC5B4A146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2" name="Host Control  242" hidden="1">
          <a:extLst>
            <a:ext uri="{FF2B5EF4-FFF2-40B4-BE49-F238E27FC236}">
              <a16:creationId xmlns:a16="http://schemas.microsoft.com/office/drawing/2014/main" id="{6020E385-8687-43F4-A697-D462A509F12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3" name="Host Control  243" hidden="1">
          <a:extLst>
            <a:ext uri="{FF2B5EF4-FFF2-40B4-BE49-F238E27FC236}">
              <a16:creationId xmlns:a16="http://schemas.microsoft.com/office/drawing/2014/main" id="{CB3237E6-1FBC-4EF9-BB59-2010527158F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4" name="Host Control  244" hidden="1">
          <a:extLst>
            <a:ext uri="{FF2B5EF4-FFF2-40B4-BE49-F238E27FC236}">
              <a16:creationId xmlns:a16="http://schemas.microsoft.com/office/drawing/2014/main" id="{960C14CC-A530-4B08-9BE6-BA2A74A9804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5" name="Host Control  245" hidden="1">
          <a:extLst>
            <a:ext uri="{FF2B5EF4-FFF2-40B4-BE49-F238E27FC236}">
              <a16:creationId xmlns:a16="http://schemas.microsoft.com/office/drawing/2014/main" id="{1CB1A8C5-DF6A-4863-B966-39226DE169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6" name="Host Control  246" hidden="1">
          <a:extLst>
            <a:ext uri="{FF2B5EF4-FFF2-40B4-BE49-F238E27FC236}">
              <a16:creationId xmlns:a16="http://schemas.microsoft.com/office/drawing/2014/main" id="{BB41CFA2-859D-44DF-9ADD-5C24EBAACC9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7" name="Host Control  247" hidden="1">
          <a:extLst>
            <a:ext uri="{FF2B5EF4-FFF2-40B4-BE49-F238E27FC236}">
              <a16:creationId xmlns:a16="http://schemas.microsoft.com/office/drawing/2014/main" id="{A0FEB989-4508-44EB-AF02-B567E515014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8" name="Host Control  248" hidden="1">
          <a:extLst>
            <a:ext uri="{FF2B5EF4-FFF2-40B4-BE49-F238E27FC236}">
              <a16:creationId xmlns:a16="http://schemas.microsoft.com/office/drawing/2014/main" id="{C106FF08-ABE9-4445-AB45-62284546F91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9" name="Host Control  249" hidden="1">
          <a:extLst>
            <a:ext uri="{FF2B5EF4-FFF2-40B4-BE49-F238E27FC236}">
              <a16:creationId xmlns:a16="http://schemas.microsoft.com/office/drawing/2014/main" id="{42D0F2FA-A621-4017-B52A-34D2F830B43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0" name="Host Control  250" hidden="1">
          <a:extLst>
            <a:ext uri="{FF2B5EF4-FFF2-40B4-BE49-F238E27FC236}">
              <a16:creationId xmlns:a16="http://schemas.microsoft.com/office/drawing/2014/main" id="{5FAB0640-96A1-4C29-92D6-5B9242F4B9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1" name="Host Control  251" hidden="1">
          <a:extLst>
            <a:ext uri="{FF2B5EF4-FFF2-40B4-BE49-F238E27FC236}">
              <a16:creationId xmlns:a16="http://schemas.microsoft.com/office/drawing/2014/main" id="{92EF2FAB-B4B4-4A84-9B17-388F71BEE01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2" name="Host Control  252" hidden="1">
          <a:extLst>
            <a:ext uri="{FF2B5EF4-FFF2-40B4-BE49-F238E27FC236}">
              <a16:creationId xmlns:a16="http://schemas.microsoft.com/office/drawing/2014/main" id="{B513BFA7-98A1-43CD-A00C-A38FC9C3B07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3" name="Host Control  253" hidden="1">
          <a:extLst>
            <a:ext uri="{FF2B5EF4-FFF2-40B4-BE49-F238E27FC236}">
              <a16:creationId xmlns:a16="http://schemas.microsoft.com/office/drawing/2014/main" id="{4D924B4B-6BF3-4BAD-B5CA-D33ED7A4386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4" name="Host Control  254" hidden="1">
          <a:extLst>
            <a:ext uri="{FF2B5EF4-FFF2-40B4-BE49-F238E27FC236}">
              <a16:creationId xmlns:a16="http://schemas.microsoft.com/office/drawing/2014/main" id="{03A7C028-6646-4FA2-A4C0-F2D27C9590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5" name="Host Control  255" hidden="1">
          <a:extLst>
            <a:ext uri="{FF2B5EF4-FFF2-40B4-BE49-F238E27FC236}">
              <a16:creationId xmlns:a16="http://schemas.microsoft.com/office/drawing/2014/main" id="{6EDE19B1-A698-4E83-8AD8-33E945CC2D8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6" name="Host Control  256" hidden="1">
          <a:extLst>
            <a:ext uri="{FF2B5EF4-FFF2-40B4-BE49-F238E27FC236}">
              <a16:creationId xmlns:a16="http://schemas.microsoft.com/office/drawing/2014/main" id="{90811C18-F7E9-40EA-A581-E19DF0311EA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7" name="Host Control  257" hidden="1">
          <a:extLst>
            <a:ext uri="{FF2B5EF4-FFF2-40B4-BE49-F238E27FC236}">
              <a16:creationId xmlns:a16="http://schemas.microsoft.com/office/drawing/2014/main" id="{B2A1D1C9-3B99-4565-A18A-E643C044762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8" name="Host Control  258" hidden="1">
          <a:extLst>
            <a:ext uri="{FF2B5EF4-FFF2-40B4-BE49-F238E27FC236}">
              <a16:creationId xmlns:a16="http://schemas.microsoft.com/office/drawing/2014/main" id="{48B72EFD-1165-407D-A40F-11DB19C6E4A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9" name="Host Control  259" hidden="1">
          <a:extLst>
            <a:ext uri="{FF2B5EF4-FFF2-40B4-BE49-F238E27FC236}">
              <a16:creationId xmlns:a16="http://schemas.microsoft.com/office/drawing/2014/main" id="{8DBA97DE-C486-493E-9535-5F2BB657FE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0" name="Host Control  260" hidden="1">
          <a:extLst>
            <a:ext uri="{FF2B5EF4-FFF2-40B4-BE49-F238E27FC236}">
              <a16:creationId xmlns:a16="http://schemas.microsoft.com/office/drawing/2014/main" id="{C0B11B95-1053-40D7-B59B-DDF4074F385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1" name="Host Control  261" hidden="1">
          <a:extLst>
            <a:ext uri="{FF2B5EF4-FFF2-40B4-BE49-F238E27FC236}">
              <a16:creationId xmlns:a16="http://schemas.microsoft.com/office/drawing/2014/main" id="{5D7FB6CF-012D-4D00-BB87-F5B424EA066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2" name="Host Control  262" hidden="1">
          <a:extLst>
            <a:ext uri="{FF2B5EF4-FFF2-40B4-BE49-F238E27FC236}">
              <a16:creationId xmlns:a16="http://schemas.microsoft.com/office/drawing/2014/main" id="{8BD786CB-C720-4097-A8C1-8974C14813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3" name="Host Control  263" hidden="1">
          <a:extLst>
            <a:ext uri="{FF2B5EF4-FFF2-40B4-BE49-F238E27FC236}">
              <a16:creationId xmlns:a16="http://schemas.microsoft.com/office/drawing/2014/main" id="{A67412F9-A744-4470-960E-343B50D812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4" name="Host Control  267" hidden="1">
          <a:extLst>
            <a:ext uri="{FF2B5EF4-FFF2-40B4-BE49-F238E27FC236}">
              <a16:creationId xmlns:a16="http://schemas.microsoft.com/office/drawing/2014/main" id="{B7874262-3569-4741-8C34-CB58FFC25A8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5" name="Host Control  268" hidden="1">
          <a:extLst>
            <a:ext uri="{FF2B5EF4-FFF2-40B4-BE49-F238E27FC236}">
              <a16:creationId xmlns:a16="http://schemas.microsoft.com/office/drawing/2014/main" id="{34525A78-A71D-4A41-9E1A-4E8048C6256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6" name="Host Control  269" hidden="1">
          <a:extLst>
            <a:ext uri="{FF2B5EF4-FFF2-40B4-BE49-F238E27FC236}">
              <a16:creationId xmlns:a16="http://schemas.microsoft.com/office/drawing/2014/main" id="{059110A0-A866-45B3-9170-34526FC6CD1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7" name="Host Control  270" hidden="1">
          <a:extLst>
            <a:ext uri="{FF2B5EF4-FFF2-40B4-BE49-F238E27FC236}">
              <a16:creationId xmlns:a16="http://schemas.microsoft.com/office/drawing/2014/main" id="{DEF63AA2-2B58-48EA-A9E8-93EA647EDD2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8" name="Host Control  271" hidden="1">
          <a:extLst>
            <a:ext uri="{FF2B5EF4-FFF2-40B4-BE49-F238E27FC236}">
              <a16:creationId xmlns:a16="http://schemas.microsoft.com/office/drawing/2014/main" id="{628D7D26-C235-4142-87B5-F1CEC1FBEE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9" name="Host Control  272" hidden="1">
          <a:extLst>
            <a:ext uri="{FF2B5EF4-FFF2-40B4-BE49-F238E27FC236}">
              <a16:creationId xmlns:a16="http://schemas.microsoft.com/office/drawing/2014/main" id="{D687ACFB-C6AC-4CA1-B7CA-167512D9CAB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0" name="Host Control  273" hidden="1">
          <a:extLst>
            <a:ext uri="{FF2B5EF4-FFF2-40B4-BE49-F238E27FC236}">
              <a16:creationId xmlns:a16="http://schemas.microsoft.com/office/drawing/2014/main" id="{D038BD42-9122-4322-9DF0-5F1E5C802B0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1" name="Host Control  274" hidden="1">
          <a:extLst>
            <a:ext uri="{FF2B5EF4-FFF2-40B4-BE49-F238E27FC236}">
              <a16:creationId xmlns:a16="http://schemas.microsoft.com/office/drawing/2014/main" id="{270181D7-D702-4F62-ABA8-0DF46A4066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2" name="Host Control  275" hidden="1">
          <a:extLst>
            <a:ext uri="{FF2B5EF4-FFF2-40B4-BE49-F238E27FC236}">
              <a16:creationId xmlns:a16="http://schemas.microsoft.com/office/drawing/2014/main" id="{5132A7F0-0B49-4433-AA73-882950A765E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3" name="Host Control  276" hidden="1">
          <a:extLst>
            <a:ext uri="{FF2B5EF4-FFF2-40B4-BE49-F238E27FC236}">
              <a16:creationId xmlns:a16="http://schemas.microsoft.com/office/drawing/2014/main" id="{89668533-FD16-4D7D-9F9D-0CF2F16B8A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4" name="Host Control  277" hidden="1">
          <a:extLst>
            <a:ext uri="{FF2B5EF4-FFF2-40B4-BE49-F238E27FC236}">
              <a16:creationId xmlns:a16="http://schemas.microsoft.com/office/drawing/2014/main" id="{F1F17838-2D31-4E52-87F7-89D62D91166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5" name="Host Control  278" hidden="1">
          <a:extLst>
            <a:ext uri="{FF2B5EF4-FFF2-40B4-BE49-F238E27FC236}">
              <a16:creationId xmlns:a16="http://schemas.microsoft.com/office/drawing/2014/main" id="{B0638FE1-9FCE-45E5-81DC-4067CE15994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6" name="Host Control  279" hidden="1">
          <a:extLst>
            <a:ext uri="{FF2B5EF4-FFF2-40B4-BE49-F238E27FC236}">
              <a16:creationId xmlns:a16="http://schemas.microsoft.com/office/drawing/2014/main" id="{7B54FEEC-2F97-4FE6-9750-86C9292B8F2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7" name="Host Control  280" hidden="1">
          <a:extLst>
            <a:ext uri="{FF2B5EF4-FFF2-40B4-BE49-F238E27FC236}">
              <a16:creationId xmlns:a16="http://schemas.microsoft.com/office/drawing/2014/main" id="{EB5C5FB8-4AB4-4B98-9052-797975B152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8" name="Host Control  281" hidden="1">
          <a:extLst>
            <a:ext uri="{FF2B5EF4-FFF2-40B4-BE49-F238E27FC236}">
              <a16:creationId xmlns:a16="http://schemas.microsoft.com/office/drawing/2014/main" id="{E07F0D69-2CF5-4B30-9CBE-65F1064CC2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9" name="Host Control  282" hidden="1">
          <a:extLst>
            <a:ext uri="{FF2B5EF4-FFF2-40B4-BE49-F238E27FC236}">
              <a16:creationId xmlns:a16="http://schemas.microsoft.com/office/drawing/2014/main" id="{BDFC8AA6-7372-43C5-8313-A89376AD769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0" name="Host Control  283" hidden="1">
          <a:extLst>
            <a:ext uri="{FF2B5EF4-FFF2-40B4-BE49-F238E27FC236}">
              <a16:creationId xmlns:a16="http://schemas.microsoft.com/office/drawing/2014/main" id="{94235291-77A8-4365-83E8-609FF14C3D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1" name="Host Control  284" hidden="1">
          <a:extLst>
            <a:ext uri="{FF2B5EF4-FFF2-40B4-BE49-F238E27FC236}">
              <a16:creationId xmlns:a16="http://schemas.microsoft.com/office/drawing/2014/main" id="{91822603-87C5-4218-B5A9-5D37E5629E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2" name="Host Control  285" hidden="1">
          <a:extLst>
            <a:ext uri="{FF2B5EF4-FFF2-40B4-BE49-F238E27FC236}">
              <a16:creationId xmlns:a16="http://schemas.microsoft.com/office/drawing/2014/main" id="{0FAA25A5-2079-4A66-BEC6-2F550C5273B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3" name="Host Control  286" hidden="1">
          <a:extLst>
            <a:ext uri="{FF2B5EF4-FFF2-40B4-BE49-F238E27FC236}">
              <a16:creationId xmlns:a16="http://schemas.microsoft.com/office/drawing/2014/main" id="{1182C256-6E2D-4A90-B45E-092969B7667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4" name="Host Control  287" hidden="1">
          <a:extLst>
            <a:ext uri="{FF2B5EF4-FFF2-40B4-BE49-F238E27FC236}">
              <a16:creationId xmlns:a16="http://schemas.microsoft.com/office/drawing/2014/main" id="{EFAB3219-7C4E-4E2F-91C8-D803DCF3F6D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5" name="Host Control  288" hidden="1">
          <a:extLst>
            <a:ext uri="{FF2B5EF4-FFF2-40B4-BE49-F238E27FC236}">
              <a16:creationId xmlns:a16="http://schemas.microsoft.com/office/drawing/2014/main" id="{426DFC66-C043-44BD-812D-BA3C0800629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6" name="Host Control  289" hidden="1">
          <a:extLst>
            <a:ext uri="{FF2B5EF4-FFF2-40B4-BE49-F238E27FC236}">
              <a16:creationId xmlns:a16="http://schemas.microsoft.com/office/drawing/2014/main" id="{77AE4297-7C1A-4782-B79C-9B131777720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7" name="Host Control  290" hidden="1">
          <a:extLst>
            <a:ext uri="{FF2B5EF4-FFF2-40B4-BE49-F238E27FC236}">
              <a16:creationId xmlns:a16="http://schemas.microsoft.com/office/drawing/2014/main" id="{232FA221-50AA-453F-A635-94F0730171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8" name="Host Control  291" hidden="1">
          <a:extLst>
            <a:ext uri="{FF2B5EF4-FFF2-40B4-BE49-F238E27FC236}">
              <a16:creationId xmlns:a16="http://schemas.microsoft.com/office/drawing/2014/main" id="{7029E934-FD22-467F-B011-2199D384817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9" name="Host Control  292" hidden="1">
          <a:extLst>
            <a:ext uri="{FF2B5EF4-FFF2-40B4-BE49-F238E27FC236}">
              <a16:creationId xmlns:a16="http://schemas.microsoft.com/office/drawing/2014/main" id="{479CD7A2-B4A1-4BDE-9B19-0DB18F829B1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0" name="Host Control  293" hidden="1">
          <a:extLst>
            <a:ext uri="{FF2B5EF4-FFF2-40B4-BE49-F238E27FC236}">
              <a16:creationId xmlns:a16="http://schemas.microsoft.com/office/drawing/2014/main" id="{8755E643-3E6A-4F26-9759-3FDC6607F7B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1" name="Host Control  294" hidden="1">
          <a:extLst>
            <a:ext uri="{FF2B5EF4-FFF2-40B4-BE49-F238E27FC236}">
              <a16:creationId xmlns:a16="http://schemas.microsoft.com/office/drawing/2014/main" id="{92C25256-4365-4B1E-A29C-576EF202391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2" name="Host Control  295" hidden="1">
          <a:extLst>
            <a:ext uri="{FF2B5EF4-FFF2-40B4-BE49-F238E27FC236}">
              <a16:creationId xmlns:a16="http://schemas.microsoft.com/office/drawing/2014/main" id="{0134990F-1B63-481C-B29F-F11F835BCB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3" name="Host Control  296" hidden="1">
          <a:extLst>
            <a:ext uri="{FF2B5EF4-FFF2-40B4-BE49-F238E27FC236}">
              <a16:creationId xmlns:a16="http://schemas.microsoft.com/office/drawing/2014/main" id="{0944CA5C-4F4C-4112-B6AE-CF670DB5DC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4" name="Host Control  483" hidden="1">
          <a:extLst>
            <a:ext uri="{FF2B5EF4-FFF2-40B4-BE49-F238E27FC236}">
              <a16:creationId xmlns:a16="http://schemas.microsoft.com/office/drawing/2014/main" id="{C77067A5-C063-47AB-B435-ECD7D8FC995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5" name="Host Control  484" hidden="1">
          <a:extLst>
            <a:ext uri="{FF2B5EF4-FFF2-40B4-BE49-F238E27FC236}">
              <a16:creationId xmlns:a16="http://schemas.microsoft.com/office/drawing/2014/main" id="{54B5FD2E-8B90-4797-9733-1BF61054EEE8}"/>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6" name="Host Control  485" hidden="1">
          <a:extLst>
            <a:ext uri="{FF2B5EF4-FFF2-40B4-BE49-F238E27FC236}">
              <a16:creationId xmlns:a16="http://schemas.microsoft.com/office/drawing/2014/main" id="{0ED50910-13B8-41B2-B049-60C2F8872969}"/>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7" name="Host Control  486" hidden="1">
          <a:extLst>
            <a:ext uri="{FF2B5EF4-FFF2-40B4-BE49-F238E27FC236}">
              <a16:creationId xmlns:a16="http://schemas.microsoft.com/office/drawing/2014/main" id="{D1E8F496-C003-4DA3-86F4-C3F93F25FBD4}"/>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8" name="Host Control  487" hidden="1">
          <a:extLst>
            <a:ext uri="{FF2B5EF4-FFF2-40B4-BE49-F238E27FC236}">
              <a16:creationId xmlns:a16="http://schemas.microsoft.com/office/drawing/2014/main" id="{4F00B8C5-34E7-421F-9F61-AF7E0D0200C9}"/>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9" name="Host Control  488" hidden="1">
          <a:extLst>
            <a:ext uri="{FF2B5EF4-FFF2-40B4-BE49-F238E27FC236}">
              <a16:creationId xmlns:a16="http://schemas.microsoft.com/office/drawing/2014/main" id="{AE598034-0BAA-4883-8506-438E5C4A566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0" name="Host Control  489" hidden="1">
          <a:extLst>
            <a:ext uri="{FF2B5EF4-FFF2-40B4-BE49-F238E27FC236}">
              <a16:creationId xmlns:a16="http://schemas.microsoft.com/office/drawing/2014/main" id="{A816D2D0-1767-449C-B727-0926DD15CE3F}"/>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1" name="Host Control  490" hidden="1">
          <a:extLst>
            <a:ext uri="{FF2B5EF4-FFF2-40B4-BE49-F238E27FC236}">
              <a16:creationId xmlns:a16="http://schemas.microsoft.com/office/drawing/2014/main" id="{C5B0995D-B2E8-4D2F-8191-FE5B5A74485D}"/>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2" name="Host Control  491" hidden="1">
          <a:extLst>
            <a:ext uri="{FF2B5EF4-FFF2-40B4-BE49-F238E27FC236}">
              <a16:creationId xmlns:a16="http://schemas.microsoft.com/office/drawing/2014/main" id="{E1047D5D-F9A8-4DA1-B45D-503A8904C12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3" name="Host Control  492" hidden="1">
          <a:extLst>
            <a:ext uri="{FF2B5EF4-FFF2-40B4-BE49-F238E27FC236}">
              <a16:creationId xmlns:a16="http://schemas.microsoft.com/office/drawing/2014/main" id="{4890F804-85FB-44B7-A8A7-3656F669F985}"/>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4" name="Host Control  493" hidden="1">
          <a:extLst>
            <a:ext uri="{FF2B5EF4-FFF2-40B4-BE49-F238E27FC236}">
              <a16:creationId xmlns:a16="http://schemas.microsoft.com/office/drawing/2014/main" id="{553F366C-5CD0-4EE5-9781-0F9CD3F213C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5" name="Host Control  494" hidden="1">
          <a:extLst>
            <a:ext uri="{FF2B5EF4-FFF2-40B4-BE49-F238E27FC236}">
              <a16:creationId xmlns:a16="http://schemas.microsoft.com/office/drawing/2014/main" id="{7051FE05-4394-4245-9F9B-7CA8FB32518B}"/>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6" name="Host Control  495" hidden="1">
          <a:extLst>
            <a:ext uri="{FF2B5EF4-FFF2-40B4-BE49-F238E27FC236}">
              <a16:creationId xmlns:a16="http://schemas.microsoft.com/office/drawing/2014/main" id="{29FB3A3A-BAC8-4678-A2A2-4BEDA0F0A255}"/>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7" name="Host Control  496" hidden="1">
          <a:extLst>
            <a:ext uri="{FF2B5EF4-FFF2-40B4-BE49-F238E27FC236}">
              <a16:creationId xmlns:a16="http://schemas.microsoft.com/office/drawing/2014/main" id="{6DF5552F-CDB8-4B17-96F6-D1D1295D00E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8" name="Host Control  497" hidden="1">
          <a:extLst>
            <a:ext uri="{FF2B5EF4-FFF2-40B4-BE49-F238E27FC236}">
              <a16:creationId xmlns:a16="http://schemas.microsoft.com/office/drawing/2014/main" id="{CCC51718-022F-4327-AB56-4732D89EE93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9" name="Host Control  498" hidden="1">
          <a:extLst>
            <a:ext uri="{FF2B5EF4-FFF2-40B4-BE49-F238E27FC236}">
              <a16:creationId xmlns:a16="http://schemas.microsoft.com/office/drawing/2014/main" id="{77B17758-AD1B-412F-8BF5-DA6473AA0991}"/>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0" name="Host Control  499" hidden="1">
          <a:extLst>
            <a:ext uri="{FF2B5EF4-FFF2-40B4-BE49-F238E27FC236}">
              <a16:creationId xmlns:a16="http://schemas.microsoft.com/office/drawing/2014/main" id="{7343317E-7326-441F-85DC-1CF45131C8F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1" name="Host Control  500" hidden="1">
          <a:extLst>
            <a:ext uri="{FF2B5EF4-FFF2-40B4-BE49-F238E27FC236}">
              <a16:creationId xmlns:a16="http://schemas.microsoft.com/office/drawing/2014/main" id="{CB799E49-FA9D-4ED4-963E-EC4A18034BE6}"/>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2" name="Host Control  501" hidden="1">
          <a:extLst>
            <a:ext uri="{FF2B5EF4-FFF2-40B4-BE49-F238E27FC236}">
              <a16:creationId xmlns:a16="http://schemas.microsoft.com/office/drawing/2014/main" id="{EED655D5-FE62-4EE5-9258-22E53861C95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3" name="Host Control  502" hidden="1">
          <a:extLst>
            <a:ext uri="{FF2B5EF4-FFF2-40B4-BE49-F238E27FC236}">
              <a16:creationId xmlns:a16="http://schemas.microsoft.com/office/drawing/2014/main" id="{81364109-1761-40F4-B9CF-4F12CB945E6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4" name="Host Control  503" hidden="1">
          <a:extLst>
            <a:ext uri="{FF2B5EF4-FFF2-40B4-BE49-F238E27FC236}">
              <a16:creationId xmlns:a16="http://schemas.microsoft.com/office/drawing/2014/main" id="{3E6BFC09-4585-47B5-BCD9-2972B78C1DB2}"/>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5" name="Host Control  504" hidden="1">
          <a:extLst>
            <a:ext uri="{FF2B5EF4-FFF2-40B4-BE49-F238E27FC236}">
              <a16:creationId xmlns:a16="http://schemas.microsoft.com/office/drawing/2014/main" id="{0032A2DB-5760-4469-9D95-07407C95258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6" name="Host Control  505" hidden="1">
          <a:extLst>
            <a:ext uri="{FF2B5EF4-FFF2-40B4-BE49-F238E27FC236}">
              <a16:creationId xmlns:a16="http://schemas.microsoft.com/office/drawing/2014/main" id="{F8428560-BBEF-4BD2-BD92-00539C8212FE}"/>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7" name="Host Control  506" hidden="1">
          <a:extLst>
            <a:ext uri="{FF2B5EF4-FFF2-40B4-BE49-F238E27FC236}">
              <a16:creationId xmlns:a16="http://schemas.microsoft.com/office/drawing/2014/main" id="{87B3A747-87BD-4C6F-A9E4-F37D17E2ECFF}"/>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8" name="Host Control  507" hidden="1">
          <a:extLst>
            <a:ext uri="{FF2B5EF4-FFF2-40B4-BE49-F238E27FC236}">
              <a16:creationId xmlns:a16="http://schemas.microsoft.com/office/drawing/2014/main" id="{64ACDA39-4FC8-440E-ADC1-9243051630F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9" name="Host Control  508" hidden="1">
          <a:extLst>
            <a:ext uri="{FF2B5EF4-FFF2-40B4-BE49-F238E27FC236}">
              <a16:creationId xmlns:a16="http://schemas.microsoft.com/office/drawing/2014/main" id="{D909F3BC-13B0-44C5-ABBE-6049A7DAABA4}"/>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0" name="Host Control  509" hidden="1">
          <a:extLst>
            <a:ext uri="{FF2B5EF4-FFF2-40B4-BE49-F238E27FC236}">
              <a16:creationId xmlns:a16="http://schemas.microsoft.com/office/drawing/2014/main" id="{B774D284-8CF3-433C-A315-4B253413DFBB}"/>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1" name="Host Control  510" hidden="1">
          <a:extLst>
            <a:ext uri="{FF2B5EF4-FFF2-40B4-BE49-F238E27FC236}">
              <a16:creationId xmlns:a16="http://schemas.microsoft.com/office/drawing/2014/main" id="{D84EC5E1-6504-4C00-85E4-54D078A867B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2" name="Host Control  511" hidden="1">
          <a:extLst>
            <a:ext uri="{FF2B5EF4-FFF2-40B4-BE49-F238E27FC236}">
              <a16:creationId xmlns:a16="http://schemas.microsoft.com/office/drawing/2014/main" id="{5988F1BC-999E-4DB2-B209-D3447BDD60F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3" name="Host Control  512" hidden="1">
          <a:extLst>
            <a:ext uri="{FF2B5EF4-FFF2-40B4-BE49-F238E27FC236}">
              <a16:creationId xmlns:a16="http://schemas.microsoft.com/office/drawing/2014/main" id="{F0FA0558-0E8C-4009-A7DF-3E47D2DA6A32}"/>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4" name="Host Control  517" hidden="1">
          <a:extLst>
            <a:ext uri="{FF2B5EF4-FFF2-40B4-BE49-F238E27FC236}">
              <a16:creationId xmlns:a16="http://schemas.microsoft.com/office/drawing/2014/main" id="{89A6B5F1-238C-4125-BFAD-4D13EB4F5F0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5" name="Host Control  518" hidden="1">
          <a:extLst>
            <a:ext uri="{FF2B5EF4-FFF2-40B4-BE49-F238E27FC236}">
              <a16:creationId xmlns:a16="http://schemas.microsoft.com/office/drawing/2014/main" id="{CE1C1B03-D688-4981-9477-EF9961839CB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6" name="Host Control  519" hidden="1">
          <a:extLst>
            <a:ext uri="{FF2B5EF4-FFF2-40B4-BE49-F238E27FC236}">
              <a16:creationId xmlns:a16="http://schemas.microsoft.com/office/drawing/2014/main" id="{6E90D482-4F97-4506-BEC8-0731AF75E87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7" name="Host Control  520" hidden="1">
          <a:extLst>
            <a:ext uri="{FF2B5EF4-FFF2-40B4-BE49-F238E27FC236}">
              <a16:creationId xmlns:a16="http://schemas.microsoft.com/office/drawing/2014/main" id="{7364CA73-D74C-4B9E-AAB3-26E81587844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8" name="Host Control  521" hidden="1">
          <a:extLst>
            <a:ext uri="{FF2B5EF4-FFF2-40B4-BE49-F238E27FC236}">
              <a16:creationId xmlns:a16="http://schemas.microsoft.com/office/drawing/2014/main" id="{0877CFCD-32DD-4E6E-8C21-D6B8699F92F2}"/>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9" name="Host Control  522" hidden="1">
          <a:extLst>
            <a:ext uri="{FF2B5EF4-FFF2-40B4-BE49-F238E27FC236}">
              <a16:creationId xmlns:a16="http://schemas.microsoft.com/office/drawing/2014/main" id="{E1FBF87C-A911-486F-B053-81244D112724}"/>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0" name="Host Control  523" hidden="1">
          <a:extLst>
            <a:ext uri="{FF2B5EF4-FFF2-40B4-BE49-F238E27FC236}">
              <a16:creationId xmlns:a16="http://schemas.microsoft.com/office/drawing/2014/main" id="{9B10F67C-5536-446C-BCF5-09D651B6332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1" name="Host Control  524" hidden="1">
          <a:extLst>
            <a:ext uri="{FF2B5EF4-FFF2-40B4-BE49-F238E27FC236}">
              <a16:creationId xmlns:a16="http://schemas.microsoft.com/office/drawing/2014/main" id="{1E4B2EEF-6A1D-4A6F-B481-4ADE2C97C82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2" name="Host Control  525" hidden="1">
          <a:extLst>
            <a:ext uri="{FF2B5EF4-FFF2-40B4-BE49-F238E27FC236}">
              <a16:creationId xmlns:a16="http://schemas.microsoft.com/office/drawing/2014/main" id="{2E61B615-9D6D-4C2C-B76A-86D8B7CC60E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3" name="Host Control  526" hidden="1">
          <a:extLst>
            <a:ext uri="{FF2B5EF4-FFF2-40B4-BE49-F238E27FC236}">
              <a16:creationId xmlns:a16="http://schemas.microsoft.com/office/drawing/2014/main" id="{79EEE49C-F27D-4B8E-82CE-3EBB6789146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4" name="Host Control  527" hidden="1">
          <a:extLst>
            <a:ext uri="{FF2B5EF4-FFF2-40B4-BE49-F238E27FC236}">
              <a16:creationId xmlns:a16="http://schemas.microsoft.com/office/drawing/2014/main" id="{42339409-0DFE-4A29-B9BA-4D5D5D1312B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5" name="Host Control  528" hidden="1">
          <a:extLst>
            <a:ext uri="{FF2B5EF4-FFF2-40B4-BE49-F238E27FC236}">
              <a16:creationId xmlns:a16="http://schemas.microsoft.com/office/drawing/2014/main" id="{815627F9-B88B-4F6A-A744-35C6525B1356}"/>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6" name="Host Control  529" hidden="1">
          <a:extLst>
            <a:ext uri="{FF2B5EF4-FFF2-40B4-BE49-F238E27FC236}">
              <a16:creationId xmlns:a16="http://schemas.microsoft.com/office/drawing/2014/main" id="{F1ACBF38-325C-4811-B965-E14E4A992AF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7" name="Host Control  530" hidden="1">
          <a:extLst>
            <a:ext uri="{FF2B5EF4-FFF2-40B4-BE49-F238E27FC236}">
              <a16:creationId xmlns:a16="http://schemas.microsoft.com/office/drawing/2014/main" id="{E800F9CB-D8C5-4B82-AE3A-2900AF907FE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8" name="Host Control  531" hidden="1">
          <a:extLst>
            <a:ext uri="{FF2B5EF4-FFF2-40B4-BE49-F238E27FC236}">
              <a16:creationId xmlns:a16="http://schemas.microsoft.com/office/drawing/2014/main" id="{911FC3A2-8B4B-4B36-8215-C9A74EE2E62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9" name="Host Control  532" hidden="1">
          <a:extLst>
            <a:ext uri="{FF2B5EF4-FFF2-40B4-BE49-F238E27FC236}">
              <a16:creationId xmlns:a16="http://schemas.microsoft.com/office/drawing/2014/main" id="{81E12DEB-1B5E-4A0F-BFBC-2FF9ED1E1B6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0" name="Host Control  533" hidden="1">
          <a:extLst>
            <a:ext uri="{FF2B5EF4-FFF2-40B4-BE49-F238E27FC236}">
              <a16:creationId xmlns:a16="http://schemas.microsoft.com/office/drawing/2014/main" id="{626879B7-B67B-45D4-9A74-87FC3DE1868A}"/>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1" name="Host Control  534" hidden="1">
          <a:extLst>
            <a:ext uri="{FF2B5EF4-FFF2-40B4-BE49-F238E27FC236}">
              <a16:creationId xmlns:a16="http://schemas.microsoft.com/office/drawing/2014/main" id="{AA560ACD-505D-4781-9DE5-F5A2BE40F5F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2" name="Host Control  535" hidden="1">
          <a:extLst>
            <a:ext uri="{FF2B5EF4-FFF2-40B4-BE49-F238E27FC236}">
              <a16:creationId xmlns:a16="http://schemas.microsoft.com/office/drawing/2014/main" id="{834CEF43-7C8C-420D-B29A-A9134EDA574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3" name="Host Control  536" hidden="1">
          <a:extLst>
            <a:ext uri="{FF2B5EF4-FFF2-40B4-BE49-F238E27FC236}">
              <a16:creationId xmlns:a16="http://schemas.microsoft.com/office/drawing/2014/main" id="{BBFC56CF-E34B-43D7-A853-6AB7E4514EAA}"/>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4" name="Host Control  537" hidden="1">
          <a:extLst>
            <a:ext uri="{FF2B5EF4-FFF2-40B4-BE49-F238E27FC236}">
              <a16:creationId xmlns:a16="http://schemas.microsoft.com/office/drawing/2014/main" id="{C9F4F02C-CC55-4F7D-AF7B-0A5ACBC5FA4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5" name="Host Control  538" hidden="1">
          <a:extLst>
            <a:ext uri="{FF2B5EF4-FFF2-40B4-BE49-F238E27FC236}">
              <a16:creationId xmlns:a16="http://schemas.microsoft.com/office/drawing/2014/main" id="{3BA8614C-3FFE-41BB-A644-3A90C3072FF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6" name="Host Control  539" hidden="1">
          <a:extLst>
            <a:ext uri="{FF2B5EF4-FFF2-40B4-BE49-F238E27FC236}">
              <a16:creationId xmlns:a16="http://schemas.microsoft.com/office/drawing/2014/main" id="{511F72DB-F6C1-4AC3-94C2-3D0F98984CC4}"/>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7" name="Host Control  540" hidden="1">
          <a:extLst>
            <a:ext uri="{FF2B5EF4-FFF2-40B4-BE49-F238E27FC236}">
              <a16:creationId xmlns:a16="http://schemas.microsoft.com/office/drawing/2014/main" id="{EA005051-C340-4D19-BBB1-0EC0F85C39C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8" name="Host Control  541" hidden="1">
          <a:extLst>
            <a:ext uri="{FF2B5EF4-FFF2-40B4-BE49-F238E27FC236}">
              <a16:creationId xmlns:a16="http://schemas.microsoft.com/office/drawing/2014/main" id="{CCD1F099-2C0C-4519-B049-060881C6373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9" name="Host Control  542" hidden="1">
          <a:extLst>
            <a:ext uri="{FF2B5EF4-FFF2-40B4-BE49-F238E27FC236}">
              <a16:creationId xmlns:a16="http://schemas.microsoft.com/office/drawing/2014/main" id="{F09E7C63-DF71-4250-BA55-41CDD0FA564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0" name="Host Control  543" hidden="1">
          <a:extLst>
            <a:ext uri="{FF2B5EF4-FFF2-40B4-BE49-F238E27FC236}">
              <a16:creationId xmlns:a16="http://schemas.microsoft.com/office/drawing/2014/main" id="{E2FE1F70-E95D-4652-B6D4-088B4D7E90A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1" name="Host Control  544" hidden="1">
          <a:extLst>
            <a:ext uri="{FF2B5EF4-FFF2-40B4-BE49-F238E27FC236}">
              <a16:creationId xmlns:a16="http://schemas.microsoft.com/office/drawing/2014/main" id="{79731C6C-F6F0-4A92-8EBE-1DC4CA0B88C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2" name="Host Control  545" hidden="1">
          <a:extLst>
            <a:ext uri="{FF2B5EF4-FFF2-40B4-BE49-F238E27FC236}">
              <a16:creationId xmlns:a16="http://schemas.microsoft.com/office/drawing/2014/main" id="{7F5CA678-38F4-46DE-A5B3-C685169B1D0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3" name="Host Control  583" hidden="1">
          <a:extLst>
            <a:ext uri="{FF2B5EF4-FFF2-40B4-BE49-F238E27FC236}">
              <a16:creationId xmlns:a16="http://schemas.microsoft.com/office/drawing/2014/main" id="{E1855666-F8A7-4034-A513-358CA2CB251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4" name="Host Control  584" hidden="1">
          <a:extLst>
            <a:ext uri="{FF2B5EF4-FFF2-40B4-BE49-F238E27FC236}">
              <a16:creationId xmlns:a16="http://schemas.microsoft.com/office/drawing/2014/main" id="{F6E41211-9415-4F5C-8D08-DCC76357D7C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5" name="Host Control  585" hidden="1">
          <a:extLst>
            <a:ext uri="{FF2B5EF4-FFF2-40B4-BE49-F238E27FC236}">
              <a16:creationId xmlns:a16="http://schemas.microsoft.com/office/drawing/2014/main" id="{E4E7C237-64D7-4D46-8BE1-6ACA8524F00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6" name="Host Control  586" hidden="1">
          <a:extLst>
            <a:ext uri="{FF2B5EF4-FFF2-40B4-BE49-F238E27FC236}">
              <a16:creationId xmlns:a16="http://schemas.microsoft.com/office/drawing/2014/main" id="{17429A40-0A22-4618-AB4F-9BB1CD888AA6}"/>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7" name="Host Control  587" hidden="1">
          <a:extLst>
            <a:ext uri="{FF2B5EF4-FFF2-40B4-BE49-F238E27FC236}">
              <a16:creationId xmlns:a16="http://schemas.microsoft.com/office/drawing/2014/main" id="{382A9B0B-040F-4BAD-AA52-25CD4683719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8" name="Host Control  588" hidden="1">
          <a:extLst>
            <a:ext uri="{FF2B5EF4-FFF2-40B4-BE49-F238E27FC236}">
              <a16:creationId xmlns:a16="http://schemas.microsoft.com/office/drawing/2014/main" id="{3AAC29EC-66D4-4AAD-AF5B-0CD2569539F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9" name="Host Control  589" hidden="1">
          <a:extLst>
            <a:ext uri="{FF2B5EF4-FFF2-40B4-BE49-F238E27FC236}">
              <a16:creationId xmlns:a16="http://schemas.microsoft.com/office/drawing/2014/main" id="{E3359A0A-86A5-4903-B64E-16013CB02D2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0" name="Host Control  590" hidden="1">
          <a:extLst>
            <a:ext uri="{FF2B5EF4-FFF2-40B4-BE49-F238E27FC236}">
              <a16:creationId xmlns:a16="http://schemas.microsoft.com/office/drawing/2014/main" id="{6A8AE9C2-16D6-4B02-88BA-B09B8BB0D44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1" name="Host Control  591" hidden="1">
          <a:extLst>
            <a:ext uri="{FF2B5EF4-FFF2-40B4-BE49-F238E27FC236}">
              <a16:creationId xmlns:a16="http://schemas.microsoft.com/office/drawing/2014/main" id="{4F67DD61-470F-4EFE-B044-8B972201F4A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2" name="Host Control  592" hidden="1">
          <a:extLst>
            <a:ext uri="{FF2B5EF4-FFF2-40B4-BE49-F238E27FC236}">
              <a16:creationId xmlns:a16="http://schemas.microsoft.com/office/drawing/2014/main" id="{C3FBC531-7EB7-4DA2-9990-EC69A205E6C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3" name="Host Control  593" hidden="1">
          <a:extLst>
            <a:ext uri="{FF2B5EF4-FFF2-40B4-BE49-F238E27FC236}">
              <a16:creationId xmlns:a16="http://schemas.microsoft.com/office/drawing/2014/main" id="{762C9AA4-EF77-4115-BEB6-DCBEE61491F7}"/>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4" name="Host Control  594" hidden="1">
          <a:extLst>
            <a:ext uri="{FF2B5EF4-FFF2-40B4-BE49-F238E27FC236}">
              <a16:creationId xmlns:a16="http://schemas.microsoft.com/office/drawing/2014/main" id="{2131FF25-A9B6-445D-A395-CDB9F7704E6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5" name="Host Control  595" hidden="1">
          <a:extLst>
            <a:ext uri="{FF2B5EF4-FFF2-40B4-BE49-F238E27FC236}">
              <a16:creationId xmlns:a16="http://schemas.microsoft.com/office/drawing/2014/main" id="{2D9B27FA-40B2-4209-90D4-CED34975B1D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6" name="Host Control  596" hidden="1">
          <a:extLst>
            <a:ext uri="{FF2B5EF4-FFF2-40B4-BE49-F238E27FC236}">
              <a16:creationId xmlns:a16="http://schemas.microsoft.com/office/drawing/2014/main" id="{C51F87D0-BE55-450D-A7DE-FD98A2C98FF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7" name="Host Control  597" hidden="1">
          <a:extLst>
            <a:ext uri="{FF2B5EF4-FFF2-40B4-BE49-F238E27FC236}">
              <a16:creationId xmlns:a16="http://schemas.microsoft.com/office/drawing/2014/main" id="{0B4E19CE-DE81-4FEC-A051-CE1A555CB25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8" name="Host Control  598" hidden="1">
          <a:extLst>
            <a:ext uri="{FF2B5EF4-FFF2-40B4-BE49-F238E27FC236}">
              <a16:creationId xmlns:a16="http://schemas.microsoft.com/office/drawing/2014/main" id="{1E50DEF1-855F-4405-891E-26C239F5283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9" name="Host Control  599" hidden="1">
          <a:extLst>
            <a:ext uri="{FF2B5EF4-FFF2-40B4-BE49-F238E27FC236}">
              <a16:creationId xmlns:a16="http://schemas.microsoft.com/office/drawing/2014/main" id="{11D215BD-B63D-44A9-A40F-DF1B79B6C14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0" name="Host Control  600" hidden="1">
          <a:extLst>
            <a:ext uri="{FF2B5EF4-FFF2-40B4-BE49-F238E27FC236}">
              <a16:creationId xmlns:a16="http://schemas.microsoft.com/office/drawing/2014/main" id="{621109A5-6261-4365-BD4C-2C95ABC6BB07}"/>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1" name="Host Control  601" hidden="1">
          <a:extLst>
            <a:ext uri="{FF2B5EF4-FFF2-40B4-BE49-F238E27FC236}">
              <a16:creationId xmlns:a16="http://schemas.microsoft.com/office/drawing/2014/main" id="{DC65E035-5187-4284-AA7A-8DBF7EF9B3C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2" name="Host Control  602" hidden="1">
          <a:extLst>
            <a:ext uri="{FF2B5EF4-FFF2-40B4-BE49-F238E27FC236}">
              <a16:creationId xmlns:a16="http://schemas.microsoft.com/office/drawing/2014/main" id="{C3340A2A-51E5-4D07-8CD1-1879F9F8273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3" name="Host Control  603" hidden="1">
          <a:extLst>
            <a:ext uri="{FF2B5EF4-FFF2-40B4-BE49-F238E27FC236}">
              <a16:creationId xmlns:a16="http://schemas.microsoft.com/office/drawing/2014/main" id="{8F99ACF2-D30E-4AEF-88BB-28AE7AA029D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4" name="Host Control  604" hidden="1">
          <a:extLst>
            <a:ext uri="{FF2B5EF4-FFF2-40B4-BE49-F238E27FC236}">
              <a16:creationId xmlns:a16="http://schemas.microsoft.com/office/drawing/2014/main" id="{F86215AE-3EA4-4A39-8627-7615A123D21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5" name="Host Control  605" hidden="1">
          <a:extLst>
            <a:ext uri="{FF2B5EF4-FFF2-40B4-BE49-F238E27FC236}">
              <a16:creationId xmlns:a16="http://schemas.microsoft.com/office/drawing/2014/main" id="{5B8595B6-FF95-48CA-88ED-38D28947B77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6" name="Host Control  606" hidden="1">
          <a:extLst>
            <a:ext uri="{FF2B5EF4-FFF2-40B4-BE49-F238E27FC236}">
              <a16:creationId xmlns:a16="http://schemas.microsoft.com/office/drawing/2014/main" id="{0DFADB02-9739-4138-9837-6CC150DDB6E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7" name="Host Control  607" hidden="1">
          <a:extLst>
            <a:ext uri="{FF2B5EF4-FFF2-40B4-BE49-F238E27FC236}">
              <a16:creationId xmlns:a16="http://schemas.microsoft.com/office/drawing/2014/main" id="{8AE78600-D999-464D-80D5-D0329858707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8" name="Host Control  608" hidden="1">
          <a:extLst>
            <a:ext uri="{FF2B5EF4-FFF2-40B4-BE49-F238E27FC236}">
              <a16:creationId xmlns:a16="http://schemas.microsoft.com/office/drawing/2014/main" id="{51C93951-2D42-41CB-8632-521D789A8DF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9" name="Host Control  609" hidden="1">
          <a:extLst>
            <a:ext uri="{FF2B5EF4-FFF2-40B4-BE49-F238E27FC236}">
              <a16:creationId xmlns:a16="http://schemas.microsoft.com/office/drawing/2014/main" id="{C7FF945D-4272-4411-B1E4-6FB6024F452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80" name="Host Control  610" hidden="1">
          <a:extLst>
            <a:ext uri="{FF2B5EF4-FFF2-40B4-BE49-F238E27FC236}">
              <a16:creationId xmlns:a16="http://schemas.microsoft.com/office/drawing/2014/main" id="{0E2ADF00-6E94-4FF7-974B-91F450A698D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81" name="Host Control  611" hidden="1">
          <a:extLst>
            <a:ext uri="{FF2B5EF4-FFF2-40B4-BE49-F238E27FC236}">
              <a16:creationId xmlns:a16="http://schemas.microsoft.com/office/drawing/2014/main" id="{143CBE97-3708-4F68-A0A2-CEDD1A2DEAF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2" name="Host Control  483" hidden="1">
          <a:extLst>
            <a:ext uri="{FF2B5EF4-FFF2-40B4-BE49-F238E27FC236}">
              <a16:creationId xmlns:a16="http://schemas.microsoft.com/office/drawing/2014/main" id="{07369D1A-5980-4BB7-A26F-FF5E1D468B0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3" name="Host Control  484" hidden="1">
          <a:extLst>
            <a:ext uri="{FF2B5EF4-FFF2-40B4-BE49-F238E27FC236}">
              <a16:creationId xmlns:a16="http://schemas.microsoft.com/office/drawing/2014/main" id="{3829393A-1F72-4864-A7A2-26FD590111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4" name="Host Control  485" hidden="1">
          <a:extLst>
            <a:ext uri="{FF2B5EF4-FFF2-40B4-BE49-F238E27FC236}">
              <a16:creationId xmlns:a16="http://schemas.microsoft.com/office/drawing/2014/main" id="{92087429-E67F-4610-8BA3-2C516810A65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5" name="Host Control  486" hidden="1">
          <a:extLst>
            <a:ext uri="{FF2B5EF4-FFF2-40B4-BE49-F238E27FC236}">
              <a16:creationId xmlns:a16="http://schemas.microsoft.com/office/drawing/2014/main" id="{92BACCB3-ED3E-446F-AB7A-097F2F500E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6" name="Host Control  487" hidden="1">
          <a:extLst>
            <a:ext uri="{FF2B5EF4-FFF2-40B4-BE49-F238E27FC236}">
              <a16:creationId xmlns:a16="http://schemas.microsoft.com/office/drawing/2014/main" id="{95162B99-8E19-414D-8DFD-48964F1FED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7" name="Host Control  488" hidden="1">
          <a:extLst>
            <a:ext uri="{FF2B5EF4-FFF2-40B4-BE49-F238E27FC236}">
              <a16:creationId xmlns:a16="http://schemas.microsoft.com/office/drawing/2014/main" id="{08247C8C-6CF4-4089-AA65-C36442C45EE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8" name="Host Control  489" hidden="1">
          <a:extLst>
            <a:ext uri="{FF2B5EF4-FFF2-40B4-BE49-F238E27FC236}">
              <a16:creationId xmlns:a16="http://schemas.microsoft.com/office/drawing/2014/main" id="{57642D21-56C7-4017-90DB-18690F70F6B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9" name="Host Control  490" hidden="1">
          <a:extLst>
            <a:ext uri="{FF2B5EF4-FFF2-40B4-BE49-F238E27FC236}">
              <a16:creationId xmlns:a16="http://schemas.microsoft.com/office/drawing/2014/main" id="{B9E5B6B4-3554-44E3-A8D0-4C8602D9FD7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0" name="Host Control  491" hidden="1">
          <a:extLst>
            <a:ext uri="{FF2B5EF4-FFF2-40B4-BE49-F238E27FC236}">
              <a16:creationId xmlns:a16="http://schemas.microsoft.com/office/drawing/2014/main" id="{F118B09D-5330-4A51-99C5-2F4FF9FAC8E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1" name="Host Control  492" hidden="1">
          <a:extLst>
            <a:ext uri="{FF2B5EF4-FFF2-40B4-BE49-F238E27FC236}">
              <a16:creationId xmlns:a16="http://schemas.microsoft.com/office/drawing/2014/main" id="{81A31126-302D-4A5F-B361-5290F92C3B9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2" name="Host Control  493" hidden="1">
          <a:extLst>
            <a:ext uri="{FF2B5EF4-FFF2-40B4-BE49-F238E27FC236}">
              <a16:creationId xmlns:a16="http://schemas.microsoft.com/office/drawing/2014/main" id="{870D4CEF-A98C-40A6-9212-3CE0B05FA0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3" name="Host Control  494" hidden="1">
          <a:extLst>
            <a:ext uri="{FF2B5EF4-FFF2-40B4-BE49-F238E27FC236}">
              <a16:creationId xmlns:a16="http://schemas.microsoft.com/office/drawing/2014/main" id="{031214D5-F772-46BE-AEAB-EB36613870B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4" name="Host Control  495" hidden="1">
          <a:extLst>
            <a:ext uri="{FF2B5EF4-FFF2-40B4-BE49-F238E27FC236}">
              <a16:creationId xmlns:a16="http://schemas.microsoft.com/office/drawing/2014/main" id="{5E6209F5-A139-4E35-82DC-D51A8A6CC2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5" name="Host Control  496" hidden="1">
          <a:extLst>
            <a:ext uri="{FF2B5EF4-FFF2-40B4-BE49-F238E27FC236}">
              <a16:creationId xmlns:a16="http://schemas.microsoft.com/office/drawing/2014/main" id="{E285C0CB-7B90-4B23-A037-95B2E62BB17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6" name="Host Control  497" hidden="1">
          <a:extLst>
            <a:ext uri="{FF2B5EF4-FFF2-40B4-BE49-F238E27FC236}">
              <a16:creationId xmlns:a16="http://schemas.microsoft.com/office/drawing/2014/main" id="{6F88461E-A567-4F8D-92ED-1173CEDCAD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7" name="Host Control  498" hidden="1">
          <a:extLst>
            <a:ext uri="{FF2B5EF4-FFF2-40B4-BE49-F238E27FC236}">
              <a16:creationId xmlns:a16="http://schemas.microsoft.com/office/drawing/2014/main" id="{9C741960-CCEA-449E-BFED-513DBC34446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8" name="Host Control  499" hidden="1">
          <a:extLst>
            <a:ext uri="{FF2B5EF4-FFF2-40B4-BE49-F238E27FC236}">
              <a16:creationId xmlns:a16="http://schemas.microsoft.com/office/drawing/2014/main" id="{20040F24-9A95-47A4-8D25-58595A92A9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9" name="Host Control  500" hidden="1">
          <a:extLst>
            <a:ext uri="{FF2B5EF4-FFF2-40B4-BE49-F238E27FC236}">
              <a16:creationId xmlns:a16="http://schemas.microsoft.com/office/drawing/2014/main" id="{F3EEC829-1544-4AB9-8C34-F3250DC436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0" name="Host Control  501" hidden="1">
          <a:extLst>
            <a:ext uri="{FF2B5EF4-FFF2-40B4-BE49-F238E27FC236}">
              <a16:creationId xmlns:a16="http://schemas.microsoft.com/office/drawing/2014/main" id="{FA86D880-4996-4562-A448-C9B420AC1C8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1" name="Host Control  502" hidden="1">
          <a:extLst>
            <a:ext uri="{FF2B5EF4-FFF2-40B4-BE49-F238E27FC236}">
              <a16:creationId xmlns:a16="http://schemas.microsoft.com/office/drawing/2014/main" id="{0A476C89-3417-4315-B92E-21ACF7BF78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2" name="Host Control  503" hidden="1">
          <a:extLst>
            <a:ext uri="{FF2B5EF4-FFF2-40B4-BE49-F238E27FC236}">
              <a16:creationId xmlns:a16="http://schemas.microsoft.com/office/drawing/2014/main" id="{84F5242E-1222-4066-BCFF-052EDA77736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3" name="Host Control  504" hidden="1">
          <a:extLst>
            <a:ext uri="{FF2B5EF4-FFF2-40B4-BE49-F238E27FC236}">
              <a16:creationId xmlns:a16="http://schemas.microsoft.com/office/drawing/2014/main" id="{729FFF4C-0669-4820-9290-4E5172A7A8F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4" name="Host Control  505" hidden="1">
          <a:extLst>
            <a:ext uri="{FF2B5EF4-FFF2-40B4-BE49-F238E27FC236}">
              <a16:creationId xmlns:a16="http://schemas.microsoft.com/office/drawing/2014/main" id="{88CA275A-390B-4A5A-97D1-E19D7182ACF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5" name="Host Control  506" hidden="1">
          <a:extLst>
            <a:ext uri="{FF2B5EF4-FFF2-40B4-BE49-F238E27FC236}">
              <a16:creationId xmlns:a16="http://schemas.microsoft.com/office/drawing/2014/main" id="{86BA5FBD-D058-4F2E-8ABD-940F8D8EB24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6" name="Host Control  507" hidden="1">
          <a:extLst>
            <a:ext uri="{FF2B5EF4-FFF2-40B4-BE49-F238E27FC236}">
              <a16:creationId xmlns:a16="http://schemas.microsoft.com/office/drawing/2014/main" id="{F2244C76-4C6A-41C4-AB83-50AE24DD04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7" name="Host Control  508" hidden="1">
          <a:extLst>
            <a:ext uri="{FF2B5EF4-FFF2-40B4-BE49-F238E27FC236}">
              <a16:creationId xmlns:a16="http://schemas.microsoft.com/office/drawing/2014/main" id="{0B5403F4-2859-4334-8FC1-C30B3F31F66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8" name="Host Control  509" hidden="1">
          <a:extLst>
            <a:ext uri="{FF2B5EF4-FFF2-40B4-BE49-F238E27FC236}">
              <a16:creationId xmlns:a16="http://schemas.microsoft.com/office/drawing/2014/main" id="{53A8C068-770C-4688-B246-1D43CAA2F0C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9" name="Host Control  510" hidden="1">
          <a:extLst>
            <a:ext uri="{FF2B5EF4-FFF2-40B4-BE49-F238E27FC236}">
              <a16:creationId xmlns:a16="http://schemas.microsoft.com/office/drawing/2014/main" id="{5F19A27B-C5B3-47CA-99E9-D84129303DE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10" name="Host Control  511" hidden="1">
          <a:extLst>
            <a:ext uri="{FF2B5EF4-FFF2-40B4-BE49-F238E27FC236}">
              <a16:creationId xmlns:a16="http://schemas.microsoft.com/office/drawing/2014/main" id="{8EE94D40-E887-4A45-A1DD-F650E672403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11" name="Host Control  512" hidden="1">
          <a:extLst>
            <a:ext uri="{FF2B5EF4-FFF2-40B4-BE49-F238E27FC236}">
              <a16:creationId xmlns:a16="http://schemas.microsoft.com/office/drawing/2014/main" id="{E50966A3-4F68-440D-A21B-3DD2F17E22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2" name="Host Control  517" hidden="1">
          <a:extLst>
            <a:ext uri="{FF2B5EF4-FFF2-40B4-BE49-F238E27FC236}">
              <a16:creationId xmlns:a16="http://schemas.microsoft.com/office/drawing/2014/main" id="{1585AE19-7642-4657-8F77-309E6E3092C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3" name="Host Control  518" hidden="1">
          <a:extLst>
            <a:ext uri="{FF2B5EF4-FFF2-40B4-BE49-F238E27FC236}">
              <a16:creationId xmlns:a16="http://schemas.microsoft.com/office/drawing/2014/main" id="{A5B37695-39E4-4536-937C-47D0879A644B}"/>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4" name="Host Control  519" hidden="1">
          <a:extLst>
            <a:ext uri="{FF2B5EF4-FFF2-40B4-BE49-F238E27FC236}">
              <a16:creationId xmlns:a16="http://schemas.microsoft.com/office/drawing/2014/main" id="{7D196BC4-8853-47EA-A29F-BDA1B6CED3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5" name="Host Control  520" hidden="1">
          <a:extLst>
            <a:ext uri="{FF2B5EF4-FFF2-40B4-BE49-F238E27FC236}">
              <a16:creationId xmlns:a16="http://schemas.microsoft.com/office/drawing/2014/main" id="{2DE07F23-DCDA-414E-9AD0-655F4E88A8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6" name="Host Control  521" hidden="1">
          <a:extLst>
            <a:ext uri="{FF2B5EF4-FFF2-40B4-BE49-F238E27FC236}">
              <a16:creationId xmlns:a16="http://schemas.microsoft.com/office/drawing/2014/main" id="{EF4B9808-994C-4E11-8201-C2DE2BC3696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7" name="Host Control  522" hidden="1">
          <a:extLst>
            <a:ext uri="{FF2B5EF4-FFF2-40B4-BE49-F238E27FC236}">
              <a16:creationId xmlns:a16="http://schemas.microsoft.com/office/drawing/2014/main" id="{9DD4F7AF-FF87-4375-9B03-D6969B6E55E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8" name="Host Control  523" hidden="1">
          <a:extLst>
            <a:ext uri="{FF2B5EF4-FFF2-40B4-BE49-F238E27FC236}">
              <a16:creationId xmlns:a16="http://schemas.microsoft.com/office/drawing/2014/main" id="{0A6F029E-1E51-40E7-AFDD-B504FA034C7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9" name="Host Control  524" hidden="1">
          <a:extLst>
            <a:ext uri="{FF2B5EF4-FFF2-40B4-BE49-F238E27FC236}">
              <a16:creationId xmlns:a16="http://schemas.microsoft.com/office/drawing/2014/main" id="{B2E67C02-19D5-4C77-9B48-7CAC161258D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0" name="Host Control  525" hidden="1">
          <a:extLst>
            <a:ext uri="{FF2B5EF4-FFF2-40B4-BE49-F238E27FC236}">
              <a16:creationId xmlns:a16="http://schemas.microsoft.com/office/drawing/2014/main" id="{8BD82DDB-CAA4-4C3C-8111-3993EF08746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1" name="Host Control  526" hidden="1">
          <a:extLst>
            <a:ext uri="{FF2B5EF4-FFF2-40B4-BE49-F238E27FC236}">
              <a16:creationId xmlns:a16="http://schemas.microsoft.com/office/drawing/2014/main" id="{90898A7D-0ABC-4BD2-99EF-A999CFAB406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2" name="Host Control  527" hidden="1">
          <a:extLst>
            <a:ext uri="{FF2B5EF4-FFF2-40B4-BE49-F238E27FC236}">
              <a16:creationId xmlns:a16="http://schemas.microsoft.com/office/drawing/2014/main" id="{5EE64184-AC40-4AD2-B037-D64382EE7CC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3" name="Host Control  528" hidden="1">
          <a:extLst>
            <a:ext uri="{FF2B5EF4-FFF2-40B4-BE49-F238E27FC236}">
              <a16:creationId xmlns:a16="http://schemas.microsoft.com/office/drawing/2014/main" id="{FB128A54-436F-457D-BC45-D66F03E86B8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4" name="Host Control  529" hidden="1">
          <a:extLst>
            <a:ext uri="{FF2B5EF4-FFF2-40B4-BE49-F238E27FC236}">
              <a16:creationId xmlns:a16="http://schemas.microsoft.com/office/drawing/2014/main" id="{4FC4DD49-95A5-43EE-ABB1-B407F2E09A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5" name="Host Control  530" hidden="1">
          <a:extLst>
            <a:ext uri="{FF2B5EF4-FFF2-40B4-BE49-F238E27FC236}">
              <a16:creationId xmlns:a16="http://schemas.microsoft.com/office/drawing/2014/main" id="{4C648B83-BB82-4D17-B2DB-7DDE57643F3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6" name="Host Control  531" hidden="1">
          <a:extLst>
            <a:ext uri="{FF2B5EF4-FFF2-40B4-BE49-F238E27FC236}">
              <a16:creationId xmlns:a16="http://schemas.microsoft.com/office/drawing/2014/main" id="{24633E8E-70B0-44C5-BAD5-09FAA28C2EFB}"/>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7" name="Host Control  532" hidden="1">
          <a:extLst>
            <a:ext uri="{FF2B5EF4-FFF2-40B4-BE49-F238E27FC236}">
              <a16:creationId xmlns:a16="http://schemas.microsoft.com/office/drawing/2014/main" id="{DE38561F-3BF1-4136-860E-1CA347660B3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8" name="Host Control  533" hidden="1">
          <a:extLst>
            <a:ext uri="{FF2B5EF4-FFF2-40B4-BE49-F238E27FC236}">
              <a16:creationId xmlns:a16="http://schemas.microsoft.com/office/drawing/2014/main" id="{36B75EE3-0979-42E3-A255-716419FBF31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9" name="Host Control  534" hidden="1">
          <a:extLst>
            <a:ext uri="{FF2B5EF4-FFF2-40B4-BE49-F238E27FC236}">
              <a16:creationId xmlns:a16="http://schemas.microsoft.com/office/drawing/2014/main" id="{2880ABF0-F2F8-4FD8-A5A7-90C7F472D25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0" name="Host Control  535" hidden="1">
          <a:extLst>
            <a:ext uri="{FF2B5EF4-FFF2-40B4-BE49-F238E27FC236}">
              <a16:creationId xmlns:a16="http://schemas.microsoft.com/office/drawing/2014/main" id="{C2F58332-774E-4B84-8F96-2CE8331935F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1" name="Host Control  536" hidden="1">
          <a:extLst>
            <a:ext uri="{FF2B5EF4-FFF2-40B4-BE49-F238E27FC236}">
              <a16:creationId xmlns:a16="http://schemas.microsoft.com/office/drawing/2014/main" id="{457E12E6-9ECA-42D0-AC8A-3765E9033A0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2" name="Host Control  537" hidden="1">
          <a:extLst>
            <a:ext uri="{FF2B5EF4-FFF2-40B4-BE49-F238E27FC236}">
              <a16:creationId xmlns:a16="http://schemas.microsoft.com/office/drawing/2014/main" id="{C16F90D2-CDFF-4A48-A0B9-A837446154D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3" name="Host Control  538" hidden="1">
          <a:extLst>
            <a:ext uri="{FF2B5EF4-FFF2-40B4-BE49-F238E27FC236}">
              <a16:creationId xmlns:a16="http://schemas.microsoft.com/office/drawing/2014/main" id="{7E4DAD88-FD94-4C53-82E1-FCFCCA6D03C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4" name="Host Control  539" hidden="1">
          <a:extLst>
            <a:ext uri="{FF2B5EF4-FFF2-40B4-BE49-F238E27FC236}">
              <a16:creationId xmlns:a16="http://schemas.microsoft.com/office/drawing/2014/main" id="{3C9DD838-B7F4-4AE1-BFC2-A4F8A43F9CA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5" name="Host Control  540" hidden="1">
          <a:extLst>
            <a:ext uri="{FF2B5EF4-FFF2-40B4-BE49-F238E27FC236}">
              <a16:creationId xmlns:a16="http://schemas.microsoft.com/office/drawing/2014/main" id="{D11B0DA1-C0E2-4F55-B985-8F7581C0F903}"/>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6" name="Host Control  541" hidden="1">
          <a:extLst>
            <a:ext uri="{FF2B5EF4-FFF2-40B4-BE49-F238E27FC236}">
              <a16:creationId xmlns:a16="http://schemas.microsoft.com/office/drawing/2014/main" id="{7AB10796-AF42-44F7-B532-935E63DEF40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7" name="Host Control  542" hidden="1">
          <a:extLst>
            <a:ext uri="{FF2B5EF4-FFF2-40B4-BE49-F238E27FC236}">
              <a16:creationId xmlns:a16="http://schemas.microsoft.com/office/drawing/2014/main" id="{55526E99-E443-47EF-B357-995D2FB1C0E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8" name="Host Control  543" hidden="1">
          <a:extLst>
            <a:ext uri="{FF2B5EF4-FFF2-40B4-BE49-F238E27FC236}">
              <a16:creationId xmlns:a16="http://schemas.microsoft.com/office/drawing/2014/main" id="{1543A3C1-0897-4358-B241-41AE787F0763}"/>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9" name="Host Control  544" hidden="1">
          <a:extLst>
            <a:ext uri="{FF2B5EF4-FFF2-40B4-BE49-F238E27FC236}">
              <a16:creationId xmlns:a16="http://schemas.microsoft.com/office/drawing/2014/main" id="{19BFD3A0-5B04-4874-B9FD-5AD361883E7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0" name="Host Control  545" hidden="1">
          <a:extLst>
            <a:ext uri="{FF2B5EF4-FFF2-40B4-BE49-F238E27FC236}">
              <a16:creationId xmlns:a16="http://schemas.microsoft.com/office/drawing/2014/main" id="{DD980FAD-48EA-4888-B4A2-15505936BA2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1" name="Host Control  583" hidden="1">
          <a:extLst>
            <a:ext uri="{FF2B5EF4-FFF2-40B4-BE49-F238E27FC236}">
              <a16:creationId xmlns:a16="http://schemas.microsoft.com/office/drawing/2014/main" id="{E767624B-FE10-496B-A1E7-BE1CA0CAA856}"/>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2" name="Host Control  584" hidden="1">
          <a:extLst>
            <a:ext uri="{FF2B5EF4-FFF2-40B4-BE49-F238E27FC236}">
              <a16:creationId xmlns:a16="http://schemas.microsoft.com/office/drawing/2014/main" id="{4E9B86BA-3E75-447F-A5DE-7EA504AB6A7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3" name="Host Control  585" hidden="1">
          <a:extLst>
            <a:ext uri="{FF2B5EF4-FFF2-40B4-BE49-F238E27FC236}">
              <a16:creationId xmlns:a16="http://schemas.microsoft.com/office/drawing/2014/main" id="{78B5B0EE-AC10-48D4-B851-799EEBF6DB0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4" name="Host Control  586" hidden="1">
          <a:extLst>
            <a:ext uri="{FF2B5EF4-FFF2-40B4-BE49-F238E27FC236}">
              <a16:creationId xmlns:a16="http://schemas.microsoft.com/office/drawing/2014/main" id="{1DF51D8D-7C32-42B7-A9E7-C7C757604AE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5" name="Host Control  587" hidden="1">
          <a:extLst>
            <a:ext uri="{FF2B5EF4-FFF2-40B4-BE49-F238E27FC236}">
              <a16:creationId xmlns:a16="http://schemas.microsoft.com/office/drawing/2014/main" id="{F3453D81-8389-428C-8005-9E64658ED8D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6" name="Host Control  588" hidden="1">
          <a:extLst>
            <a:ext uri="{FF2B5EF4-FFF2-40B4-BE49-F238E27FC236}">
              <a16:creationId xmlns:a16="http://schemas.microsoft.com/office/drawing/2014/main" id="{97AB5C32-E69F-4C61-9A9D-6D350B6E52C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7" name="Host Control  589" hidden="1">
          <a:extLst>
            <a:ext uri="{FF2B5EF4-FFF2-40B4-BE49-F238E27FC236}">
              <a16:creationId xmlns:a16="http://schemas.microsoft.com/office/drawing/2014/main" id="{4B1CD702-A88A-498E-BDC3-80BADBE903C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8" name="Host Control  590" hidden="1">
          <a:extLst>
            <a:ext uri="{FF2B5EF4-FFF2-40B4-BE49-F238E27FC236}">
              <a16:creationId xmlns:a16="http://schemas.microsoft.com/office/drawing/2014/main" id="{537B52E6-DC00-4F40-9776-B07653157AA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9" name="Host Control  591" hidden="1">
          <a:extLst>
            <a:ext uri="{FF2B5EF4-FFF2-40B4-BE49-F238E27FC236}">
              <a16:creationId xmlns:a16="http://schemas.microsoft.com/office/drawing/2014/main" id="{6811C10F-059A-45C3-BC35-83B84E2E36D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0" name="Host Control  592" hidden="1">
          <a:extLst>
            <a:ext uri="{FF2B5EF4-FFF2-40B4-BE49-F238E27FC236}">
              <a16:creationId xmlns:a16="http://schemas.microsoft.com/office/drawing/2014/main" id="{AC4587CA-CA5C-483A-A38A-F0C174E02919}"/>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1" name="Host Control  593" hidden="1">
          <a:extLst>
            <a:ext uri="{FF2B5EF4-FFF2-40B4-BE49-F238E27FC236}">
              <a16:creationId xmlns:a16="http://schemas.microsoft.com/office/drawing/2014/main" id="{4A40DCB2-6FE3-4E0E-ABF7-10E690D7CF0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2" name="Host Control  594" hidden="1">
          <a:extLst>
            <a:ext uri="{FF2B5EF4-FFF2-40B4-BE49-F238E27FC236}">
              <a16:creationId xmlns:a16="http://schemas.microsoft.com/office/drawing/2014/main" id="{DDFEB735-93CE-460F-87ED-61E817381F1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3" name="Host Control  595" hidden="1">
          <a:extLst>
            <a:ext uri="{FF2B5EF4-FFF2-40B4-BE49-F238E27FC236}">
              <a16:creationId xmlns:a16="http://schemas.microsoft.com/office/drawing/2014/main" id="{05867561-5655-4FE7-8E3A-A1B80711F45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4" name="Host Control  596" hidden="1">
          <a:extLst>
            <a:ext uri="{FF2B5EF4-FFF2-40B4-BE49-F238E27FC236}">
              <a16:creationId xmlns:a16="http://schemas.microsoft.com/office/drawing/2014/main" id="{58277F20-BDBD-40E5-9319-6962C1A5195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5" name="Host Control  597" hidden="1">
          <a:extLst>
            <a:ext uri="{FF2B5EF4-FFF2-40B4-BE49-F238E27FC236}">
              <a16:creationId xmlns:a16="http://schemas.microsoft.com/office/drawing/2014/main" id="{0D95F0B2-0788-4A5F-AD67-C9E20AC8A14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6" name="Host Control  598" hidden="1">
          <a:extLst>
            <a:ext uri="{FF2B5EF4-FFF2-40B4-BE49-F238E27FC236}">
              <a16:creationId xmlns:a16="http://schemas.microsoft.com/office/drawing/2014/main" id="{C3E9C3E7-7307-46A1-BE5A-564C283493B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7" name="Host Control  599" hidden="1">
          <a:extLst>
            <a:ext uri="{FF2B5EF4-FFF2-40B4-BE49-F238E27FC236}">
              <a16:creationId xmlns:a16="http://schemas.microsoft.com/office/drawing/2014/main" id="{8CD4015D-8271-4BE2-80EF-AA32371359B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8" name="Host Control  600" hidden="1">
          <a:extLst>
            <a:ext uri="{FF2B5EF4-FFF2-40B4-BE49-F238E27FC236}">
              <a16:creationId xmlns:a16="http://schemas.microsoft.com/office/drawing/2014/main" id="{E27D3AE1-1F22-4760-AA01-CEE51E0E4AA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9" name="Host Control  601" hidden="1">
          <a:extLst>
            <a:ext uri="{FF2B5EF4-FFF2-40B4-BE49-F238E27FC236}">
              <a16:creationId xmlns:a16="http://schemas.microsoft.com/office/drawing/2014/main" id="{D13BCB46-5335-49F9-A5B2-2CA4A98C903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0" name="Host Control  602" hidden="1">
          <a:extLst>
            <a:ext uri="{FF2B5EF4-FFF2-40B4-BE49-F238E27FC236}">
              <a16:creationId xmlns:a16="http://schemas.microsoft.com/office/drawing/2014/main" id="{4FE0AE78-B69D-4DA9-B5F2-061D2671FED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1" name="Host Control  603" hidden="1">
          <a:extLst>
            <a:ext uri="{FF2B5EF4-FFF2-40B4-BE49-F238E27FC236}">
              <a16:creationId xmlns:a16="http://schemas.microsoft.com/office/drawing/2014/main" id="{50374F51-41F6-4547-B578-F3C28752B38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2" name="Host Control  604" hidden="1">
          <a:extLst>
            <a:ext uri="{FF2B5EF4-FFF2-40B4-BE49-F238E27FC236}">
              <a16:creationId xmlns:a16="http://schemas.microsoft.com/office/drawing/2014/main" id="{D056526B-8E38-45BB-B50E-5123B1C4886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3" name="Host Control  605" hidden="1">
          <a:extLst>
            <a:ext uri="{FF2B5EF4-FFF2-40B4-BE49-F238E27FC236}">
              <a16:creationId xmlns:a16="http://schemas.microsoft.com/office/drawing/2014/main" id="{F50729E1-BDF1-4094-A9AC-1A83E0D11C2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4" name="Host Control  606" hidden="1">
          <a:extLst>
            <a:ext uri="{FF2B5EF4-FFF2-40B4-BE49-F238E27FC236}">
              <a16:creationId xmlns:a16="http://schemas.microsoft.com/office/drawing/2014/main" id="{308DDCC2-4375-46F8-A949-D37780D8FC4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5" name="Host Control  607" hidden="1">
          <a:extLst>
            <a:ext uri="{FF2B5EF4-FFF2-40B4-BE49-F238E27FC236}">
              <a16:creationId xmlns:a16="http://schemas.microsoft.com/office/drawing/2014/main" id="{CA18E719-BC2A-46A4-985B-80F439E6D31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6" name="Host Control  608" hidden="1">
          <a:extLst>
            <a:ext uri="{FF2B5EF4-FFF2-40B4-BE49-F238E27FC236}">
              <a16:creationId xmlns:a16="http://schemas.microsoft.com/office/drawing/2014/main" id="{1F790091-F457-4B2C-84ED-A405DECEAD3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7" name="Host Control  609" hidden="1">
          <a:extLst>
            <a:ext uri="{FF2B5EF4-FFF2-40B4-BE49-F238E27FC236}">
              <a16:creationId xmlns:a16="http://schemas.microsoft.com/office/drawing/2014/main" id="{1AF89A69-CEC3-4BAF-9658-E8F4A5C2E88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8" name="Host Control  610" hidden="1">
          <a:extLst>
            <a:ext uri="{FF2B5EF4-FFF2-40B4-BE49-F238E27FC236}">
              <a16:creationId xmlns:a16="http://schemas.microsoft.com/office/drawing/2014/main" id="{7FEB03FC-CE3E-46FE-A836-1F60A6271FB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9" name="Host Control  611" hidden="1">
          <a:extLst>
            <a:ext uri="{FF2B5EF4-FFF2-40B4-BE49-F238E27FC236}">
              <a16:creationId xmlns:a16="http://schemas.microsoft.com/office/drawing/2014/main" id="{72E0D7EF-2FEC-4241-AD9B-90FE141467D6}"/>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0" name="Host Control  32" hidden="1">
          <a:extLst>
            <a:ext uri="{FF2B5EF4-FFF2-40B4-BE49-F238E27FC236}">
              <a16:creationId xmlns:a16="http://schemas.microsoft.com/office/drawing/2014/main" id="{BC205137-3D3C-49BC-B38C-B24460DFF6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1" name="Host Control  33" hidden="1">
          <a:extLst>
            <a:ext uri="{FF2B5EF4-FFF2-40B4-BE49-F238E27FC236}">
              <a16:creationId xmlns:a16="http://schemas.microsoft.com/office/drawing/2014/main" id="{6DB595FB-0D4E-428C-80D7-9797CC84E17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2" name="Host Control  34" hidden="1">
          <a:extLst>
            <a:ext uri="{FF2B5EF4-FFF2-40B4-BE49-F238E27FC236}">
              <a16:creationId xmlns:a16="http://schemas.microsoft.com/office/drawing/2014/main" id="{8048E387-1100-4AEE-9E6A-C1BBBC31AE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3" name="Host Control  35" hidden="1">
          <a:extLst>
            <a:ext uri="{FF2B5EF4-FFF2-40B4-BE49-F238E27FC236}">
              <a16:creationId xmlns:a16="http://schemas.microsoft.com/office/drawing/2014/main" id="{A3CA2D44-7B0A-49C8-BADA-0FBA51B089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4" name="Host Control  36" hidden="1">
          <a:extLst>
            <a:ext uri="{FF2B5EF4-FFF2-40B4-BE49-F238E27FC236}">
              <a16:creationId xmlns:a16="http://schemas.microsoft.com/office/drawing/2014/main" id="{2EB0D503-7F19-4F04-8CD1-8F1D5A9745A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5" name="Host Control  37" hidden="1">
          <a:extLst>
            <a:ext uri="{FF2B5EF4-FFF2-40B4-BE49-F238E27FC236}">
              <a16:creationId xmlns:a16="http://schemas.microsoft.com/office/drawing/2014/main" id="{D051A909-8681-4C88-AB39-45145CB6549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6" name="Host Control  38" hidden="1">
          <a:extLst>
            <a:ext uri="{FF2B5EF4-FFF2-40B4-BE49-F238E27FC236}">
              <a16:creationId xmlns:a16="http://schemas.microsoft.com/office/drawing/2014/main" id="{EA5F2B00-B211-4D9D-9C1B-991A4856AE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7" name="Host Control  39" hidden="1">
          <a:extLst>
            <a:ext uri="{FF2B5EF4-FFF2-40B4-BE49-F238E27FC236}">
              <a16:creationId xmlns:a16="http://schemas.microsoft.com/office/drawing/2014/main" id="{D58650BC-8BB0-4565-8506-2935E4AFB4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8" name="Host Control  40" hidden="1">
          <a:extLst>
            <a:ext uri="{FF2B5EF4-FFF2-40B4-BE49-F238E27FC236}">
              <a16:creationId xmlns:a16="http://schemas.microsoft.com/office/drawing/2014/main" id="{CD5D23E2-4FC6-4280-BE21-69E1041515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9" name="Host Control  41" hidden="1">
          <a:extLst>
            <a:ext uri="{FF2B5EF4-FFF2-40B4-BE49-F238E27FC236}">
              <a16:creationId xmlns:a16="http://schemas.microsoft.com/office/drawing/2014/main" id="{59465E00-EA2F-4ED2-84DC-6943C00D9A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0" name="Host Control  42" hidden="1">
          <a:extLst>
            <a:ext uri="{FF2B5EF4-FFF2-40B4-BE49-F238E27FC236}">
              <a16:creationId xmlns:a16="http://schemas.microsoft.com/office/drawing/2014/main" id="{303D78DA-0125-4B1A-AF86-D1A9F29E706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1" name="Host Control  43" hidden="1">
          <a:extLst>
            <a:ext uri="{FF2B5EF4-FFF2-40B4-BE49-F238E27FC236}">
              <a16:creationId xmlns:a16="http://schemas.microsoft.com/office/drawing/2014/main" id="{A4FC9ECE-32A7-4FAE-99D8-54FC378F3BF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2" name="Host Control  44" hidden="1">
          <a:extLst>
            <a:ext uri="{FF2B5EF4-FFF2-40B4-BE49-F238E27FC236}">
              <a16:creationId xmlns:a16="http://schemas.microsoft.com/office/drawing/2014/main" id="{13193941-9005-442B-A3D9-5EB88432D25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3" name="Host Control  45" hidden="1">
          <a:extLst>
            <a:ext uri="{FF2B5EF4-FFF2-40B4-BE49-F238E27FC236}">
              <a16:creationId xmlns:a16="http://schemas.microsoft.com/office/drawing/2014/main" id="{327BF116-9630-4C6C-8F47-A60ECD3D56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4" name="Host Control  46" hidden="1">
          <a:extLst>
            <a:ext uri="{FF2B5EF4-FFF2-40B4-BE49-F238E27FC236}">
              <a16:creationId xmlns:a16="http://schemas.microsoft.com/office/drawing/2014/main" id="{03E9E9E4-5FDB-4E52-9D97-AD287B75260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5" name="Host Control  47" hidden="1">
          <a:extLst>
            <a:ext uri="{FF2B5EF4-FFF2-40B4-BE49-F238E27FC236}">
              <a16:creationId xmlns:a16="http://schemas.microsoft.com/office/drawing/2014/main" id="{6744DC78-232A-4554-890C-03B96A0D8F9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6" name="Host Control  48" hidden="1">
          <a:extLst>
            <a:ext uri="{FF2B5EF4-FFF2-40B4-BE49-F238E27FC236}">
              <a16:creationId xmlns:a16="http://schemas.microsoft.com/office/drawing/2014/main" id="{83EAE742-02DD-4646-A8C9-9B12B0C343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7" name="Host Control  49" hidden="1">
          <a:extLst>
            <a:ext uri="{FF2B5EF4-FFF2-40B4-BE49-F238E27FC236}">
              <a16:creationId xmlns:a16="http://schemas.microsoft.com/office/drawing/2014/main" id="{3D0BD1D9-1686-4B0A-8518-FC7CB3839D1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8" name="Host Control  50" hidden="1">
          <a:extLst>
            <a:ext uri="{FF2B5EF4-FFF2-40B4-BE49-F238E27FC236}">
              <a16:creationId xmlns:a16="http://schemas.microsoft.com/office/drawing/2014/main" id="{FEF37249-FE02-4D87-AF3E-208424A964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9" name="Host Control  51" hidden="1">
          <a:extLst>
            <a:ext uri="{FF2B5EF4-FFF2-40B4-BE49-F238E27FC236}">
              <a16:creationId xmlns:a16="http://schemas.microsoft.com/office/drawing/2014/main" id="{7462C4FB-0EE6-420A-8C52-B8616CD9502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0" name="Host Control  52" hidden="1">
          <a:extLst>
            <a:ext uri="{FF2B5EF4-FFF2-40B4-BE49-F238E27FC236}">
              <a16:creationId xmlns:a16="http://schemas.microsoft.com/office/drawing/2014/main" id="{C4B05D9E-218C-4ABE-A976-52892D673B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1" name="Host Control  53" hidden="1">
          <a:extLst>
            <a:ext uri="{FF2B5EF4-FFF2-40B4-BE49-F238E27FC236}">
              <a16:creationId xmlns:a16="http://schemas.microsoft.com/office/drawing/2014/main" id="{39B666DA-792F-4E1A-AA5E-D11060F7B5A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2" name="Host Control  54" hidden="1">
          <a:extLst>
            <a:ext uri="{FF2B5EF4-FFF2-40B4-BE49-F238E27FC236}">
              <a16:creationId xmlns:a16="http://schemas.microsoft.com/office/drawing/2014/main" id="{47051AC3-2C1C-4CD5-BCBA-6DBC11D0B48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3" name="Host Control  55" hidden="1">
          <a:extLst>
            <a:ext uri="{FF2B5EF4-FFF2-40B4-BE49-F238E27FC236}">
              <a16:creationId xmlns:a16="http://schemas.microsoft.com/office/drawing/2014/main" id="{4100E3EA-26AF-4E0B-A415-0531CABBEC7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4" name="Host Control  56" hidden="1">
          <a:extLst>
            <a:ext uri="{FF2B5EF4-FFF2-40B4-BE49-F238E27FC236}">
              <a16:creationId xmlns:a16="http://schemas.microsoft.com/office/drawing/2014/main" id="{B7E57B05-F625-4C81-BEDD-073F1E9AE4A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5" name="Host Control  57" hidden="1">
          <a:extLst>
            <a:ext uri="{FF2B5EF4-FFF2-40B4-BE49-F238E27FC236}">
              <a16:creationId xmlns:a16="http://schemas.microsoft.com/office/drawing/2014/main" id="{43C6E6BC-42B6-4686-BBEA-4A45C675F78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6" name="Host Control  58" hidden="1">
          <a:extLst>
            <a:ext uri="{FF2B5EF4-FFF2-40B4-BE49-F238E27FC236}">
              <a16:creationId xmlns:a16="http://schemas.microsoft.com/office/drawing/2014/main" id="{2499918F-2727-4D1F-9B09-A6ADDA59EA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7" name="Host Control  59" hidden="1">
          <a:extLst>
            <a:ext uri="{FF2B5EF4-FFF2-40B4-BE49-F238E27FC236}">
              <a16:creationId xmlns:a16="http://schemas.microsoft.com/office/drawing/2014/main" id="{E3C8DC2C-DDF4-49A2-9FF0-B2E65A93CD9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8" name="Host Control  60" hidden="1">
          <a:extLst>
            <a:ext uri="{FF2B5EF4-FFF2-40B4-BE49-F238E27FC236}">
              <a16:creationId xmlns:a16="http://schemas.microsoft.com/office/drawing/2014/main" id="{9A180B5B-0968-4DF2-98A2-FDECC20C093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9" name="Host Control  61" hidden="1">
          <a:extLst>
            <a:ext uri="{FF2B5EF4-FFF2-40B4-BE49-F238E27FC236}">
              <a16:creationId xmlns:a16="http://schemas.microsoft.com/office/drawing/2014/main" id="{E64DA796-A11B-45D2-94A9-6DC80C21991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0" name="Host Control  65" hidden="1">
          <a:extLst>
            <a:ext uri="{FF2B5EF4-FFF2-40B4-BE49-F238E27FC236}">
              <a16:creationId xmlns:a16="http://schemas.microsoft.com/office/drawing/2014/main" id="{88D083D8-D54D-40C9-9FCB-61B10D4D87A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1" name="Host Control  66" hidden="1">
          <a:extLst>
            <a:ext uri="{FF2B5EF4-FFF2-40B4-BE49-F238E27FC236}">
              <a16:creationId xmlns:a16="http://schemas.microsoft.com/office/drawing/2014/main" id="{11772136-A22B-45E4-8CF3-8513C5BD8A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2" name="Host Control  67" hidden="1">
          <a:extLst>
            <a:ext uri="{FF2B5EF4-FFF2-40B4-BE49-F238E27FC236}">
              <a16:creationId xmlns:a16="http://schemas.microsoft.com/office/drawing/2014/main" id="{6AF232F6-2ED8-499D-A25A-4FAACD47AC4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3" name="Host Control  68" hidden="1">
          <a:extLst>
            <a:ext uri="{FF2B5EF4-FFF2-40B4-BE49-F238E27FC236}">
              <a16:creationId xmlns:a16="http://schemas.microsoft.com/office/drawing/2014/main" id="{E6A9EEC9-D7F8-4DC3-9118-D0237AC9955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4" name="Host Control  69" hidden="1">
          <a:extLst>
            <a:ext uri="{FF2B5EF4-FFF2-40B4-BE49-F238E27FC236}">
              <a16:creationId xmlns:a16="http://schemas.microsoft.com/office/drawing/2014/main" id="{42E037F7-3133-4F63-B71A-1B0C256C209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5" name="Host Control  70" hidden="1">
          <a:extLst>
            <a:ext uri="{FF2B5EF4-FFF2-40B4-BE49-F238E27FC236}">
              <a16:creationId xmlns:a16="http://schemas.microsoft.com/office/drawing/2014/main" id="{2AEBD746-4AB9-4348-839E-CB5477847A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6" name="Host Control  71" hidden="1">
          <a:extLst>
            <a:ext uri="{FF2B5EF4-FFF2-40B4-BE49-F238E27FC236}">
              <a16:creationId xmlns:a16="http://schemas.microsoft.com/office/drawing/2014/main" id="{DF793B8B-F785-47E3-92A7-3F1EFB2F30D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7" name="Host Control  72" hidden="1">
          <a:extLst>
            <a:ext uri="{FF2B5EF4-FFF2-40B4-BE49-F238E27FC236}">
              <a16:creationId xmlns:a16="http://schemas.microsoft.com/office/drawing/2014/main" id="{AF0F253C-4226-4BFE-8734-FC87BE06146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8" name="Host Control  73" hidden="1">
          <a:extLst>
            <a:ext uri="{FF2B5EF4-FFF2-40B4-BE49-F238E27FC236}">
              <a16:creationId xmlns:a16="http://schemas.microsoft.com/office/drawing/2014/main" id="{6F43F87E-AB5E-470B-B10C-2BE89424B81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9" name="Host Control  74" hidden="1">
          <a:extLst>
            <a:ext uri="{FF2B5EF4-FFF2-40B4-BE49-F238E27FC236}">
              <a16:creationId xmlns:a16="http://schemas.microsoft.com/office/drawing/2014/main" id="{2237C9F6-6ED7-4B9A-B2CE-5F6E1573835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0" name="Host Control  75" hidden="1">
          <a:extLst>
            <a:ext uri="{FF2B5EF4-FFF2-40B4-BE49-F238E27FC236}">
              <a16:creationId xmlns:a16="http://schemas.microsoft.com/office/drawing/2014/main" id="{D62BAFF1-6B4D-4BF0-931A-C31A5FF1C1F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1" name="Host Control  76" hidden="1">
          <a:extLst>
            <a:ext uri="{FF2B5EF4-FFF2-40B4-BE49-F238E27FC236}">
              <a16:creationId xmlns:a16="http://schemas.microsoft.com/office/drawing/2014/main" id="{F7FBEC3B-9E7B-4A88-9040-4A0CFA764D8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2" name="Host Control  77" hidden="1">
          <a:extLst>
            <a:ext uri="{FF2B5EF4-FFF2-40B4-BE49-F238E27FC236}">
              <a16:creationId xmlns:a16="http://schemas.microsoft.com/office/drawing/2014/main" id="{36B11CD2-4D26-41D3-A0C0-23DD274D9EF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3" name="Host Control  78" hidden="1">
          <a:extLst>
            <a:ext uri="{FF2B5EF4-FFF2-40B4-BE49-F238E27FC236}">
              <a16:creationId xmlns:a16="http://schemas.microsoft.com/office/drawing/2014/main" id="{D0236011-9D10-449B-8D2F-78DEB3033D2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4" name="Host Control  79" hidden="1">
          <a:extLst>
            <a:ext uri="{FF2B5EF4-FFF2-40B4-BE49-F238E27FC236}">
              <a16:creationId xmlns:a16="http://schemas.microsoft.com/office/drawing/2014/main" id="{D393000D-B542-465A-8142-BF5AF01ADE3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5" name="Host Control  80" hidden="1">
          <a:extLst>
            <a:ext uri="{FF2B5EF4-FFF2-40B4-BE49-F238E27FC236}">
              <a16:creationId xmlns:a16="http://schemas.microsoft.com/office/drawing/2014/main" id="{1618D6B4-84C5-4780-8613-8860FEA6960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6" name="Host Control  81" hidden="1">
          <a:extLst>
            <a:ext uri="{FF2B5EF4-FFF2-40B4-BE49-F238E27FC236}">
              <a16:creationId xmlns:a16="http://schemas.microsoft.com/office/drawing/2014/main" id="{F1589554-B4F2-4939-9335-19F0B1B5FE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7" name="Host Control  82" hidden="1">
          <a:extLst>
            <a:ext uri="{FF2B5EF4-FFF2-40B4-BE49-F238E27FC236}">
              <a16:creationId xmlns:a16="http://schemas.microsoft.com/office/drawing/2014/main" id="{F69287AE-7D38-43B9-BDC2-297E9DEFF1C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8" name="Host Control  83" hidden="1">
          <a:extLst>
            <a:ext uri="{FF2B5EF4-FFF2-40B4-BE49-F238E27FC236}">
              <a16:creationId xmlns:a16="http://schemas.microsoft.com/office/drawing/2014/main" id="{A626ED78-11A1-4C69-B0F3-D46A7D1680E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9" name="Host Control  84" hidden="1">
          <a:extLst>
            <a:ext uri="{FF2B5EF4-FFF2-40B4-BE49-F238E27FC236}">
              <a16:creationId xmlns:a16="http://schemas.microsoft.com/office/drawing/2014/main" id="{F0C305BB-9F2A-43E2-97C3-E924CEC58DC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0" name="Host Control  85" hidden="1">
          <a:extLst>
            <a:ext uri="{FF2B5EF4-FFF2-40B4-BE49-F238E27FC236}">
              <a16:creationId xmlns:a16="http://schemas.microsoft.com/office/drawing/2014/main" id="{3864CB11-1461-4401-B76D-F8764571D1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1" name="Host Control  86" hidden="1">
          <a:extLst>
            <a:ext uri="{FF2B5EF4-FFF2-40B4-BE49-F238E27FC236}">
              <a16:creationId xmlns:a16="http://schemas.microsoft.com/office/drawing/2014/main" id="{734255CD-D9E5-4F78-AF9C-AC63CA4FFCE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2" name="Host Control  87" hidden="1">
          <a:extLst>
            <a:ext uri="{FF2B5EF4-FFF2-40B4-BE49-F238E27FC236}">
              <a16:creationId xmlns:a16="http://schemas.microsoft.com/office/drawing/2014/main" id="{6688805D-E2DA-4568-8631-3CEF2E59EE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3" name="Host Control  88" hidden="1">
          <a:extLst>
            <a:ext uri="{FF2B5EF4-FFF2-40B4-BE49-F238E27FC236}">
              <a16:creationId xmlns:a16="http://schemas.microsoft.com/office/drawing/2014/main" id="{58D6A359-E955-4CD1-9BAF-A6D5D38E130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4" name="Host Control  89" hidden="1">
          <a:extLst>
            <a:ext uri="{FF2B5EF4-FFF2-40B4-BE49-F238E27FC236}">
              <a16:creationId xmlns:a16="http://schemas.microsoft.com/office/drawing/2014/main" id="{FC01D1A2-4DAF-40A7-8162-74377F51E6F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5" name="Host Control  90" hidden="1">
          <a:extLst>
            <a:ext uri="{FF2B5EF4-FFF2-40B4-BE49-F238E27FC236}">
              <a16:creationId xmlns:a16="http://schemas.microsoft.com/office/drawing/2014/main" id="{5A69DFD4-9884-45D2-B187-65FA1338A14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6" name="Host Control  91" hidden="1">
          <a:extLst>
            <a:ext uri="{FF2B5EF4-FFF2-40B4-BE49-F238E27FC236}">
              <a16:creationId xmlns:a16="http://schemas.microsoft.com/office/drawing/2014/main" id="{9E900D15-42C1-44DC-BA41-2BCEB09AC7F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7" name="Host Control  92" hidden="1">
          <a:extLst>
            <a:ext uri="{FF2B5EF4-FFF2-40B4-BE49-F238E27FC236}">
              <a16:creationId xmlns:a16="http://schemas.microsoft.com/office/drawing/2014/main" id="{869E55C0-5572-4234-A1AE-C0DF8113F9E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8" name="Host Control  93" hidden="1">
          <a:extLst>
            <a:ext uri="{FF2B5EF4-FFF2-40B4-BE49-F238E27FC236}">
              <a16:creationId xmlns:a16="http://schemas.microsoft.com/office/drawing/2014/main" id="{3B78E0D5-DCAA-46EA-BDA7-1D47E64F9EE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9" name="Host Control  94" hidden="1">
          <a:extLst>
            <a:ext uri="{FF2B5EF4-FFF2-40B4-BE49-F238E27FC236}">
              <a16:creationId xmlns:a16="http://schemas.microsoft.com/office/drawing/2014/main" id="{88F6A505-6907-4B6E-988D-1126E42D69E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0" name="Host Control  98" hidden="1">
          <a:extLst>
            <a:ext uri="{FF2B5EF4-FFF2-40B4-BE49-F238E27FC236}">
              <a16:creationId xmlns:a16="http://schemas.microsoft.com/office/drawing/2014/main" id="{A414C56B-165A-419B-B345-02AED3C3A13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1" name="Host Control  99" hidden="1">
          <a:extLst>
            <a:ext uri="{FF2B5EF4-FFF2-40B4-BE49-F238E27FC236}">
              <a16:creationId xmlns:a16="http://schemas.microsoft.com/office/drawing/2014/main" id="{9103095C-AE06-47A0-8D1B-8CE0C2B3C5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2" name="Host Control  100" hidden="1">
          <a:extLst>
            <a:ext uri="{FF2B5EF4-FFF2-40B4-BE49-F238E27FC236}">
              <a16:creationId xmlns:a16="http://schemas.microsoft.com/office/drawing/2014/main" id="{5C5E2DF5-EE93-463B-8716-F95D25DC19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3" name="Host Control  101" hidden="1">
          <a:extLst>
            <a:ext uri="{FF2B5EF4-FFF2-40B4-BE49-F238E27FC236}">
              <a16:creationId xmlns:a16="http://schemas.microsoft.com/office/drawing/2014/main" id="{D77FD122-421D-4293-8841-D245E9B190E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4" name="Host Control  102" hidden="1">
          <a:extLst>
            <a:ext uri="{FF2B5EF4-FFF2-40B4-BE49-F238E27FC236}">
              <a16:creationId xmlns:a16="http://schemas.microsoft.com/office/drawing/2014/main" id="{A7D0505B-AADE-4A52-92C4-C2AF01B1008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5" name="Host Control  103" hidden="1">
          <a:extLst>
            <a:ext uri="{FF2B5EF4-FFF2-40B4-BE49-F238E27FC236}">
              <a16:creationId xmlns:a16="http://schemas.microsoft.com/office/drawing/2014/main" id="{669C2EC4-4606-462A-8363-C590BC9204C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6" name="Host Control  104" hidden="1">
          <a:extLst>
            <a:ext uri="{FF2B5EF4-FFF2-40B4-BE49-F238E27FC236}">
              <a16:creationId xmlns:a16="http://schemas.microsoft.com/office/drawing/2014/main" id="{3922598B-3DD8-469C-B747-D45E8FCA0D0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7" name="Host Control  105" hidden="1">
          <a:extLst>
            <a:ext uri="{FF2B5EF4-FFF2-40B4-BE49-F238E27FC236}">
              <a16:creationId xmlns:a16="http://schemas.microsoft.com/office/drawing/2014/main" id="{965E5D7D-F0CA-4516-A4A6-6A5AF6655AE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8" name="Host Control  106" hidden="1">
          <a:extLst>
            <a:ext uri="{FF2B5EF4-FFF2-40B4-BE49-F238E27FC236}">
              <a16:creationId xmlns:a16="http://schemas.microsoft.com/office/drawing/2014/main" id="{4C5E2318-AECB-4651-ACE2-79520F2A65B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9" name="Host Control  107" hidden="1">
          <a:extLst>
            <a:ext uri="{FF2B5EF4-FFF2-40B4-BE49-F238E27FC236}">
              <a16:creationId xmlns:a16="http://schemas.microsoft.com/office/drawing/2014/main" id="{0D24B668-AADA-4358-A65F-B3C6047644D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0" name="Host Control  108" hidden="1">
          <a:extLst>
            <a:ext uri="{FF2B5EF4-FFF2-40B4-BE49-F238E27FC236}">
              <a16:creationId xmlns:a16="http://schemas.microsoft.com/office/drawing/2014/main" id="{D04C4D42-804A-4255-8156-8EAEEE682C2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1" name="Host Control  109" hidden="1">
          <a:extLst>
            <a:ext uri="{FF2B5EF4-FFF2-40B4-BE49-F238E27FC236}">
              <a16:creationId xmlns:a16="http://schemas.microsoft.com/office/drawing/2014/main" id="{0CE2EAC1-677B-454F-B79D-C45F82FE74B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2" name="Host Control  110" hidden="1">
          <a:extLst>
            <a:ext uri="{FF2B5EF4-FFF2-40B4-BE49-F238E27FC236}">
              <a16:creationId xmlns:a16="http://schemas.microsoft.com/office/drawing/2014/main" id="{D635868E-F4FE-4B39-AD51-8FC049B09F7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3" name="Host Control  111" hidden="1">
          <a:extLst>
            <a:ext uri="{FF2B5EF4-FFF2-40B4-BE49-F238E27FC236}">
              <a16:creationId xmlns:a16="http://schemas.microsoft.com/office/drawing/2014/main" id="{1B08FEDB-0832-4F24-8E35-53BBC61CDAD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4" name="Host Control  112" hidden="1">
          <a:extLst>
            <a:ext uri="{FF2B5EF4-FFF2-40B4-BE49-F238E27FC236}">
              <a16:creationId xmlns:a16="http://schemas.microsoft.com/office/drawing/2014/main" id="{75E22B12-0035-4F94-82DB-D446685AF0F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5" name="Host Control  113" hidden="1">
          <a:extLst>
            <a:ext uri="{FF2B5EF4-FFF2-40B4-BE49-F238E27FC236}">
              <a16:creationId xmlns:a16="http://schemas.microsoft.com/office/drawing/2014/main" id="{EBE2B90E-6560-4B01-929F-78C6638BBE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6" name="Host Control  114" hidden="1">
          <a:extLst>
            <a:ext uri="{FF2B5EF4-FFF2-40B4-BE49-F238E27FC236}">
              <a16:creationId xmlns:a16="http://schemas.microsoft.com/office/drawing/2014/main" id="{F1416A00-4A41-4374-ACA4-2C6FE7ABC20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7" name="Host Control  115" hidden="1">
          <a:extLst>
            <a:ext uri="{FF2B5EF4-FFF2-40B4-BE49-F238E27FC236}">
              <a16:creationId xmlns:a16="http://schemas.microsoft.com/office/drawing/2014/main" id="{FD8E9EB9-A2CB-43F5-997F-4B1FBCCF31C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8" name="Host Control  116" hidden="1">
          <a:extLst>
            <a:ext uri="{FF2B5EF4-FFF2-40B4-BE49-F238E27FC236}">
              <a16:creationId xmlns:a16="http://schemas.microsoft.com/office/drawing/2014/main" id="{E322EFC0-7487-455F-8246-ED95333D4B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9" name="Host Control  117" hidden="1">
          <a:extLst>
            <a:ext uri="{FF2B5EF4-FFF2-40B4-BE49-F238E27FC236}">
              <a16:creationId xmlns:a16="http://schemas.microsoft.com/office/drawing/2014/main" id="{267D0264-AC36-4FA9-93D2-04138B4D009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0" name="Host Control  118" hidden="1">
          <a:extLst>
            <a:ext uri="{FF2B5EF4-FFF2-40B4-BE49-F238E27FC236}">
              <a16:creationId xmlns:a16="http://schemas.microsoft.com/office/drawing/2014/main" id="{F576DD3E-8C27-41AC-9A41-13F0234832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1" name="Host Control  119" hidden="1">
          <a:extLst>
            <a:ext uri="{FF2B5EF4-FFF2-40B4-BE49-F238E27FC236}">
              <a16:creationId xmlns:a16="http://schemas.microsoft.com/office/drawing/2014/main" id="{0D2958A5-9813-4F24-A894-4F50274F171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2" name="Host Control  120" hidden="1">
          <a:extLst>
            <a:ext uri="{FF2B5EF4-FFF2-40B4-BE49-F238E27FC236}">
              <a16:creationId xmlns:a16="http://schemas.microsoft.com/office/drawing/2014/main" id="{6B88A3D3-91A1-4E8F-8BA4-4F8CA13B37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3" name="Host Control  121" hidden="1">
          <a:extLst>
            <a:ext uri="{FF2B5EF4-FFF2-40B4-BE49-F238E27FC236}">
              <a16:creationId xmlns:a16="http://schemas.microsoft.com/office/drawing/2014/main" id="{345D5E30-727C-4E98-9E77-35E9B1822A5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4" name="Host Control  122" hidden="1">
          <a:extLst>
            <a:ext uri="{FF2B5EF4-FFF2-40B4-BE49-F238E27FC236}">
              <a16:creationId xmlns:a16="http://schemas.microsoft.com/office/drawing/2014/main" id="{438CA88C-3101-42F2-B481-FAF00162EC5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5" name="Host Control  123" hidden="1">
          <a:extLst>
            <a:ext uri="{FF2B5EF4-FFF2-40B4-BE49-F238E27FC236}">
              <a16:creationId xmlns:a16="http://schemas.microsoft.com/office/drawing/2014/main" id="{D0939346-50ED-4DBF-A980-4AEDEF35F6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6" name="Host Control  124" hidden="1">
          <a:extLst>
            <a:ext uri="{FF2B5EF4-FFF2-40B4-BE49-F238E27FC236}">
              <a16:creationId xmlns:a16="http://schemas.microsoft.com/office/drawing/2014/main" id="{05DB55A7-09B7-4594-91C9-1F81F03A658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7" name="Host Control  125" hidden="1">
          <a:extLst>
            <a:ext uri="{FF2B5EF4-FFF2-40B4-BE49-F238E27FC236}">
              <a16:creationId xmlns:a16="http://schemas.microsoft.com/office/drawing/2014/main" id="{BBAA0C2D-31C4-4009-93DC-672C9B7154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8" name="Host Control  126" hidden="1">
          <a:extLst>
            <a:ext uri="{FF2B5EF4-FFF2-40B4-BE49-F238E27FC236}">
              <a16:creationId xmlns:a16="http://schemas.microsoft.com/office/drawing/2014/main" id="{7BD10E8E-7C15-4ECA-BD3A-B57AADAD690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9" name="Host Control  127" hidden="1">
          <a:extLst>
            <a:ext uri="{FF2B5EF4-FFF2-40B4-BE49-F238E27FC236}">
              <a16:creationId xmlns:a16="http://schemas.microsoft.com/office/drawing/2014/main" id="{04FDA674-B1F6-46F1-9A0A-17908EC1E31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0" name="Host Control  135" hidden="1">
          <a:extLst>
            <a:ext uri="{FF2B5EF4-FFF2-40B4-BE49-F238E27FC236}">
              <a16:creationId xmlns:a16="http://schemas.microsoft.com/office/drawing/2014/main" id="{839AF555-B525-4CD2-AFA8-67D1D6468E0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1" name="Host Control  136" hidden="1">
          <a:extLst>
            <a:ext uri="{FF2B5EF4-FFF2-40B4-BE49-F238E27FC236}">
              <a16:creationId xmlns:a16="http://schemas.microsoft.com/office/drawing/2014/main" id="{84A52F38-21E1-492B-84C8-1959F8A3255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2" name="Host Control  137" hidden="1">
          <a:extLst>
            <a:ext uri="{FF2B5EF4-FFF2-40B4-BE49-F238E27FC236}">
              <a16:creationId xmlns:a16="http://schemas.microsoft.com/office/drawing/2014/main" id="{701BAF2E-CB24-478F-A41A-771746694F1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3" name="Host Control  138" hidden="1">
          <a:extLst>
            <a:ext uri="{FF2B5EF4-FFF2-40B4-BE49-F238E27FC236}">
              <a16:creationId xmlns:a16="http://schemas.microsoft.com/office/drawing/2014/main" id="{CEAB0F3B-D468-4833-BBAD-BBDD4B33FB4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4" name="Host Control  139" hidden="1">
          <a:extLst>
            <a:ext uri="{FF2B5EF4-FFF2-40B4-BE49-F238E27FC236}">
              <a16:creationId xmlns:a16="http://schemas.microsoft.com/office/drawing/2014/main" id="{CA621AC4-36AB-4344-B85E-48FAFCE0019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5" name="Host Control  140" hidden="1">
          <a:extLst>
            <a:ext uri="{FF2B5EF4-FFF2-40B4-BE49-F238E27FC236}">
              <a16:creationId xmlns:a16="http://schemas.microsoft.com/office/drawing/2014/main" id="{04C5CF2D-6DCA-41F2-844B-0BF71AB5168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6" name="Host Control  141" hidden="1">
          <a:extLst>
            <a:ext uri="{FF2B5EF4-FFF2-40B4-BE49-F238E27FC236}">
              <a16:creationId xmlns:a16="http://schemas.microsoft.com/office/drawing/2014/main" id="{794607F7-9EDF-49D0-A93B-0F11F44F31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7" name="Host Control  142" hidden="1">
          <a:extLst>
            <a:ext uri="{FF2B5EF4-FFF2-40B4-BE49-F238E27FC236}">
              <a16:creationId xmlns:a16="http://schemas.microsoft.com/office/drawing/2014/main" id="{646BD603-93ED-414E-9369-4EDD85C22A8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8" name="Host Control  143" hidden="1">
          <a:extLst>
            <a:ext uri="{FF2B5EF4-FFF2-40B4-BE49-F238E27FC236}">
              <a16:creationId xmlns:a16="http://schemas.microsoft.com/office/drawing/2014/main" id="{67431BC4-824F-43A8-9679-6A2A9DA9F7F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9" name="Host Control  144" hidden="1">
          <a:extLst>
            <a:ext uri="{FF2B5EF4-FFF2-40B4-BE49-F238E27FC236}">
              <a16:creationId xmlns:a16="http://schemas.microsoft.com/office/drawing/2014/main" id="{FB23C21A-C083-4A58-B513-5C116C35838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0" name="Host Control  145" hidden="1">
          <a:extLst>
            <a:ext uri="{FF2B5EF4-FFF2-40B4-BE49-F238E27FC236}">
              <a16:creationId xmlns:a16="http://schemas.microsoft.com/office/drawing/2014/main" id="{A72FE16B-ECB7-4472-A96F-12DFE7633B5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1" name="Host Control  146" hidden="1">
          <a:extLst>
            <a:ext uri="{FF2B5EF4-FFF2-40B4-BE49-F238E27FC236}">
              <a16:creationId xmlns:a16="http://schemas.microsoft.com/office/drawing/2014/main" id="{3E4085BD-E529-40A3-B607-AFB8CC08BA5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2" name="Host Control  147" hidden="1">
          <a:extLst>
            <a:ext uri="{FF2B5EF4-FFF2-40B4-BE49-F238E27FC236}">
              <a16:creationId xmlns:a16="http://schemas.microsoft.com/office/drawing/2014/main" id="{96DB2ACB-1D49-4797-8CFF-D0F471072A3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3" name="Host Control  148" hidden="1">
          <a:extLst>
            <a:ext uri="{FF2B5EF4-FFF2-40B4-BE49-F238E27FC236}">
              <a16:creationId xmlns:a16="http://schemas.microsoft.com/office/drawing/2014/main" id="{B6C033CC-A5EF-480B-8CA8-112744A12A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4" name="Host Control  149" hidden="1">
          <a:extLst>
            <a:ext uri="{FF2B5EF4-FFF2-40B4-BE49-F238E27FC236}">
              <a16:creationId xmlns:a16="http://schemas.microsoft.com/office/drawing/2014/main" id="{76D1185D-CCB2-4523-96AC-A0E0AC16874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5" name="Host Control  150" hidden="1">
          <a:extLst>
            <a:ext uri="{FF2B5EF4-FFF2-40B4-BE49-F238E27FC236}">
              <a16:creationId xmlns:a16="http://schemas.microsoft.com/office/drawing/2014/main" id="{ECA1F1E8-B007-4BE4-A7D8-5656A53BE04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6" name="Host Control  151" hidden="1">
          <a:extLst>
            <a:ext uri="{FF2B5EF4-FFF2-40B4-BE49-F238E27FC236}">
              <a16:creationId xmlns:a16="http://schemas.microsoft.com/office/drawing/2014/main" id="{ACE4B224-D186-4ACE-97C1-4DEDFFABEE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7" name="Host Control  152" hidden="1">
          <a:extLst>
            <a:ext uri="{FF2B5EF4-FFF2-40B4-BE49-F238E27FC236}">
              <a16:creationId xmlns:a16="http://schemas.microsoft.com/office/drawing/2014/main" id="{C4E0204C-AC1F-465B-A69F-BDEC480FDDC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8" name="Host Control  153" hidden="1">
          <a:extLst>
            <a:ext uri="{FF2B5EF4-FFF2-40B4-BE49-F238E27FC236}">
              <a16:creationId xmlns:a16="http://schemas.microsoft.com/office/drawing/2014/main" id="{9F66B3A1-7CDA-4B55-928E-F68306BA3C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9" name="Host Control  154" hidden="1">
          <a:extLst>
            <a:ext uri="{FF2B5EF4-FFF2-40B4-BE49-F238E27FC236}">
              <a16:creationId xmlns:a16="http://schemas.microsoft.com/office/drawing/2014/main" id="{8246F25C-6E32-4A2E-9ECD-972B389FAE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0" name="Host Control  155" hidden="1">
          <a:extLst>
            <a:ext uri="{FF2B5EF4-FFF2-40B4-BE49-F238E27FC236}">
              <a16:creationId xmlns:a16="http://schemas.microsoft.com/office/drawing/2014/main" id="{D2AA3C25-0C51-4B5D-9B84-F527F63269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1" name="Host Control  156" hidden="1">
          <a:extLst>
            <a:ext uri="{FF2B5EF4-FFF2-40B4-BE49-F238E27FC236}">
              <a16:creationId xmlns:a16="http://schemas.microsoft.com/office/drawing/2014/main" id="{0273AF9A-FE17-491A-8131-26F9474B39B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2" name="Host Control  157" hidden="1">
          <a:extLst>
            <a:ext uri="{FF2B5EF4-FFF2-40B4-BE49-F238E27FC236}">
              <a16:creationId xmlns:a16="http://schemas.microsoft.com/office/drawing/2014/main" id="{37A0C8A0-98C7-4B67-B5BE-6BB8A38E1FF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3" name="Host Control  158" hidden="1">
          <a:extLst>
            <a:ext uri="{FF2B5EF4-FFF2-40B4-BE49-F238E27FC236}">
              <a16:creationId xmlns:a16="http://schemas.microsoft.com/office/drawing/2014/main" id="{362B0958-85BD-4A82-8CFF-5DB6FE6FCF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4" name="Host Control  159" hidden="1">
          <a:extLst>
            <a:ext uri="{FF2B5EF4-FFF2-40B4-BE49-F238E27FC236}">
              <a16:creationId xmlns:a16="http://schemas.microsoft.com/office/drawing/2014/main" id="{73C5D363-8984-4039-93DC-018AC596576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5" name="Host Control  160" hidden="1">
          <a:extLst>
            <a:ext uri="{FF2B5EF4-FFF2-40B4-BE49-F238E27FC236}">
              <a16:creationId xmlns:a16="http://schemas.microsoft.com/office/drawing/2014/main" id="{0D8C0C22-0926-47A7-9E42-CB3F0137D11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6" name="Host Control  161" hidden="1">
          <a:extLst>
            <a:ext uri="{FF2B5EF4-FFF2-40B4-BE49-F238E27FC236}">
              <a16:creationId xmlns:a16="http://schemas.microsoft.com/office/drawing/2014/main" id="{D7BC4674-C121-41D7-B0BE-9D002C2DA83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7" name="Host Control  162" hidden="1">
          <a:extLst>
            <a:ext uri="{FF2B5EF4-FFF2-40B4-BE49-F238E27FC236}">
              <a16:creationId xmlns:a16="http://schemas.microsoft.com/office/drawing/2014/main" id="{A08987B2-5F25-40C2-89A1-77902D35FA8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8" name="Host Control  163" hidden="1">
          <a:extLst>
            <a:ext uri="{FF2B5EF4-FFF2-40B4-BE49-F238E27FC236}">
              <a16:creationId xmlns:a16="http://schemas.microsoft.com/office/drawing/2014/main" id="{2E00D840-EB50-4FEB-BE1F-1D200D5EA4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9" name="Host Control  164" hidden="1">
          <a:extLst>
            <a:ext uri="{FF2B5EF4-FFF2-40B4-BE49-F238E27FC236}">
              <a16:creationId xmlns:a16="http://schemas.microsoft.com/office/drawing/2014/main" id="{2B63187D-33AF-49F8-9845-2BAB4C21F06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0" name="Host Control  168" hidden="1">
          <a:extLst>
            <a:ext uri="{FF2B5EF4-FFF2-40B4-BE49-F238E27FC236}">
              <a16:creationId xmlns:a16="http://schemas.microsoft.com/office/drawing/2014/main" id="{510A5C76-8F28-4444-8150-1779485DC4E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1" name="Host Control  169" hidden="1">
          <a:extLst>
            <a:ext uri="{FF2B5EF4-FFF2-40B4-BE49-F238E27FC236}">
              <a16:creationId xmlns:a16="http://schemas.microsoft.com/office/drawing/2014/main" id="{FFA7425F-DF03-4995-A2EF-9AAF0F06A8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2" name="Host Control  170" hidden="1">
          <a:extLst>
            <a:ext uri="{FF2B5EF4-FFF2-40B4-BE49-F238E27FC236}">
              <a16:creationId xmlns:a16="http://schemas.microsoft.com/office/drawing/2014/main" id="{4ADF6E83-D008-4180-90B1-6804DBEA66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3" name="Host Control  171" hidden="1">
          <a:extLst>
            <a:ext uri="{FF2B5EF4-FFF2-40B4-BE49-F238E27FC236}">
              <a16:creationId xmlns:a16="http://schemas.microsoft.com/office/drawing/2014/main" id="{E208D941-A9EA-4073-ACD4-92C069430E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4" name="Host Control  172" hidden="1">
          <a:extLst>
            <a:ext uri="{FF2B5EF4-FFF2-40B4-BE49-F238E27FC236}">
              <a16:creationId xmlns:a16="http://schemas.microsoft.com/office/drawing/2014/main" id="{93C92DC6-78AF-4E82-A094-904B9B59E35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5" name="Host Control  173" hidden="1">
          <a:extLst>
            <a:ext uri="{FF2B5EF4-FFF2-40B4-BE49-F238E27FC236}">
              <a16:creationId xmlns:a16="http://schemas.microsoft.com/office/drawing/2014/main" id="{10C04B8C-0BBA-4B00-AAB0-9CC32B9C3F0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6" name="Host Control  174" hidden="1">
          <a:extLst>
            <a:ext uri="{FF2B5EF4-FFF2-40B4-BE49-F238E27FC236}">
              <a16:creationId xmlns:a16="http://schemas.microsoft.com/office/drawing/2014/main" id="{73CF41C2-5A91-43AB-9B2C-DF86696DA9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7" name="Host Control  175" hidden="1">
          <a:extLst>
            <a:ext uri="{FF2B5EF4-FFF2-40B4-BE49-F238E27FC236}">
              <a16:creationId xmlns:a16="http://schemas.microsoft.com/office/drawing/2014/main" id="{D7EBA317-E315-47A6-A63C-345AE85FC5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8" name="Host Control  176" hidden="1">
          <a:extLst>
            <a:ext uri="{FF2B5EF4-FFF2-40B4-BE49-F238E27FC236}">
              <a16:creationId xmlns:a16="http://schemas.microsoft.com/office/drawing/2014/main" id="{5090361D-DA8C-4245-B476-B838796474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9" name="Host Control  177" hidden="1">
          <a:extLst>
            <a:ext uri="{FF2B5EF4-FFF2-40B4-BE49-F238E27FC236}">
              <a16:creationId xmlns:a16="http://schemas.microsoft.com/office/drawing/2014/main" id="{59A699BB-258B-49E6-971E-7FA86F807E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0" name="Host Control  178" hidden="1">
          <a:extLst>
            <a:ext uri="{FF2B5EF4-FFF2-40B4-BE49-F238E27FC236}">
              <a16:creationId xmlns:a16="http://schemas.microsoft.com/office/drawing/2014/main" id="{1759400D-E8E1-4557-A2B8-0139A2DB82D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1" name="Host Control  179" hidden="1">
          <a:extLst>
            <a:ext uri="{FF2B5EF4-FFF2-40B4-BE49-F238E27FC236}">
              <a16:creationId xmlns:a16="http://schemas.microsoft.com/office/drawing/2014/main" id="{911F07C9-B44E-461E-806C-4B8005294EE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2" name="Host Control  180" hidden="1">
          <a:extLst>
            <a:ext uri="{FF2B5EF4-FFF2-40B4-BE49-F238E27FC236}">
              <a16:creationId xmlns:a16="http://schemas.microsoft.com/office/drawing/2014/main" id="{228E494C-5B68-47BD-B9CB-053375C081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3" name="Host Control  181" hidden="1">
          <a:extLst>
            <a:ext uri="{FF2B5EF4-FFF2-40B4-BE49-F238E27FC236}">
              <a16:creationId xmlns:a16="http://schemas.microsoft.com/office/drawing/2014/main" id="{2455C62D-AB82-4DE6-9EE5-684A3F4CF7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4" name="Host Control  182" hidden="1">
          <a:extLst>
            <a:ext uri="{FF2B5EF4-FFF2-40B4-BE49-F238E27FC236}">
              <a16:creationId xmlns:a16="http://schemas.microsoft.com/office/drawing/2014/main" id="{02CDF936-3BDA-4577-A851-31911DE0BCB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5" name="Host Control  183" hidden="1">
          <a:extLst>
            <a:ext uri="{FF2B5EF4-FFF2-40B4-BE49-F238E27FC236}">
              <a16:creationId xmlns:a16="http://schemas.microsoft.com/office/drawing/2014/main" id="{FD77C6E2-9D5C-4713-AE0C-F5B198BA605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6" name="Host Control  184" hidden="1">
          <a:extLst>
            <a:ext uri="{FF2B5EF4-FFF2-40B4-BE49-F238E27FC236}">
              <a16:creationId xmlns:a16="http://schemas.microsoft.com/office/drawing/2014/main" id="{0B724A1F-C31E-44BE-93B9-10D3F121454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7" name="Host Control  185" hidden="1">
          <a:extLst>
            <a:ext uri="{FF2B5EF4-FFF2-40B4-BE49-F238E27FC236}">
              <a16:creationId xmlns:a16="http://schemas.microsoft.com/office/drawing/2014/main" id="{2EFC2A50-6550-4982-818F-C7914FF7D7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8" name="Host Control  186" hidden="1">
          <a:extLst>
            <a:ext uri="{FF2B5EF4-FFF2-40B4-BE49-F238E27FC236}">
              <a16:creationId xmlns:a16="http://schemas.microsoft.com/office/drawing/2014/main" id="{201B2186-4163-42A5-AE2E-1FD46BD7827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9" name="Host Control  187" hidden="1">
          <a:extLst>
            <a:ext uri="{FF2B5EF4-FFF2-40B4-BE49-F238E27FC236}">
              <a16:creationId xmlns:a16="http://schemas.microsoft.com/office/drawing/2014/main" id="{2CC98335-79A4-421D-91ED-691804A9189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0" name="Host Control  188" hidden="1">
          <a:extLst>
            <a:ext uri="{FF2B5EF4-FFF2-40B4-BE49-F238E27FC236}">
              <a16:creationId xmlns:a16="http://schemas.microsoft.com/office/drawing/2014/main" id="{6A7AFE71-6161-4759-8931-E81CC719040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1" name="Host Control  189" hidden="1">
          <a:extLst>
            <a:ext uri="{FF2B5EF4-FFF2-40B4-BE49-F238E27FC236}">
              <a16:creationId xmlns:a16="http://schemas.microsoft.com/office/drawing/2014/main" id="{3057E342-3A30-444F-A794-22734EAEF8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2" name="Host Control  190" hidden="1">
          <a:extLst>
            <a:ext uri="{FF2B5EF4-FFF2-40B4-BE49-F238E27FC236}">
              <a16:creationId xmlns:a16="http://schemas.microsoft.com/office/drawing/2014/main" id="{5E3E181F-009B-4883-B8DA-108ECFAA30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3" name="Host Control  191" hidden="1">
          <a:extLst>
            <a:ext uri="{FF2B5EF4-FFF2-40B4-BE49-F238E27FC236}">
              <a16:creationId xmlns:a16="http://schemas.microsoft.com/office/drawing/2014/main" id="{BC335F60-B992-4B82-87C4-9FEA6BC0B6F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4" name="Host Control  192" hidden="1">
          <a:extLst>
            <a:ext uri="{FF2B5EF4-FFF2-40B4-BE49-F238E27FC236}">
              <a16:creationId xmlns:a16="http://schemas.microsoft.com/office/drawing/2014/main" id="{7CA0A6A4-CA0D-4443-AB6B-1E0C53AEAA6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5" name="Host Control  193" hidden="1">
          <a:extLst>
            <a:ext uri="{FF2B5EF4-FFF2-40B4-BE49-F238E27FC236}">
              <a16:creationId xmlns:a16="http://schemas.microsoft.com/office/drawing/2014/main" id="{46C80A5E-7D5A-45EB-A702-022285EF83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6" name="Host Control  194" hidden="1">
          <a:extLst>
            <a:ext uri="{FF2B5EF4-FFF2-40B4-BE49-F238E27FC236}">
              <a16:creationId xmlns:a16="http://schemas.microsoft.com/office/drawing/2014/main" id="{EB0A4E7C-8AD6-420C-9A28-D93C1059604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7" name="Host Control  195" hidden="1">
          <a:extLst>
            <a:ext uri="{FF2B5EF4-FFF2-40B4-BE49-F238E27FC236}">
              <a16:creationId xmlns:a16="http://schemas.microsoft.com/office/drawing/2014/main" id="{D2A76D47-47EB-4F90-9661-57E7EBA0D4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8" name="Host Control  196" hidden="1">
          <a:extLst>
            <a:ext uri="{FF2B5EF4-FFF2-40B4-BE49-F238E27FC236}">
              <a16:creationId xmlns:a16="http://schemas.microsoft.com/office/drawing/2014/main" id="{4DFA15AB-8B3B-475C-9DB4-8CBE46EB91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9" name="Host Control  197" hidden="1">
          <a:extLst>
            <a:ext uri="{FF2B5EF4-FFF2-40B4-BE49-F238E27FC236}">
              <a16:creationId xmlns:a16="http://schemas.microsoft.com/office/drawing/2014/main" id="{A84FB7AB-4E9B-43FD-BA5E-1F3F093937D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0" name="Host Control  201" hidden="1">
          <a:extLst>
            <a:ext uri="{FF2B5EF4-FFF2-40B4-BE49-F238E27FC236}">
              <a16:creationId xmlns:a16="http://schemas.microsoft.com/office/drawing/2014/main" id="{E71F99A2-F284-4C22-A9CB-A9DC0172264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1" name="Host Control  202" hidden="1">
          <a:extLst>
            <a:ext uri="{FF2B5EF4-FFF2-40B4-BE49-F238E27FC236}">
              <a16:creationId xmlns:a16="http://schemas.microsoft.com/office/drawing/2014/main" id="{41CD8957-8815-40A6-BE62-D3853291E9A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2" name="Host Control  203" hidden="1">
          <a:extLst>
            <a:ext uri="{FF2B5EF4-FFF2-40B4-BE49-F238E27FC236}">
              <a16:creationId xmlns:a16="http://schemas.microsoft.com/office/drawing/2014/main" id="{202E94DA-5004-423B-B541-2D36CC90FE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3" name="Host Control  204" hidden="1">
          <a:extLst>
            <a:ext uri="{FF2B5EF4-FFF2-40B4-BE49-F238E27FC236}">
              <a16:creationId xmlns:a16="http://schemas.microsoft.com/office/drawing/2014/main" id="{3A3281E9-BBE6-428C-8050-AB8B8A5FB2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4" name="Host Control  205" hidden="1">
          <a:extLst>
            <a:ext uri="{FF2B5EF4-FFF2-40B4-BE49-F238E27FC236}">
              <a16:creationId xmlns:a16="http://schemas.microsoft.com/office/drawing/2014/main" id="{ABA7DF36-E6D4-499D-BD00-26931C9E70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5" name="Host Control  206" hidden="1">
          <a:extLst>
            <a:ext uri="{FF2B5EF4-FFF2-40B4-BE49-F238E27FC236}">
              <a16:creationId xmlns:a16="http://schemas.microsoft.com/office/drawing/2014/main" id="{BE02F931-2F2A-458B-813C-57DF7A5C9C3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6" name="Host Control  207" hidden="1">
          <a:extLst>
            <a:ext uri="{FF2B5EF4-FFF2-40B4-BE49-F238E27FC236}">
              <a16:creationId xmlns:a16="http://schemas.microsoft.com/office/drawing/2014/main" id="{12E6C9BB-C6BD-4752-82FE-B17354E4748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7" name="Host Control  208" hidden="1">
          <a:extLst>
            <a:ext uri="{FF2B5EF4-FFF2-40B4-BE49-F238E27FC236}">
              <a16:creationId xmlns:a16="http://schemas.microsoft.com/office/drawing/2014/main" id="{B86F6BD7-9EAE-4CCF-80B8-665B4A1EB55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8" name="Host Control  209" hidden="1">
          <a:extLst>
            <a:ext uri="{FF2B5EF4-FFF2-40B4-BE49-F238E27FC236}">
              <a16:creationId xmlns:a16="http://schemas.microsoft.com/office/drawing/2014/main" id="{EA4424CD-D739-4AF7-80BA-C7448852266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9" name="Host Control  210" hidden="1">
          <a:extLst>
            <a:ext uri="{FF2B5EF4-FFF2-40B4-BE49-F238E27FC236}">
              <a16:creationId xmlns:a16="http://schemas.microsoft.com/office/drawing/2014/main" id="{3297EAD0-D424-48BB-B797-45357C3C2ED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0" name="Host Control  211" hidden="1">
          <a:extLst>
            <a:ext uri="{FF2B5EF4-FFF2-40B4-BE49-F238E27FC236}">
              <a16:creationId xmlns:a16="http://schemas.microsoft.com/office/drawing/2014/main" id="{551CBF60-AD95-44BE-A385-8CDD1E1A422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1" name="Host Control  212" hidden="1">
          <a:extLst>
            <a:ext uri="{FF2B5EF4-FFF2-40B4-BE49-F238E27FC236}">
              <a16:creationId xmlns:a16="http://schemas.microsoft.com/office/drawing/2014/main" id="{097C41FF-96B9-428C-B50D-20142D3A5FC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2" name="Host Control  213" hidden="1">
          <a:extLst>
            <a:ext uri="{FF2B5EF4-FFF2-40B4-BE49-F238E27FC236}">
              <a16:creationId xmlns:a16="http://schemas.microsoft.com/office/drawing/2014/main" id="{0AB2D520-D94B-4709-A4DA-873E028D842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3" name="Host Control  214" hidden="1">
          <a:extLst>
            <a:ext uri="{FF2B5EF4-FFF2-40B4-BE49-F238E27FC236}">
              <a16:creationId xmlns:a16="http://schemas.microsoft.com/office/drawing/2014/main" id="{57CB120F-CD4F-4CB1-9841-35275F07C37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4" name="Host Control  215" hidden="1">
          <a:extLst>
            <a:ext uri="{FF2B5EF4-FFF2-40B4-BE49-F238E27FC236}">
              <a16:creationId xmlns:a16="http://schemas.microsoft.com/office/drawing/2014/main" id="{5A6CBF95-A98D-4D5A-990F-E880BC5CA8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5" name="Host Control  216" hidden="1">
          <a:extLst>
            <a:ext uri="{FF2B5EF4-FFF2-40B4-BE49-F238E27FC236}">
              <a16:creationId xmlns:a16="http://schemas.microsoft.com/office/drawing/2014/main" id="{546F59A9-16AD-4EC4-81DA-ACB667FB60C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6" name="Host Control  217" hidden="1">
          <a:extLst>
            <a:ext uri="{FF2B5EF4-FFF2-40B4-BE49-F238E27FC236}">
              <a16:creationId xmlns:a16="http://schemas.microsoft.com/office/drawing/2014/main" id="{E8AFD418-588D-4B85-8088-8EA0303871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7" name="Host Control  218" hidden="1">
          <a:extLst>
            <a:ext uri="{FF2B5EF4-FFF2-40B4-BE49-F238E27FC236}">
              <a16:creationId xmlns:a16="http://schemas.microsoft.com/office/drawing/2014/main" id="{52BAC1D8-D392-426B-9B79-69E61E13950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8" name="Host Control  219" hidden="1">
          <a:extLst>
            <a:ext uri="{FF2B5EF4-FFF2-40B4-BE49-F238E27FC236}">
              <a16:creationId xmlns:a16="http://schemas.microsoft.com/office/drawing/2014/main" id="{12177D8C-27CB-45BD-8B7E-C0E4464D350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9" name="Host Control  220" hidden="1">
          <a:extLst>
            <a:ext uri="{FF2B5EF4-FFF2-40B4-BE49-F238E27FC236}">
              <a16:creationId xmlns:a16="http://schemas.microsoft.com/office/drawing/2014/main" id="{858057B4-BD1D-4518-84B2-390C3C1A5D2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0" name="Host Control  221" hidden="1">
          <a:extLst>
            <a:ext uri="{FF2B5EF4-FFF2-40B4-BE49-F238E27FC236}">
              <a16:creationId xmlns:a16="http://schemas.microsoft.com/office/drawing/2014/main" id="{07C0D120-FB2C-4C72-A1F4-A077FA2F4C9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1" name="Host Control  222" hidden="1">
          <a:extLst>
            <a:ext uri="{FF2B5EF4-FFF2-40B4-BE49-F238E27FC236}">
              <a16:creationId xmlns:a16="http://schemas.microsoft.com/office/drawing/2014/main" id="{E23AB1BD-BE78-4776-86DE-78D942C6936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2" name="Host Control  223" hidden="1">
          <a:extLst>
            <a:ext uri="{FF2B5EF4-FFF2-40B4-BE49-F238E27FC236}">
              <a16:creationId xmlns:a16="http://schemas.microsoft.com/office/drawing/2014/main" id="{18ED3FE4-9140-4E14-ACC4-441AAF6A628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3" name="Host Control  224" hidden="1">
          <a:extLst>
            <a:ext uri="{FF2B5EF4-FFF2-40B4-BE49-F238E27FC236}">
              <a16:creationId xmlns:a16="http://schemas.microsoft.com/office/drawing/2014/main" id="{DB1E90B2-D37F-49E6-8BBC-3029FA14C7A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4" name="Host Control  225" hidden="1">
          <a:extLst>
            <a:ext uri="{FF2B5EF4-FFF2-40B4-BE49-F238E27FC236}">
              <a16:creationId xmlns:a16="http://schemas.microsoft.com/office/drawing/2014/main" id="{8C1F3956-F6A6-453C-A1DD-35B2C177AF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5" name="Host Control  226" hidden="1">
          <a:extLst>
            <a:ext uri="{FF2B5EF4-FFF2-40B4-BE49-F238E27FC236}">
              <a16:creationId xmlns:a16="http://schemas.microsoft.com/office/drawing/2014/main" id="{049B2881-3B12-47D4-A76D-0D64312BBCF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6" name="Host Control  227" hidden="1">
          <a:extLst>
            <a:ext uri="{FF2B5EF4-FFF2-40B4-BE49-F238E27FC236}">
              <a16:creationId xmlns:a16="http://schemas.microsoft.com/office/drawing/2014/main" id="{A3825A8A-1864-4FE1-8944-5E7949331B4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7" name="Host Control  228" hidden="1">
          <a:extLst>
            <a:ext uri="{FF2B5EF4-FFF2-40B4-BE49-F238E27FC236}">
              <a16:creationId xmlns:a16="http://schemas.microsoft.com/office/drawing/2014/main" id="{5447BC83-F4AA-4446-8671-4B066FADBCE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8" name="Host Control  229" hidden="1">
          <a:extLst>
            <a:ext uri="{FF2B5EF4-FFF2-40B4-BE49-F238E27FC236}">
              <a16:creationId xmlns:a16="http://schemas.microsoft.com/office/drawing/2014/main" id="{44CB1A1C-6159-48F8-B577-D6540E66FFF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9" name="Host Control  230" hidden="1">
          <a:extLst>
            <a:ext uri="{FF2B5EF4-FFF2-40B4-BE49-F238E27FC236}">
              <a16:creationId xmlns:a16="http://schemas.microsoft.com/office/drawing/2014/main" id="{7B5B4DE3-6260-4D3A-81A1-A90C1DD1706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0" name="Host Control  234" hidden="1">
          <a:extLst>
            <a:ext uri="{FF2B5EF4-FFF2-40B4-BE49-F238E27FC236}">
              <a16:creationId xmlns:a16="http://schemas.microsoft.com/office/drawing/2014/main" id="{1C4446BF-80AE-41A7-B9D8-4B8BE7E6B6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1" name="Host Control  235" hidden="1">
          <a:extLst>
            <a:ext uri="{FF2B5EF4-FFF2-40B4-BE49-F238E27FC236}">
              <a16:creationId xmlns:a16="http://schemas.microsoft.com/office/drawing/2014/main" id="{91B2BD0E-5F72-4303-8206-08391F132F6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2" name="Host Control  236" hidden="1">
          <a:extLst>
            <a:ext uri="{FF2B5EF4-FFF2-40B4-BE49-F238E27FC236}">
              <a16:creationId xmlns:a16="http://schemas.microsoft.com/office/drawing/2014/main" id="{FB063FF7-DFA0-4A19-AAB6-1D4C5C05A3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3" name="Host Control  237" hidden="1">
          <a:extLst>
            <a:ext uri="{FF2B5EF4-FFF2-40B4-BE49-F238E27FC236}">
              <a16:creationId xmlns:a16="http://schemas.microsoft.com/office/drawing/2014/main" id="{5B8F41BD-D2D7-4A8E-BC8C-E8C8FA83C69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4" name="Host Control  238" hidden="1">
          <a:extLst>
            <a:ext uri="{FF2B5EF4-FFF2-40B4-BE49-F238E27FC236}">
              <a16:creationId xmlns:a16="http://schemas.microsoft.com/office/drawing/2014/main" id="{CD64CADD-4F39-4D58-83C3-9F961F5A10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5" name="Host Control  239" hidden="1">
          <a:extLst>
            <a:ext uri="{FF2B5EF4-FFF2-40B4-BE49-F238E27FC236}">
              <a16:creationId xmlns:a16="http://schemas.microsoft.com/office/drawing/2014/main" id="{2A8F283F-5F12-4087-80C1-FBF83B0490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6" name="Host Control  240" hidden="1">
          <a:extLst>
            <a:ext uri="{FF2B5EF4-FFF2-40B4-BE49-F238E27FC236}">
              <a16:creationId xmlns:a16="http://schemas.microsoft.com/office/drawing/2014/main" id="{6E118D61-BFF9-4F3C-9F91-0D4068685DE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7" name="Host Control  241" hidden="1">
          <a:extLst>
            <a:ext uri="{FF2B5EF4-FFF2-40B4-BE49-F238E27FC236}">
              <a16:creationId xmlns:a16="http://schemas.microsoft.com/office/drawing/2014/main" id="{8BB7420F-4285-4441-97A8-E20B848001A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8" name="Host Control  242" hidden="1">
          <a:extLst>
            <a:ext uri="{FF2B5EF4-FFF2-40B4-BE49-F238E27FC236}">
              <a16:creationId xmlns:a16="http://schemas.microsoft.com/office/drawing/2014/main" id="{342A0AD2-A371-4A46-BDDC-2D562055625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9" name="Host Control  243" hidden="1">
          <a:extLst>
            <a:ext uri="{FF2B5EF4-FFF2-40B4-BE49-F238E27FC236}">
              <a16:creationId xmlns:a16="http://schemas.microsoft.com/office/drawing/2014/main" id="{56F88BB4-8FF3-4D6B-90D7-5D157101D64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0" name="Host Control  244" hidden="1">
          <a:extLst>
            <a:ext uri="{FF2B5EF4-FFF2-40B4-BE49-F238E27FC236}">
              <a16:creationId xmlns:a16="http://schemas.microsoft.com/office/drawing/2014/main" id="{E808B968-2D15-4CE4-925F-D336D716700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1" name="Host Control  245" hidden="1">
          <a:extLst>
            <a:ext uri="{FF2B5EF4-FFF2-40B4-BE49-F238E27FC236}">
              <a16:creationId xmlns:a16="http://schemas.microsoft.com/office/drawing/2014/main" id="{B5D59616-783D-4985-AFD9-6990FD4FA70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2" name="Host Control  246" hidden="1">
          <a:extLst>
            <a:ext uri="{FF2B5EF4-FFF2-40B4-BE49-F238E27FC236}">
              <a16:creationId xmlns:a16="http://schemas.microsoft.com/office/drawing/2014/main" id="{8DA21C74-530F-46DD-9D35-9257461B42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3" name="Host Control  247" hidden="1">
          <a:extLst>
            <a:ext uri="{FF2B5EF4-FFF2-40B4-BE49-F238E27FC236}">
              <a16:creationId xmlns:a16="http://schemas.microsoft.com/office/drawing/2014/main" id="{27875BB1-C0CF-4913-AF08-5FF1A2496FD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4" name="Host Control  248" hidden="1">
          <a:extLst>
            <a:ext uri="{FF2B5EF4-FFF2-40B4-BE49-F238E27FC236}">
              <a16:creationId xmlns:a16="http://schemas.microsoft.com/office/drawing/2014/main" id="{4203E27F-C0C2-4431-B1EA-92F06E2414C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5" name="Host Control  249" hidden="1">
          <a:extLst>
            <a:ext uri="{FF2B5EF4-FFF2-40B4-BE49-F238E27FC236}">
              <a16:creationId xmlns:a16="http://schemas.microsoft.com/office/drawing/2014/main" id="{F02517D7-3081-4CBD-B436-2B0F3D1A104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6" name="Host Control  250" hidden="1">
          <a:extLst>
            <a:ext uri="{FF2B5EF4-FFF2-40B4-BE49-F238E27FC236}">
              <a16:creationId xmlns:a16="http://schemas.microsoft.com/office/drawing/2014/main" id="{4B87ED60-5291-4BD3-8202-5203A3F32D6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7" name="Host Control  251" hidden="1">
          <a:extLst>
            <a:ext uri="{FF2B5EF4-FFF2-40B4-BE49-F238E27FC236}">
              <a16:creationId xmlns:a16="http://schemas.microsoft.com/office/drawing/2014/main" id="{2CD0EB81-959D-49A8-B52C-F56DC8DC80D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8" name="Host Control  252" hidden="1">
          <a:extLst>
            <a:ext uri="{FF2B5EF4-FFF2-40B4-BE49-F238E27FC236}">
              <a16:creationId xmlns:a16="http://schemas.microsoft.com/office/drawing/2014/main" id="{AD8683C8-98E9-4C3B-83E6-9D9A8452B0A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9" name="Host Control  253" hidden="1">
          <a:extLst>
            <a:ext uri="{FF2B5EF4-FFF2-40B4-BE49-F238E27FC236}">
              <a16:creationId xmlns:a16="http://schemas.microsoft.com/office/drawing/2014/main" id="{7657E5AC-3068-4FDE-AB37-5F62B224522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0" name="Host Control  254" hidden="1">
          <a:extLst>
            <a:ext uri="{FF2B5EF4-FFF2-40B4-BE49-F238E27FC236}">
              <a16:creationId xmlns:a16="http://schemas.microsoft.com/office/drawing/2014/main" id="{188B06E4-86C4-417C-BD79-CBA5697F1B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1" name="Host Control  255" hidden="1">
          <a:extLst>
            <a:ext uri="{FF2B5EF4-FFF2-40B4-BE49-F238E27FC236}">
              <a16:creationId xmlns:a16="http://schemas.microsoft.com/office/drawing/2014/main" id="{C6900E57-ABED-4F7E-A189-6F46885DAB7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2" name="Host Control  256" hidden="1">
          <a:extLst>
            <a:ext uri="{FF2B5EF4-FFF2-40B4-BE49-F238E27FC236}">
              <a16:creationId xmlns:a16="http://schemas.microsoft.com/office/drawing/2014/main" id="{FDD9A7EA-2F4B-4DAF-B0F1-75ADD978FA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3" name="Host Control  257" hidden="1">
          <a:extLst>
            <a:ext uri="{FF2B5EF4-FFF2-40B4-BE49-F238E27FC236}">
              <a16:creationId xmlns:a16="http://schemas.microsoft.com/office/drawing/2014/main" id="{FBD22631-6403-4181-9FD6-279441D91B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4" name="Host Control  258" hidden="1">
          <a:extLst>
            <a:ext uri="{FF2B5EF4-FFF2-40B4-BE49-F238E27FC236}">
              <a16:creationId xmlns:a16="http://schemas.microsoft.com/office/drawing/2014/main" id="{788447D6-6D8A-45DA-8EE6-9C1A6F0A0F6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5" name="Host Control  259" hidden="1">
          <a:extLst>
            <a:ext uri="{FF2B5EF4-FFF2-40B4-BE49-F238E27FC236}">
              <a16:creationId xmlns:a16="http://schemas.microsoft.com/office/drawing/2014/main" id="{13B7981D-4A76-46F4-BB29-51FAF483AAA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6" name="Host Control  260" hidden="1">
          <a:extLst>
            <a:ext uri="{FF2B5EF4-FFF2-40B4-BE49-F238E27FC236}">
              <a16:creationId xmlns:a16="http://schemas.microsoft.com/office/drawing/2014/main" id="{7788B281-907D-4180-A9BA-E1752A930DA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7" name="Host Control  261" hidden="1">
          <a:extLst>
            <a:ext uri="{FF2B5EF4-FFF2-40B4-BE49-F238E27FC236}">
              <a16:creationId xmlns:a16="http://schemas.microsoft.com/office/drawing/2014/main" id="{289A3111-0544-4254-A205-D71A1B24D2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8" name="Host Control  262" hidden="1">
          <a:extLst>
            <a:ext uri="{FF2B5EF4-FFF2-40B4-BE49-F238E27FC236}">
              <a16:creationId xmlns:a16="http://schemas.microsoft.com/office/drawing/2014/main" id="{B013548E-0F0D-417C-9281-0DC67E610B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9" name="Host Control  263" hidden="1">
          <a:extLst>
            <a:ext uri="{FF2B5EF4-FFF2-40B4-BE49-F238E27FC236}">
              <a16:creationId xmlns:a16="http://schemas.microsoft.com/office/drawing/2014/main" id="{69DBB391-50BF-48C8-A5C1-CA71BB9A045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0" name="Host Control  267" hidden="1">
          <a:extLst>
            <a:ext uri="{FF2B5EF4-FFF2-40B4-BE49-F238E27FC236}">
              <a16:creationId xmlns:a16="http://schemas.microsoft.com/office/drawing/2014/main" id="{682BB01C-277A-4469-AFB5-B986E396507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1" name="Host Control  268" hidden="1">
          <a:extLst>
            <a:ext uri="{FF2B5EF4-FFF2-40B4-BE49-F238E27FC236}">
              <a16:creationId xmlns:a16="http://schemas.microsoft.com/office/drawing/2014/main" id="{9A82F3A9-1949-490D-B5F2-1FDBB7151D7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2" name="Host Control  269" hidden="1">
          <a:extLst>
            <a:ext uri="{FF2B5EF4-FFF2-40B4-BE49-F238E27FC236}">
              <a16:creationId xmlns:a16="http://schemas.microsoft.com/office/drawing/2014/main" id="{54F558F8-8690-4EF4-B72A-DAE520129F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3" name="Host Control  270" hidden="1">
          <a:extLst>
            <a:ext uri="{FF2B5EF4-FFF2-40B4-BE49-F238E27FC236}">
              <a16:creationId xmlns:a16="http://schemas.microsoft.com/office/drawing/2014/main" id="{B1FA6397-2413-4634-A314-EAA917EAA4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4" name="Host Control  271" hidden="1">
          <a:extLst>
            <a:ext uri="{FF2B5EF4-FFF2-40B4-BE49-F238E27FC236}">
              <a16:creationId xmlns:a16="http://schemas.microsoft.com/office/drawing/2014/main" id="{1F0B49DF-E909-46B4-879D-3CD81C3A6C4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5" name="Host Control  272" hidden="1">
          <a:extLst>
            <a:ext uri="{FF2B5EF4-FFF2-40B4-BE49-F238E27FC236}">
              <a16:creationId xmlns:a16="http://schemas.microsoft.com/office/drawing/2014/main" id="{28A81724-28A8-4634-9A4D-D138004A6A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6" name="Host Control  273" hidden="1">
          <a:extLst>
            <a:ext uri="{FF2B5EF4-FFF2-40B4-BE49-F238E27FC236}">
              <a16:creationId xmlns:a16="http://schemas.microsoft.com/office/drawing/2014/main" id="{25ABFC31-EE96-4651-9699-3B1EF734E7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7" name="Host Control  274" hidden="1">
          <a:extLst>
            <a:ext uri="{FF2B5EF4-FFF2-40B4-BE49-F238E27FC236}">
              <a16:creationId xmlns:a16="http://schemas.microsoft.com/office/drawing/2014/main" id="{44B2A717-FF7C-48C1-A309-95EB14C7455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8" name="Host Control  275" hidden="1">
          <a:extLst>
            <a:ext uri="{FF2B5EF4-FFF2-40B4-BE49-F238E27FC236}">
              <a16:creationId xmlns:a16="http://schemas.microsoft.com/office/drawing/2014/main" id="{26720910-5B19-45AF-93FF-E26F58B4058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9" name="Host Control  276" hidden="1">
          <a:extLst>
            <a:ext uri="{FF2B5EF4-FFF2-40B4-BE49-F238E27FC236}">
              <a16:creationId xmlns:a16="http://schemas.microsoft.com/office/drawing/2014/main" id="{C47111AA-0E6F-4C8C-B37D-ECB870A12F2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0" name="Host Control  277" hidden="1">
          <a:extLst>
            <a:ext uri="{FF2B5EF4-FFF2-40B4-BE49-F238E27FC236}">
              <a16:creationId xmlns:a16="http://schemas.microsoft.com/office/drawing/2014/main" id="{15A87C1B-1307-4260-B90F-330BC6A3A3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1" name="Host Control  278" hidden="1">
          <a:extLst>
            <a:ext uri="{FF2B5EF4-FFF2-40B4-BE49-F238E27FC236}">
              <a16:creationId xmlns:a16="http://schemas.microsoft.com/office/drawing/2014/main" id="{A60105C9-FF49-489F-8012-84CE56750D7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2" name="Host Control  279" hidden="1">
          <a:extLst>
            <a:ext uri="{FF2B5EF4-FFF2-40B4-BE49-F238E27FC236}">
              <a16:creationId xmlns:a16="http://schemas.microsoft.com/office/drawing/2014/main" id="{59EC4CB2-E75D-4A46-9623-23A1DDC585E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3" name="Host Control  280" hidden="1">
          <a:extLst>
            <a:ext uri="{FF2B5EF4-FFF2-40B4-BE49-F238E27FC236}">
              <a16:creationId xmlns:a16="http://schemas.microsoft.com/office/drawing/2014/main" id="{06CE5A21-57E9-4521-8BA0-C929010AD07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4" name="Host Control  281" hidden="1">
          <a:extLst>
            <a:ext uri="{FF2B5EF4-FFF2-40B4-BE49-F238E27FC236}">
              <a16:creationId xmlns:a16="http://schemas.microsoft.com/office/drawing/2014/main" id="{72B96432-4E90-493F-A1D1-7FC0DF480E0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5" name="Host Control  282" hidden="1">
          <a:extLst>
            <a:ext uri="{FF2B5EF4-FFF2-40B4-BE49-F238E27FC236}">
              <a16:creationId xmlns:a16="http://schemas.microsoft.com/office/drawing/2014/main" id="{3C3FD164-83AC-4147-8D6A-A303EB679D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6" name="Host Control  283" hidden="1">
          <a:extLst>
            <a:ext uri="{FF2B5EF4-FFF2-40B4-BE49-F238E27FC236}">
              <a16:creationId xmlns:a16="http://schemas.microsoft.com/office/drawing/2014/main" id="{2195EFDC-BA70-4F9A-A420-EC43D1447B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7" name="Host Control  284" hidden="1">
          <a:extLst>
            <a:ext uri="{FF2B5EF4-FFF2-40B4-BE49-F238E27FC236}">
              <a16:creationId xmlns:a16="http://schemas.microsoft.com/office/drawing/2014/main" id="{8A968D18-1E04-4CE3-BB43-9D01BB33247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8" name="Host Control  285" hidden="1">
          <a:extLst>
            <a:ext uri="{FF2B5EF4-FFF2-40B4-BE49-F238E27FC236}">
              <a16:creationId xmlns:a16="http://schemas.microsoft.com/office/drawing/2014/main" id="{2D47F3D4-01EC-47CD-BB7B-478811FFA7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9" name="Host Control  286" hidden="1">
          <a:extLst>
            <a:ext uri="{FF2B5EF4-FFF2-40B4-BE49-F238E27FC236}">
              <a16:creationId xmlns:a16="http://schemas.microsoft.com/office/drawing/2014/main" id="{15078950-AB66-41E3-82EE-39C1CC51632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0" name="Host Control  287" hidden="1">
          <a:extLst>
            <a:ext uri="{FF2B5EF4-FFF2-40B4-BE49-F238E27FC236}">
              <a16:creationId xmlns:a16="http://schemas.microsoft.com/office/drawing/2014/main" id="{821D3722-7425-4B9D-967B-3FB3132DFC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1" name="Host Control  288" hidden="1">
          <a:extLst>
            <a:ext uri="{FF2B5EF4-FFF2-40B4-BE49-F238E27FC236}">
              <a16:creationId xmlns:a16="http://schemas.microsoft.com/office/drawing/2014/main" id="{6F8AB545-0801-4600-9313-DC572DC8C35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2" name="Host Control  289" hidden="1">
          <a:extLst>
            <a:ext uri="{FF2B5EF4-FFF2-40B4-BE49-F238E27FC236}">
              <a16:creationId xmlns:a16="http://schemas.microsoft.com/office/drawing/2014/main" id="{7970E613-35BA-467E-9A28-B9A7C647B2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3" name="Host Control  290" hidden="1">
          <a:extLst>
            <a:ext uri="{FF2B5EF4-FFF2-40B4-BE49-F238E27FC236}">
              <a16:creationId xmlns:a16="http://schemas.microsoft.com/office/drawing/2014/main" id="{A096C792-9FDC-4CCD-990E-45BEBE6F99E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4" name="Host Control  291" hidden="1">
          <a:extLst>
            <a:ext uri="{FF2B5EF4-FFF2-40B4-BE49-F238E27FC236}">
              <a16:creationId xmlns:a16="http://schemas.microsoft.com/office/drawing/2014/main" id="{31AAB8A7-9DE4-45B4-AFD7-D5452B9245B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5" name="Host Control  292" hidden="1">
          <a:extLst>
            <a:ext uri="{FF2B5EF4-FFF2-40B4-BE49-F238E27FC236}">
              <a16:creationId xmlns:a16="http://schemas.microsoft.com/office/drawing/2014/main" id="{D08EC0E2-2B15-4475-A30C-B9AD9AE3484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6" name="Host Control  293" hidden="1">
          <a:extLst>
            <a:ext uri="{FF2B5EF4-FFF2-40B4-BE49-F238E27FC236}">
              <a16:creationId xmlns:a16="http://schemas.microsoft.com/office/drawing/2014/main" id="{2CE650FB-98EB-429F-AC50-F1584E2B3AC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7" name="Host Control  294" hidden="1">
          <a:extLst>
            <a:ext uri="{FF2B5EF4-FFF2-40B4-BE49-F238E27FC236}">
              <a16:creationId xmlns:a16="http://schemas.microsoft.com/office/drawing/2014/main" id="{A2DDC800-2BF8-4491-9F84-51F29C4C6D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8" name="Host Control  295" hidden="1">
          <a:extLst>
            <a:ext uri="{FF2B5EF4-FFF2-40B4-BE49-F238E27FC236}">
              <a16:creationId xmlns:a16="http://schemas.microsoft.com/office/drawing/2014/main" id="{1CC7DB50-CAF9-406A-B2A1-BB06AB7395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9" name="Host Control  296" hidden="1">
          <a:extLst>
            <a:ext uri="{FF2B5EF4-FFF2-40B4-BE49-F238E27FC236}">
              <a16:creationId xmlns:a16="http://schemas.microsoft.com/office/drawing/2014/main" id="{7DD47321-F2F6-4A2E-AE45-D6B91B1E86D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0" name="Host Control  32">
          <a:extLst>
            <a:ext uri="{FF2B5EF4-FFF2-40B4-BE49-F238E27FC236}">
              <a16:creationId xmlns:a16="http://schemas.microsoft.com/office/drawing/2014/main" id="{E1462D93-777C-4458-93DF-CD6F63A3F6B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1" name="Host Control  33">
          <a:extLst>
            <a:ext uri="{FF2B5EF4-FFF2-40B4-BE49-F238E27FC236}">
              <a16:creationId xmlns:a16="http://schemas.microsoft.com/office/drawing/2014/main" id="{ADDA12E3-036E-4721-9CFB-5A2A0E04258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2" name="Host Control  34">
          <a:extLst>
            <a:ext uri="{FF2B5EF4-FFF2-40B4-BE49-F238E27FC236}">
              <a16:creationId xmlns:a16="http://schemas.microsoft.com/office/drawing/2014/main" id="{3053587F-7088-4E38-8B39-AC01EAD00D0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3" name="Host Control  35">
          <a:extLst>
            <a:ext uri="{FF2B5EF4-FFF2-40B4-BE49-F238E27FC236}">
              <a16:creationId xmlns:a16="http://schemas.microsoft.com/office/drawing/2014/main" id="{42B911F8-16D5-4C2C-988E-6B41F8E8EC7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4" name="Host Control  36">
          <a:extLst>
            <a:ext uri="{FF2B5EF4-FFF2-40B4-BE49-F238E27FC236}">
              <a16:creationId xmlns:a16="http://schemas.microsoft.com/office/drawing/2014/main" id="{9D3F2567-44EA-4121-8FBA-80762AB26FF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5" name="Host Control  37">
          <a:extLst>
            <a:ext uri="{FF2B5EF4-FFF2-40B4-BE49-F238E27FC236}">
              <a16:creationId xmlns:a16="http://schemas.microsoft.com/office/drawing/2014/main" id="{0DC10A87-8E1F-4558-B92A-DB4178E754F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6" name="Host Control  38">
          <a:extLst>
            <a:ext uri="{FF2B5EF4-FFF2-40B4-BE49-F238E27FC236}">
              <a16:creationId xmlns:a16="http://schemas.microsoft.com/office/drawing/2014/main" id="{D665B565-5B9A-43EA-B221-C77A24D608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7" name="Host Control  39">
          <a:extLst>
            <a:ext uri="{FF2B5EF4-FFF2-40B4-BE49-F238E27FC236}">
              <a16:creationId xmlns:a16="http://schemas.microsoft.com/office/drawing/2014/main" id="{CD5077DD-97D6-44AC-B2BF-9CFDA00727D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8" name="Host Control  40">
          <a:extLst>
            <a:ext uri="{FF2B5EF4-FFF2-40B4-BE49-F238E27FC236}">
              <a16:creationId xmlns:a16="http://schemas.microsoft.com/office/drawing/2014/main" id="{A468D764-9576-491F-B777-BD14A950C18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9" name="Host Control  41">
          <a:extLst>
            <a:ext uri="{FF2B5EF4-FFF2-40B4-BE49-F238E27FC236}">
              <a16:creationId xmlns:a16="http://schemas.microsoft.com/office/drawing/2014/main" id="{2425A409-9876-4160-AEE4-B11791439A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0" name="Host Control  42">
          <a:extLst>
            <a:ext uri="{FF2B5EF4-FFF2-40B4-BE49-F238E27FC236}">
              <a16:creationId xmlns:a16="http://schemas.microsoft.com/office/drawing/2014/main" id="{90E6AAD6-AC19-4529-A912-65CFB1A557C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1" name="Host Control  43">
          <a:extLst>
            <a:ext uri="{FF2B5EF4-FFF2-40B4-BE49-F238E27FC236}">
              <a16:creationId xmlns:a16="http://schemas.microsoft.com/office/drawing/2014/main" id="{7AADB65A-D032-4589-BFB8-56BA1A839C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2" name="Host Control  44">
          <a:extLst>
            <a:ext uri="{FF2B5EF4-FFF2-40B4-BE49-F238E27FC236}">
              <a16:creationId xmlns:a16="http://schemas.microsoft.com/office/drawing/2014/main" id="{4024C22E-034B-4012-AECC-CB485E441DF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3" name="Host Control  45">
          <a:extLst>
            <a:ext uri="{FF2B5EF4-FFF2-40B4-BE49-F238E27FC236}">
              <a16:creationId xmlns:a16="http://schemas.microsoft.com/office/drawing/2014/main" id="{DA48FE6F-3347-429A-AF74-B32E66BF692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4" name="Host Control  46">
          <a:extLst>
            <a:ext uri="{FF2B5EF4-FFF2-40B4-BE49-F238E27FC236}">
              <a16:creationId xmlns:a16="http://schemas.microsoft.com/office/drawing/2014/main" id="{CA796697-7C5A-4DB1-86C8-CB8988588C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5" name="Host Control  47">
          <a:extLst>
            <a:ext uri="{FF2B5EF4-FFF2-40B4-BE49-F238E27FC236}">
              <a16:creationId xmlns:a16="http://schemas.microsoft.com/office/drawing/2014/main" id="{82B4D9F2-4B47-4490-94E5-FA8358B523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6" name="Host Control  48">
          <a:extLst>
            <a:ext uri="{FF2B5EF4-FFF2-40B4-BE49-F238E27FC236}">
              <a16:creationId xmlns:a16="http://schemas.microsoft.com/office/drawing/2014/main" id="{FAC8351E-AEBF-4BDB-A78F-4250FCA19CC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7" name="Host Control  49">
          <a:extLst>
            <a:ext uri="{FF2B5EF4-FFF2-40B4-BE49-F238E27FC236}">
              <a16:creationId xmlns:a16="http://schemas.microsoft.com/office/drawing/2014/main" id="{784E4C57-F742-4E85-B30B-DE45DBD9E74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8" name="Host Control  50">
          <a:extLst>
            <a:ext uri="{FF2B5EF4-FFF2-40B4-BE49-F238E27FC236}">
              <a16:creationId xmlns:a16="http://schemas.microsoft.com/office/drawing/2014/main" id="{3129807B-2B64-4C71-BBED-7C1AA30DFE4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9" name="Host Control  51">
          <a:extLst>
            <a:ext uri="{FF2B5EF4-FFF2-40B4-BE49-F238E27FC236}">
              <a16:creationId xmlns:a16="http://schemas.microsoft.com/office/drawing/2014/main" id="{E4AC39E7-2ADE-4A96-9528-F4DBFBD5AAC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0" name="Host Control  52">
          <a:extLst>
            <a:ext uri="{FF2B5EF4-FFF2-40B4-BE49-F238E27FC236}">
              <a16:creationId xmlns:a16="http://schemas.microsoft.com/office/drawing/2014/main" id="{A8E6165C-9214-4C20-A5C1-30B9363C5E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1" name="Host Control  53">
          <a:extLst>
            <a:ext uri="{FF2B5EF4-FFF2-40B4-BE49-F238E27FC236}">
              <a16:creationId xmlns:a16="http://schemas.microsoft.com/office/drawing/2014/main" id="{DD577D40-F475-4227-94C8-D02CAB7227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2" name="Host Control  54">
          <a:extLst>
            <a:ext uri="{FF2B5EF4-FFF2-40B4-BE49-F238E27FC236}">
              <a16:creationId xmlns:a16="http://schemas.microsoft.com/office/drawing/2014/main" id="{CE30FB3D-FCCC-4D88-BE4B-1F191DBA811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3" name="Host Control  55">
          <a:extLst>
            <a:ext uri="{FF2B5EF4-FFF2-40B4-BE49-F238E27FC236}">
              <a16:creationId xmlns:a16="http://schemas.microsoft.com/office/drawing/2014/main" id="{CBA75779-412E-46A7-A4B7-160FBDAFFD1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4" name="Host Control  56">
          <a:extLst>
            <a:ext uri="{FF2B5EF4-FFF2-40B4-BE49-F238E27FC236}">
              <a16:creationId xmlns:a16="http://schemas.microsoft.com/office/drawing/2014/main" id="{ED76707C-254A-46C9-B320-050C1511489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5" name="Host Control  57">
          <a:extLst>
            <a:ext uri="{FF2B5EF4-FFF2-40B4-BE49-F238E27FC236}">
              <a16:creationId xmlns:a16="http://schemas.microsoft.com/office/drawing/2014/main" id="{1133A1C6-1489-415C-A359-0B0484DD0E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6" name="Host Control  58">
          <a:extLst>
            <a:ext uri="{FF2B5EF4-FFF2-40B4-BE49-F238E27FC236}">
              <a16:creationId xmlns:a16="http://schemas.microsoft.com/office/drawing/2014/main" id="{A6C14B30-49C5-4BFE-821D-A0D272BB0F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7" name="Host Control  59">
          <a:extLst>
            <a:ext uri="{FF2B5EF4-FFF2-40B4-BE49-F238E27FC236}">
              <a16:creationId xmlns:a16="http://schemas.microsoft.com/office/drawing/2014/main" id="{6208DBC8-E87F-4ED1-9508-A5FA3BE83CA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8" name="Host Control  60">
          <a:extLst>
            <a:ext uri="{FF2B5EF4-FFF2-40B4-BE49-F238E27FC236}">
              <a16:creationId xmlns:a16="http://schemas.microsoft.com/office/drawing/2014/main" id="{3506ADC1-53FC-40DE-A509-4FDFC3C8522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9" name="Host Control  61">
          <a:extLst>
            <a:ext uri="{FF2B5EF4-FFF2-40B4-BE49-F238E27FC236}">
              <a16:creationId xmlns:a16="http://schemas.microsoft.com/office/drawing/2014/main" id="{3DDD07DD-6A47-4D88-9426-6FADCEEA7CE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0" name="Host Control  65">
          <a:extLst>
            <a:ext uri="{FF2B5EF4-FFF2-40B4-BE49-F238E27FC236}">
              <a16:creationId xmlns:a16="http://schemas.microsoft.com/office/drawing/2014/main" id="{8BD915C3-0287-4E58-BB53-F54D21143ED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1" name="Host Control  66">
          <a:extLst>
            <a:ext uri="{FF2B5EF4-FFF2-40B4-BE49-F238E27FC236}">
              <a16:creationId xmlns:a16="http://schemas.microsoft.com/office/drawing/2014/main" id="{D62B237E-7D6F-43E7-AB80-EDC71A6535D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2" name="Host Control  67">
          <a:extLst>
            <a:ext uri="{FF2B5EF4-FFF2-40B4-BE49-F238E27FC236}">
              <a16:creationId xmlns:a16="http://schemas.microsoft.com/office/drawing/2014/main" id="{16D3D4A0-41DD-4B01-A341-15484B114DE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3" name="Host Control  68">
          <a:extLst>
            <a:ext uri="{FF2B5EF4-FFF2-40B4-BE49-F238E27FC236}">
              <a16:creationId xmlns:a16="http://schemas.microsoft.com/office/drawing/2014/main" id="{11B6844E-497C-4223-8888-1A31A20637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4" name="Host Control  69">
          <a:extLst>
            <a:ext uri="{FF2B5EF4-FFF2-40B4-BE49-F238E27FC236}">
              <a16:creationId xmlns:a16="http://schemas.microsoft.com/office/drawing/2014/main" id="{5278B1FD-5B48-434A-994E-E96C9A0369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5" name="Host Control  70">
          <a:extLst>
            <a:ext uri="{FF2B5EF4-FFF2-40B4-BE49-F238E27FC236}">
              <a16:creationId xmlns:a16="http://schemas.microsoft.com/office/drawing/2014/main" id="{521240C7-B745-40BA-A0C1-039D703CC41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6" name="Host Control  71">
          <a:extLst>
            <a:ext uri="{FF2B5EF4-FFF2-40B4-BE49-F238E27FC236}">
              <a16:creationId xmlns:a16="http://schemas.microsoft.com/office/drawing/2014/main" id="{65F74437-E99A-4915-A830-23D4A4F6C4D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7" name="Host Control  72">
          <a:extLst>
            <a:ext uri="{FF2B5EF4-FFF2-40B4-BE49-F238E27FC236}">
              <a16:creationId xmlns:a16="http://schemas.microsoft.com/office/drawing/2014/main" id="{1A386719-48BF-4C38-A899-56AC5D64791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8" name="Host Control  73">
          <a:extLst>
            <a:ext uri="{FF2B5EF4-FFF2-40B4-BE49-F238E27FC236}">
              <a16:creationId xmlns:a16="http://schemas.microsoft.com/office/drawing/2014/main" id="{D8BFF633-C724-4B81-80F3-0036FF7E05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9" name="Host Control  74">
          <a:extLst>
            <a:ext uri="{FF2B5EF4-FFF2-40B4-BE49-F238E27FC236}">
              <a16:creationId xmlns:a16="http://schemas.microsoft.com/office/drawing/2014/main" id="{55A65F75-2D7B-4BF0-A783-DCDFE29B37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0" name="Host Control  75">
          <a:extLst>
            <a:ext uri="{FF2B5EF4-FFF2-40B4-BE49-F238E27FC236}">
              <a16:creationId xmlns:a16="http://schemas.microsoft.com/office/drawing/2014/main" id="{B9143187-F1A3-4FE2-A84F-7FC8C1A6541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1" name="Host Control  76">
          <a:extLst>
            <a:ext uri="{FF2B5EF4-FFF2-40B4-BE49-F238E27FC236}">
              <a16:creationId xmlns:a16="http://schemas.microsoft.com/office/drawing/2014/main" id="{6ADD214E-91C4-437F-A8A2-D6D8A90FFB2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2" name="Host Control  77">
          <a:extLst>
            <a:ext uri="{FF2B5EF4-FFF2-40B4-BE49-F238E27FC236}">
              <a16:creationId xmlns:a16="http://schemas.microsoft.com/office/drawing/2014/main" id="{70944EC9-C1DB-40E9-8DD1-1D0ED38E5A3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3" name="Host Control  78">
          <a:extLst>
            <a:ext uri="{FF2B5EF4-FFF2-40B4-BE49-F238E27FC236}">
              <a16:creationId xmlns:a16="http://schemas.microsoft.com/office/drawing/2014/main" id="{69B8A612-F4CF-4892-9C97-9C016C9D217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4" name="Host Control  79">
          <a:extLst>
            <a:ext uri="{FF2B5EF4-FFF2-40B4-BE49-F238E27FC236}">
              <a16:creationId xmlns:a16="http://schemas.microsoft.com/office/drawing/2014/main" id="{1651AED7-F1AD-4025-BA05-6B548FD63D2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5" name="Host Control  80">
          <a:extLst>
            <a:ext uri="{FF2B5EF4-FFF2-40B4-BE49-F238E27FC236}">
              <a16:creationId xmlns:a16="http://schemas.microsoft.com/office/drawing/2014/main" id="{3A94BB6B-A172-4C02-BC04-11080560619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6" name="Host Control  81">
          <a:extLst>
            <a:ext uri="{FF2B5EF4-FFF2-40B4-BE49-F238E27FC236}">
              <a16:creationId xmlns:a16="http://schemas.microsoft.com/office/drawing/2014/main" id="{CF973346-8AAE-46BD-AAD8-221D9F9D9AA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7" name="Host Control  82">
          <a:extLst>
            <a:ext uri="{FF2B5EF4-FFF2-40B4-BE49-F238E27FC236}">
              <a16:creationId xmlns:a16="http://schemas.microsoft.com/office/drawing/2014/main" id="{C525C4F5-79B6-4553-9EA7-AD36985A59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8" name="Host Control  83">
          <a:extLst>
            <a:ext uri="{FF2B5EF4-FFF2-40B4-BE49-F238E27FC236}">
              <a16:creationId xmlns:a16="http://schemas.microsoft.com/office/drawing/2014/main" id="{AE7047DE-D2C8-4978-B943-4B51AC25C4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9" name="Host Control  84">
          <a:extLst>
            <a:ext uri="{FF2B5EF4-FFF2-40B4-BE49-F238E27FC236}">
              <a16:creationId xmlns:a16="http://schemas.microsoft.com/office/drawing/2014/main" id="{85034D53-B8B7-44B2-A89E-BCC0D4F2637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0" name="Host Control  85">
          <a:extLst>
            <a:ext uri="{FF2B5EF4-FFF2-40B4-BE49-F238E27FC236}">
              <a16:creationId xmlns:a16="http://schemas.microsoft.com/office/drawing/2014/main" id="{57A7D163-7B3A-486E-A1E9-AABCC9E76A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1" name="Host Control  86">
          <a:extLst>
            <a:ext uri="{FF2B5EF4-FFF2-40B4-BE49-F238E27FC236}">
              <a16:creationId xmlns:a16="http://schemas.microsoft.com/office/drawing/2014/main" id="{8707C688-EDB7-4618-860B-1249DEC7533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2" name="Host Control  87">
          <a:extLst>
            <a:ext uri="{FF2B5EF4-FFF2-40B4-BE49-F238E27FC236}">
              <a16:creationId xmlns:a16="http://schemas.microsoft.com/office/drawing/2014/main" id="{DCF7A650-AD2B-4EE2-BB27-86EC4434ADE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3" name="Host Control  88">
          <a:extLst>
            <a:ext uri="{FF2B5EF4-FFF2-40B4-BE49-F238E27FC236}">
              <a16:creationId xmlns:a16="http://schemas.microsoft.com/office/drawing/2014/main" id="{8D9B46E9-1080-4C27-A076-6E47BFE76D3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4" name="Host Control  89">
          <a:extLst>
            <a:ext uri="{FF2B5EF4-FFF2-40B4-BE49-F238E27FC236}">
              <a16:creationId xmlns:a16="http://schemas.microsoft.com/office/drawing/2014/main" id="{BD16D800-D11B-4EF7-9131-3CAE3391953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5" name="Host Control  90">
          <a:extLst>
            <a:ext uri="{FF2B5EF4-FFF2-40B4-BE49-F238E27FC236}">
              <a16:creationId xmlns:a16="http://schemas.microsoft.com/office/drawing/2014/main" id="{678D6A0F-62E7-4743-BE6F-602755FE7FC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6" name="Host Control  91">
          <a:extLst>
            <a:ext uri="{FF2B5EF4-FFF2-40B4-BE49-F238E27FC236}">
              <a16:creationId xmlns:a16="http://schemas.microsoft.com/office/drawing/2014/main" id="{306BABA6-8E9F-44B5-A7BA-A165583C3C7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7" name="Host Control  92">
          <a:extLst>
            <a:ext uri="{FF2B5EF4-FFF2-40B4-BE49-F238E27FC236}">
              <a16:creationId xmlns:a16="http://schemas.microsoft.com/office/drawing/2014/main" id="{075AF0FA-E955-45D5-A507-91548AA5F02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8" name="Host Control  93">
          <a:extLst>
            <a:ext uri="{FF2B5EF4-FFF2-40B4-BE49-F238E27FC236}">
              <a16:creationId xmlns:a16="http://schemas.microsoft.com/office/drawing/2014/main" id="{37022583-3D8C-4AA2-BA3A-95ABC884479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9" name="Host Control  94">
          <a:extLst>
            <a:ext uri="{FF2B5EF4-FFF2-40B4-BE49-F238E27FC236}">
              <a16:creationId xmlns:a16="http://schemas.microsoft.com/office/drawing/2014/main" id="{8E7293D3-9735-436F-A1F7-BBE5F247CC8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0" name="Host Control  98">
          <a:extLst>
            <a:ext uri="{FF2B5EF4-FFF2-40B4-BE49-F238E27FC236}">
              <a16:creationId xmlns:a16="http://schemas.microsoft.com/office/drawing/2014/main" id="{DCE94818-9459-457C-A110-E39F26C014E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1" name="Host Control  99">
          <a:extLst>
            <a:ext uri="{FF2B5EF4-FFF2-40B4-BE49-F238E27FC236}">
              <a16:creationId xmlns:a16="http://schemas.microsoft.com/office/drawing/2014/main" id="{A200A2CA-3571-486C-8B75-10B7DFC70F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2" name="Host Control  100">
          <a:extLst>
            <a:ext uri="{FF2B5EF4-FFF2-40B4-BE49-F238E27FC236}">
              <a16:creationId xmlns:a16="http://schemas.microsoft.com/office/drawing/2014/main" id="{93B47780-1E32-4373-9D06-798EE68D02C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3" name="Host Control  101">
          <a:extLst>
            <a:ext uri="{FF2B5EF4-FFF2-40B4-BE49-F238E27FC236}">
              <a16:creationId xmlns:a16="http://schemas.microsoft.com/office/drawing/2014/main" id="{D5FA381D-AA09-440C-99F2-57631104CDA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4" name="Host Control  102">
          <a:extLst>
            <a:ext uri="{FF2B5EF4-FFF2-40B4-BE49-F238E27FC236}">
              <a16:creationId xmlns:a16="http://schemas.microsoft.com/office/drawing/2014/main" id="{DFF409C4-A86E-48E9-9AB9-08F9C633AD4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5" name="Host Control  103">
          <a:extLst>
            <a:ext uri="{FF2B5EF4-FFF2-40B4-BE49-F238E27FC236}">
              <a16:creationId xmlns:a16="http://schemas.microsoft.com/office/drawing/2014/main" id="{F041DFF9-FACE-4C5C-89B0-C1A0F6FD903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6" name="Host Control  104">
          <a:extLst>
            <a:ext uri="{FF2B5EF4-FFF2-40B4-BE49-F238E27FC236}">
              <a16:creationId xmlns:a16="http://schemas.microsoft.com/office/drawing/2014/main" id="{4873A82B-A2B3-4F14-A697-9E54B2FCAA2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7" name="Host Control  105">
          <a:extLst>
            <a:ext uri="{FF2B5EF4-FFF2-40B4-BE49-F238E27FC236}">
              <a16:creationId xmlns:a16="http://schemas.microsoft.com/office/drawing/2014/main" id="{A7D4D517-E237-4D0F-AEB8-B1D0593FA7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8" name="Host Control  106">
          <a:extLst>
            <a:ext uri="{FF2B5EF4-FFF2-40B4-BE49-F238E27FC236}">
              <a16:creationId xmlns:a16="http://schemas.microsoft.com/office/drawing/2014/main" id="{C88C3751-A091-48DF-AB60-C812CA0CE80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9" name="Host Control  107">
          <a:extLst>
            <a:ext uri="{FF2B5EF4-FFF2-40B4-BE49-F238E27FC236}">
              <a16:creationId xmlns:a16="http://schemas.microsoft.com/office/drawing/2014/main" id="{D11C1540-9E96-42F6-844F-AD9E4BF2DF3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0" name="Host Control  108">
          <a:extLst>
            <a:ext uri="{FF2B5EF4-FFF2-40B4-BE49-F238E27FC236}">
              <a16:creationId xmlns:a16="http://schemas.microsoft.com/office/drawing/2014/main" id="{61ABBFF4-2D59-40BC-95C9-AE8B510BAB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1" name="Host Control  109">
          <a:extLst>
            <a:ext uri="{FF2B5EF4-FFF2-40B4-BE49-F238E27FC236}">
              <a16:creationId xmlns:a16="http://schemas.microsoft.com/office/drawing/2014/main" id="{3A42FC70-751B-4625-903A-4B9B95CE94C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2" name="Host Control  110">
          <a:extLst>
            <a:ext uri="{FF2B5EF4-FFF2-40B4-BE49-F238E27FC236}">
              <a16:creationId xmlns:a16="http://schemas.microsoft.com/office/drawing/2014/main" id="{D890B274-A6B7-4D66-B0EC-0C87FCFE016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3" name="Host Control  111">
          <a:extLst>
            <a:ext uri="{FF2B5EF4-FFF2-40B4-BE49-F238E27FC236}">
              <a16:creationId xmlns:a16="http://schemas.microsoft.com/office/drawing/2014/main" id="{EDDF2AAC-A477-47F9-9B7E-BD11F36C1E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4" name="Host Control  112">
          <a:extLst>
            <a:ext uri="{FF2B5EF4-FFF2-40B4-BE49-F238E27FC236}">
              <a16:creationId xmlns:a16="http://schemas.microsoft.com/office/drawing/2014/main" id="{CDE67B44-4075-4ECD-B99E-DCC153BACBA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5" name="Host Control  113">
          <a:extLst>
            <a:ext uri="{FF2B5EF4-FFF2-40B4-BE49-F238E27FC236}">
              <a16:creationId xmlns:a16="http://schemas.microsoft.com/office/drawing/2014/main" id="{6401ABB9-3336-4C58-9F09-7AE7F28FD3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6" name="Host Control  114">
          <a:extLst>
            <a:ext uri="{FF2B5EF4-FFF2-40B4-BE49-F238E27FC236}">
              <a16:creationId xmlns:a16="http://schemas.microsoft.com/office/drawing/2014/main" id="{4F0E82DD-9D3E-4B21-9BBB-9834941A63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7" name="Host Control  115">
          <a:extLst>
            <a:ext uri="{FF2B5EF4-FFF2-40B4-BE49-F238E27FC236}">
              <a16:creationId xmlns:a16="http://schemas.microsoft.com/office/drawing/2014/main" id="{1D967DC0-4094-481B-A9F0-1A52DFFCD9E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8" name="Host Control  116">
          <a:extLst>
            <a:ext uri="{FF2B5EF4-FFF2-40B4-BE49-F238E27FC236}">
              <a16:creationId xmlns:a16="http://schemas.microsoft.com/office/drawing/2014/main" id="{6BAB7D6B-5EDE-45F1-8FC2-4E6889B53E1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9" name="Host Control  117">
          <a:extLst>
            <a:ext uri="{FF2B5EF4-FFF2-40B4-BE49-F238E27FC236}">
              <a16:creationId xmlns:a16="http://schemas.microsoft.com/office/drawing/2014/main" id="{7DD04A15-CD72-4984-893C-AC213B3BC45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0" name="Host Control  118">
          <a:extLst>
            <a:ext uri="{FF2B5EF4-FFF2-40B4-BE49-F238E27FC236}">
              <a16:creationId xmlns:a16="http://schemas.microsoft.com/office/drawing/2014/main" id="{0B57B3B3-E7E4-4CC4-826F-E9BAB4A88B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1" name="Host Control  119">
          <a:extLst>
            <a:ext uri="{FF2B5EF4-FFF2-40B4-BE49-F238E27FC236}">
              <a16:creationId xmlns:a16="http://schemas.microsoft.com/office/drawing/2014/main" id="{A61ABBF0-0875-4346-85DA-A004D1BC99A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2" name="Host Control  120">
          <a:extLst>
            <a:ext uri="{FF2B5EF4-FFF2-40B4-BE49-F238E27FC236}">
              <a16:creationId xmlns:a16="http://schemas.microsoft.com/office/drawing/2014/main" id="{23F8D6A0-932C-47F6-8D8C-E74653AF4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3" name="Host Control  121">
          <a:extLst>
            <a:ext uri="{FF2B5EF4-FFF2-40B4-BE49-F238E27FC236}">
              <a16:creationId xmlns:a16="http://schemas.microsoft.com/office/drawing/2014/main" id="{B41A5D6B-A20D-490B-A7ED-62994B7F111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4" name="Host Control  122">
          <a:extLst>
            <a:ext uri="{FF2B5EF4-FFF2-40B4-BE49-F238E27FC236}">
              <a16:creationId xmlns:a16="http://schemas.microsoft.com/office/drawing/2014/main" id="{FA28BD93-4C30-4D49-B25F-8B503EDDCF6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5" name="Host Control  123">
          <a:extLst>
            <a:ext uri="{FF2B5EF4-FFF2-40B4-BE49-F238E27FC236}">
              <a16:creationId xmlns:a16="http://schemas.microsoft.com/office/drawing/2014/main" id="{7EC87179-E8CF-4945-B29E-D492678F82A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6" name="Host Control  124">
          <a:extLst>
            <a:ext uri="{FF2B5EF4-FFF2-40B4-BE49-F238E27FC236}">
              <a16:creationId xmlns:a16="http://schemas.microsoft.com/office/drawing/2014/main" id="{4575B826-6123-4FF9-BEFB-F7A33773B8A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7" name="Host Control  125">
          <a:extLst>
            <a:ext uri="{FF2B5EF4-FFF2-40B4-BE49-F238E27FC236}">
              <a16:creationId xmlns:a16="http://schemas.microsoft.com/office/drawing/2014/main" id="{009C5498-5065-459D-B1A2-8722B87286B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8" name="Host Control  126">
          <a:extLst>
            <a:ext uri="{FF2B5EF4-FFF2-40B4-BE49-F238E27FC236}">
              <a16:creationId xmlns:a16="http://schemas.microsoft.com/office/drawing/2014/main" id="{050125B2-73A8-49B8-95F4-54097036481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9" name="Host Control  127">
          <a:extLst>
            <a:ext uri="{FF2B5EF4-FFF2-40B4-BE49-F238E27FC236}">
              <a16:creationId xmlns:a16="http://schemas.microsoft.com/office/drawing/2014/main" id="{7CE141C8-AE90-4745-9C66-A0DB87E7A38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0" name="Host Control  135">
          <a:extLst>
            <a:ext uri="{FF2B5EF4-FFF2-40B4-BE49-F238E27FC236}">
              <a16:creationId xmlns:a16="http://schemas.microsoft.com/office/drawing/2014/main" id="{26CE1119-32DD-476D-8FB7-68427C4DDF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1" name="Host Control  136">
          <a:extLst>
            <a:ext uri="{FF2B5EF4-FFF2-40B4-BE49-F238E27FC236}">
              <a16:creationId xmlns:a16="http://schemas.microsoft.com/office/drawing/2014/main" id="{6388704F-5F63-43CC-A610-4C00FEFC1AF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2" name="Host Control  137">
          <a:extLst>
            <a:ext uri="{FF2B5EF4-FFF2-40B4-BE49-F238E27FC236}">
              <a16:creationId xmlns:a16="http://schemas.microsoft.com/office/drawing/2014/main" id="{A04F486E-C1DB-48C6-8FEF-3147C97D2DB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3" name="Host Control  138">
          <a:extLst>
            <a:ext uri="{FF2B5EF4-FFF2-40B4-BE49-F238E27FC236}">
              <a16:creationId xmlns:a16="http://schemas.microsoft.com/office/drawing/2014/main" id="{0A03CB78-AF3E-46A4-A88F-2720BB51F8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4" name="Host Control  139">
          <a:extLst>
            <a:ext uri="{FF2B5EF4-FFF2-40B4-BE49-F238E27FC236}">
              <a16:creationId xmlns:a16="http://schemas.microsoft.com/office/drawing/2014/main" id="{F2004049-701D-4FEF-98A4-4E64AAD843D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5" name="Host Control  140">
          <a:extLst>
            <a:ext uri="{FF2B5EF4-FFF2-40B4-BE49-F238E27FC236}">
              <a16:creationId xmlns:a16="http://schemas.microsoft.com/office/drawing/2014/main" id="{32948CD0-539B-4D13-8268-12ABF4E867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6" name="Host Control  141">
          <a:extLst>
            <a:ext uri="{FF2B5EF4-FFF2-40B4-BE49-F238E27FC236}">
              <a16:creationId xmlns:a16="http://schemas.microsoft.com/office/drawing/2014/main" id="{07ADEE97-065F-4BE0-9E45-C78CAB38E02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7" name="Host Control  142">
          <a:extLst>
            <a:ext uri="{FF2B5EF4-FFF2-40B4-BE49-F238E27FC236}">
              <a16:creationId xmlns:a16="http://schemas.microsoft.com/office/drawing/2014/main" id="{F57E70F5-2B40-4B10-AC5C-9938B67A5DD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8" name="Host Control  143">
          <a:extLst>
            <a:ext uri="{FF2B5EF4-FFF2-40B4-BE49-F238E27FC236}">
              <a16:creationId xmlns:a16="http://schemas.microsoft.com/office/drawing/2014/main" id="{BF5A8279-B478-45B0-B28F-7866F0B5567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9" name="Host Control  144">
          <a:extLst>
            <a:ext uri="{FF2B5EF4-FFF2-40B4-BE49-F238E27FC236}">
              <a16:creationId xmlns:a16="http://schemas.microsoft.com/office/drawing/2014/main" id="{D838E93D-1BF9-4217-89A0-0AD0AA3D32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0" name="Host Control  145">
          <a:extLst>
            <a:ext uri="{FF2B5EF4-FFF2-40B4-BE49-F238E27FC236}">
              <a16:creationId xmlns:a16="http://schemas.microsoft.com/office/drawing/2014/main" id="{2B133601-6F56-4015-9C22-9110646CEF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1" name="Host Control  146">
          <a:extLst>
            <a:ext uri="{FF2B5EF4-FFF2-40B4-BE49-F238E27FC236}">
              <a16:creationId xmlns:a16="http://schemas.microsoft.com/office/drawing/2014/main" id="{156AF932-7119-4BFF-A1AD-8ADE8E1B3C6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2" name="Host Control  147">
          <a:extLst>
            <a:ext uri="{FF2B5EF4-FFF2-40B4-BE49-F238E27FC236}">
              <a16:creationId xmlns:a16="http://schemas.microsoft.com/office/drawing/2014/main" id="{F1F91973-D7F9-47EA-A4D9-3C15B429E48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3" name="Host Control  148">
          <a:extLst>
            <a:ext uri="{FF2B5EF4-FFF2-40B4-BE49-F238E27FC236}">
              <a16:creationId xmlns:a16="http://schemas.microsoft.com/office/drawing/2014/main" id="{3CA32F8C-4EC3-4D14-86CB-43EA82B2137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4" name="Host Control  149">
          <a:extLst>
            <a:ext uri="{FF2B5EF4-FFF2-40B4-BE49-F238E27FC236}">
              <a16:creationId xmlns:a16="http://schemas.microsoft.com/office/drawing/2014/main" id="{D2D33D92-F45C-48F9-AC77-C86C7EF6BF6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5" name="Host Control  150">
          <a:extLst>
            <a:ext uri="{FF2B5EF4-FFF2-40B4-BE49-F238E27FC236}">
              <a16:creationId xmlns:a16="http://schemas.microsoft.com/office/drawing/2014/main" id="{BC0CA67B-40FA-42F5-8C83-DAD27FFE737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6" name="Host Control  151">
          <a:extLst>
            <a:ext uri="{FF2B5EF4-FFF2-40B4-BE49-F238E27FC236}">
              <a16:creationId xmlns:a16="http://schemas.microsoft.com/office/drawing/2014/main" id="{49DEC06F-128D-49B3-8A09-7355856FEA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7" name="Host Control  152">
          <a:extLst>
            <a:ext uri="{FF2B5EF4-FFF2-40B4-BE49-F238E27FC236}">
              <a16:creationId xmlns:a16="http://schemas.microsoft.com/office/drawing/2014/main" id="{C79A58F1-5641-4B3D-AE25-38BD4165C34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8" name="Host Control  153">
          <a:extLst>
            <a:ext uri="{FF2B5EF4-FFF2-40B4-BE49-F238E27FC236}">
              <a16:creationId xmlns:a16="http://schemas.microsoft.com/office/drawing/2014/main" id="{DDE50EEF-E462-4055-93B2-18878AE580A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9" name="Host Control  154">
          <a:extLst>
            <a:ext uri="{FF2B5EF4-FFF2-40B4-BE49-F238E27FC236}">
              <a16:creationId xmlns:a16="http://schemas.microsoft.com/office/drawing/2014/main" id="{D3D2E8FA-7179-448B-9BF6-56BA0460BFF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0" name="Host Control  155">
          <a:extLst>
            <a:ext uri="{FF2B5EF4-FFF2-40B4-BE49-F238E27FC236}">
              <a16:creationId xmlns:a16="http://schemas.microsoft.com/office/drawing/2014/main" id="{00C82AB7-1201-45C0-B644-D8F536757FD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1" name="Host Control  156">
          <a:extLst>
            <a:ext uri="{FF2B5EF4-FFF2-40B4-BE49-F238E27FC236}">
              <a16:creationId xmlns:a16="http://schemas.microsoft.com/office/drawing/2014/main" id="{0BC71080-C528-4AAF-B25C-84CF58ECF41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2" name="Host Control  157">
          <a:extLst>
            <a:ext uri="{FF2B5EF4-FFF2-40B4-BE49-F238E27FC236}">
              <a16:creationId xmlns:a16="http://schemas.microsoft.com/office/drawing/2014/main" id="{F716D995-050F-4752-BB7A-B9DBB3F5CB8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3" name="Host Control  158">
          <a:extLst>
            <a:ext uri="{FF2B5EF4-FFF2-40B4-BE49-F238E27FC236}">
              <a16:creationId xmlns:a16="http://schemas.microsoft.com/office/drawing/2014/main" id="{F277586E-A442-496F-82D5-8B6F516DC30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4" name="Host Control  159">
          <a:extLst>
            <a:ext uri="{FF2B5EF4-FFF2-40B4-BE49-F238E27FC236}">
              <a16:creationId xmlns:a16="http://schemas.microsoft.com/office/drawing/2014/main" id="{03E094DD-43E7-4D7D-BFEC-F46C8A7147F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5" name="Host Control  160">
          <a:extLst>
            <a:ext uri="{FF2B5EF4-FFF2-40B4-BE49-F238E27FC236}">
              <a16:creationId xmlns:a16="http://schemas.microsoft.com/office/drawing/2014/main" id="{6C643E71-76A6-439D-839C-8FF29F6F991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6" name="Host Control  161">
          <a:extLst>
            <a:ext uri="{FF2B5EF4-FFF2-40B4-BE49-F238E27FC236}">
              <a16:creationId xmlns:a16="http://schemas.microsoft.com/office/drawing/2014/main" id="{53D08186-5392-4779-AD57-6FF50DA863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7" name="Host Control  162">
          <a:extLst>
            <a:ext uri="{FF2B5EF4-FFF2-40B4-BE49-F238E27FC236}">
              <a16:creationId xmlns:a16="http://schemas.microsoft.com/office/drawing/2014/main" id="{0570EFAE-AA34-4E8E-9819-0A7B4126E04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8" name="Host Control  163">
          <a:extLst>
            <a:ext uri="{FF2B5EF4-FFF2-40B4-BE49-F238E27FC236}">
              <a16:creationId xmlns:a16="http://schemas.microsoft.com/office/drawing/2014/main" id="{93D24209-7110-4B81-9B42-DACD1948BD7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9" name="Host Control  164">
          <a:extLst>
            <a:ext uri="{FF2B5EF4-FFF2-40B4-BE49-F238E27FC236}">
              <a16:creationId xmlns:a16="http://schemas.microsoft.com/office/drawing/2014/main" id="{C65ACEC9-E12F-4F93-9CE6-DB13783230C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0" name="Host Control  168">
          <a:extLst>
            <a:ext uri="{FF2B5EF4-FFF2-40B4-BE49-F238E27FC236}">
              <a16:creationId xmlns:a16="http://schemas.microsoft.com/office/drawing/2014/main" id="{FEF55FB4-8108-4B7D-BB7E-2A00ADB9CB1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1" name="Host Control  169">
          <a:extLst>
            <a:ext uri="{FF2B5EF4-FFF2-40B4-BE49-F238E27FC236}">
              <a16:creationId xmlns:a16="http://schemas.microsoft.com/office/drawing/2014/main" id="{33E3FA59-FF1C-4423-8055-E6621E66CB2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2" name="Host Control  170">
          <a:extLst>
            <a:ext uri="{FF2B5EF4-FFF2-40B4-BE49-F238E27FC236}">
              <a16:creationId xmlns:a16="http://schemas.microsoft.com/office/drawing/2014/main" id="{2ABFC8F6-05D6-4635-8F63-A463EA362B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3" name="Host Control  171">
          <a:extLst>
            <a:ext uri="{FF2B5EF4-FFF2-40B4-BE49-F238E27FC236}">
              <a16:creationId xmlns:a16="http://schemas.microsoft.com/office/drawing/2014/main" id="{37719723-EEC6-4B38-A93E-E52368ED5E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4" name="Host Control  172">
          <a:extLst>
            <a:ext uri="{FF2B5EF4-FFF2-40B4-BE49-F238E27FC236}">
              <a16:creationId xmlns:a16="http://schemas.microsoft.com/office/drawing/2014/main" id="{E5A3D5EF-008F-42C8-8525-AE02DB6FB83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5" name="Host Control  173">
          <a:extLst>
            <a:ext uri="{FF2B5EF4-FFF2-40B4-BE49-F238E27FC236}">
              <a16:creationId xmlns:a16="http://schemas.microsoft.com/office/drawing/2014/main" id="{D83F358A-D869-4254-9750-4DA802FF7F8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6" name="Host Control  174">
          <a:extLst>
            <a:ext uri="{FF2B5EF4-FFF2-40B4-BE49-F238E27FC236}">
              <a16:creationId xmlns:a16="http://schemas.microsoft.com/office/drawing/2014/main" id="{8D612FFA-D3EE-47D5-9601-1CE258C09E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7" name="Host Control  175">
          <a:extLst>
            <a:ext uri="{FF2B5EF4-FFF2-40B4-BE49-F238E27FC236}">
              <a16:creationId xmlns:a16="http://schemas.microsoft.com/office/drawing/2014/main" id="{74702316-6FB5-426A-8231-8F1689888BC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8" name="Host Control  176">
          <a:extLst>
            <a:ext uri="{FF2B5EF4-FFF2-40B4-BE49-F238E27FC236}">
              <a16:creationId xmlns:a16="http://schemas.microsoft.com/office/drawing/2014/main" id="{8D437FC5-529A-4A9C-93FB-18031BB81CB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9" name="Host Control  177">
          <a:extLst>
            <a:ext uri="{FF2B5EF4-FFF2-40B4-BE49-F238E27FC236}">
              <a16:creationId xmlns:a16="http://schemas.microsoft.com/office/drawing/2014/main" id="{406EDA2C-5D24-4434-8D73-DDF41D2CF21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0" name="Host Control  178">
          <a:extLst>
            <a:ext uri="{FF2B5EF4-FFF2-40B4-BE49-F238E27FC236}">
              <a16:creationId xmlns:a16="http://schemas.microsoft.com/office/drawing/2014/main" id="{1AA8873F-D5D7-4576-8365-7C826D07D46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1" name="Host Control  179">
          <a:extLst>
            <a:ext uri="{FF2B5EF4-FFF2-40B4-BE49-F238E27FC236}">
              <a16:creationId xmlns:a16="http://schemas.microsoft.com/office/drawing/2014/main" id="{276E89B0-C3C0-4584-9E5C-06E50489F9B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2" name="Host Control  180">
          <a:extLst>
            <a:ext uri="{FF2B5EF4-FFF2-40B4-BE49-F238E27FC236}">
              <a16:creationId xmlns:a16="http://schemas.microsoft.com/office/drawing/2014/main" id="{1A62AAEF-5FCD-42CF-9129-65DC42705B1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3" name="Host Control  181">
          <a:extLst>
            <a:ext uri="{FF2B5EF4-FFF2-40B4-BE49-F238E27FC236}">
              <a16:creationId xmlns:a16="http://schemas.microsoft.com/office/drawing/2014/main" id="{67EC1833-056A-4ADF-AD3F-C95C9FD1416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4" name="Host Control  182">
          <a:extLst>
            <a:ext uri="{FF2B5EF4-FFF2-40B4-BE49-F238E27FC236}">
              <a16:creationId xmlns:a16="http://schemas.microsoft.com/office/drawing/2014/main" id="{70B9BFA2-1957-4898-91DB-06653ACDE36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5" name="Host Control  183">
          <a:extLst>
            <a:ext uri="{FF2B5EF4-FFF2-40B4-BE49-F238E27FC236}">
              <a16:creationId xmlns:a16="http://schemas.microsoft.com/office/drawing/2014/main" id="{4FA26BFE-114F-4BB6-B46D-9F7B6066D5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6" name="Host Control  184">
          <a:extLst>
            <a:ext uri="{FF2B5EF4-FFF2-40B4-BE49-F238E27FC236}">
              <a16:creationId xmlns:a16="http://schemas.microsoft.com/office/drawing/2014/main" id="{A6455C3A-3590-4587-8B70-AE93F95CEA5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7" name="Host Control  185">
          <a:extLst>
            <a:ext uri="{FF2B5EF4-FFF2-40B4-BE49-F238E27FC236}">
              <a16:creationId xmlns:a16="http://schemas.microsoft.com/office/drawing/2014/main" id="{2A789CD7-11E4-424F-B830-C49F363F0ED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8" name="Host Control  186">
          <a:extLst>
            <a:ext uri="{FF2B5EF4-FFF2-40B4-BE49-F238E27FC236}">
              <a16:creationId xmlns:a16="http://schemas.microsoft.com/office/drawing/2014/main" id="{823303FA-CA9D-46AA-9F06-62122E6A856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9" name="Host Control  187">
          <a:extLst>
            <a:ext uri="{FF2B5EF4-FFF2-40B4-BE49-F238E27FC236}">
              <a16:creationId xmlns:a16="http://schemas.microsoft.com/office/drawing/2014/main" id="{FD14B63E-1CAE-4D18-ABE4-9A7E96D247B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0" name="Host Control  188">
          <a:extLst>
            <a:ext uri="{FF2B5EF4-FFF2-40B4-BE49-F238E27FC236}">
              <a16:creationId xmlns:a16="http://schemas.microsoft.com/office/drawing/2014/main" id="{48282A41-5C25-4639-AC02-44771D7BA63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1" name="Host Control  189">
          <a:extLst>
            <a:ext uri="{FF2B5EF4-FFF2-40B4-BE49-F238E27FC236}">
              <a16:creationId xmlns:a16="http://schemas.microsoft.com/office/drawing/2014/main" id="{83657BA3-C56C-4E3F-BCD5-8FBD9A5E0C6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2" name="Host Control  190">
          <a:extLst>
            <a:ext uri="{FF2B5EF4-FFF2-40B4-BE49-F238E27FC236}">
              <a16:creationId xmlns:a16="http://schemas.microsoft.com/office/drawing/2014/main" id="{73409015-B74E-4378-9658-2EA60DFFB18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3" name="Host Control  191">
          <a:extLst>
            <a:ext uri="{FF2B5EF4-FFF2-40B4-BE49-F238E27FC236}">
              <a16:creationId xmlns:a16="http://schemas.microsoft.com/office/drawing/2014/main" id="{40C64346-9292-4E02-9313-A499E2E70B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4" name="Host Control  192">
          <a:extLst>
            <a:ext uri="{FF2B5EF4-FFF2-40B4-BE49-F238E27FC236}">
              <a16:creationId xmlns:a16="http://schemas.microsoft.com/office/drawing/2014/main" id="{8D376DCD-5ABD-4D22-8876-FC539DF2888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5" name="Host Control  193">
          <a:extLst>
            <a:ext uri="{FF2B5EF4-FFF2-40B4-BE49-F238E27FC236}">
              <a16:creationId xmlns:a16="http://schemas.microsoft.com/office/drawing/2014/main" id="{D0932641-21D2-4826-8885-4312EE575B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6" name="Host Control  194">
          <a:extLst>
            <a:ext uri="{FF2B5EF4-FFF2-40B4-BE49-F238E27FC236}">
              <a16:creationId xmlns:a16="http://schemas.microsoft.com/office/drawing/2014/main" id="{672F6B5D-3A1A-41B4-9137-399B542394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7" name="Host Control  195">
          <a:extLst>
            <a:ext uri="{FF2B5EF4-FFF2-40B4-BE49-F238E27FC236}">
              <a16:creationId xmlns:a16="http://schemas.microsoft.com/office/drawing/2014/main" id="{2F849D32-B45E-4439-AB38-0300C787A56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8" name="Host Control  196">
          <a:extLst>
            <a:ext uri="{FF2B5EF4-FFF2-40B4-BE49-F238E27FC236}">
              <a16:creationId xmlns:a16="http://schemas.microsoft.com/office/drawing/2014/main" id="{A6FA372A-B917-4004-BFE2-10BEDDF3FD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9" name="Host Control  197">
          <a:extLst>
            <a:ext uri="{FF2B5EF4-FFF2-40B4-BE49-F238E27FC236}">
              <a16:creationId xmlns:a16="http://schemas.microsoft.com/office/drawing/2014/main" id="{75E8B8EC-AE47-4D95-9041-1359E84F1BE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0" name="Host Control  201" hidden="1">
          <a:extLst>
            <a:ext uri="{FF2B5EF4-FFF2-40B4-BE49-F238E27FC236}">
              <a16:creationId xmlns:a16="http://schemas.microsoft.com/office/drawing/2014/main" id="{EEBE4837-6F01-4064-A04D-EE054AD7ADB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1" name="Host Control  202" hidden="1">
          <a:extLst>
            <a:ext uri="{FF2B5EF4-FFF2-40B4-BE49-F238E27FC236}">
              <a16:creationId xmlns:a16="http://schemas.microsoft.com/office/drawing/2014/main" id="{B06BFC27-31E9-4CE7-BA2B-264139294FC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2" name="Host Control  203" hidden="1">
          <a:extLst>
            <a:ext uri="{FF2B5EF4-FFF2-40B4-BE49-F238E27FC236}">
              <a16:creationId xmlns:a16="http://schemas.microsoft.com/office/drawing/2014/main" id="{68E3F169-721F-4A7B-99FF-CB4209ACFB6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3" name="Host Control  204" hidden="1">
          <a:extLst>
            <a:ext uri="{FF2B5EF4-FFF2-40B4-BE49-F238E27FC236}">
              <a16:creationId xmlns:a16="http://schemas.microsoft.com/office/drawing/2014/main" id="{203E5777-13DF-4D79-9A52-A00C8A64BB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4" name="Host Control  205" hidden="1">
          <a:extLst>
            <a:ext uri="{FF2B5EF4-FFF2-40B4-BE49-F238E27FC236}">
              <a16:creationId xmlns:a16="http://schemas.microsoft.com/office/drawing/2014/main" id="{6D7BEAF7-CA8A-4F60-B592-433186FF063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5" name="Host Control  206" hidden="1">
          <a:extLst>
            <a:ext uri="{FF2B5EF4-FFF2-40B4-BE49-F238E27FC236}">
              <a16:creationId xmlns:a16="http://schemas.microsoft.com/office/drawing/2014/main" id="{D7E4EE9D-62FA-4598-B26A-6BE0C6BC2C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6" name="Host Control  207" hidden="1">
          <a:extLst>
            <a:ext uri="{FF2B5EF4-FFF2-40B4-BE49-F238E27FC236}">
              <a16:creationId xmlns:a16="http://schemas.microsoft.com/office/drawing/2014/main" id="{E89CDBFE-E366-44EB-B021-62389D359BD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7" name="Host Control  208" hidden="1">
          <a:extLst>
            <a:ext uri="{FF2B5EF4-FFF2-40B4-BE49-F238E27FC236}">
              <a16:creationId xmlns:a16="http://schemas.microsoft.com/office/drawing/2014/main" id="{3FA434FA-E3B8-464D-AF1A-56EDCD22CA3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8" name="Host Control  209" hidden="1">
          <a:extLst>
            <a:ext uri="{FF2B5EF4-FFF2-40B4-BE49-F238E27FC236}">
              <a16:creationId xmlns:a16="http://schemas.microsoft.com/office/drawing/2014/main" id="{2C708CC5-7692-43EB-AB47-33371148E97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9" name="Host Control  210" hidden="1">
          <a:extLst>
            <a:ext uri="{FF2B5EF4-FFF2-40B4-BE49-F238E27FC236}">
              <a16:creationId xmlns:a16="http://schemas.microsoft.com/office/drawing/2014/main" id="{39DA46FC-495C-45E8-BAEE-3387C7FF24C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0" name="Host Control  211" hidden="1">
          <a:extLst>
            <a:ext uri="{FF2B5EF4-FFF2-40B4-BE49-F238E27FC236}">
              <a16:creationId xmlns:a16="http://schemas.microsoft.com/office/drawing/2014/main" id="{2E67A40F-6E4F-498A-9E93-B710257C0E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1" name="Host Control  212" hidden="1">
          <a:extLst>
            <a:ext uri="{FF2B5EF4-FFF2-40B4-BE49-F238E27FC236}">
              <a16:creationId xmlns:a16="http://schemas.microsoft.com/office/drawing/2014/main" id="{F55839E7-91AD-4BFF-ABD3-103449607A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2" name="Host Control  213" hidden="1">
          <a:extLst>
            <a:ext uri="{FF2B5EF4-FFF2-40B4-BE49-F238E27FC236}">
              <a16:creationId xmlns:a16="http://schemas.microsoft.com/office/drawing/2014/main" id="{6044CAEB-9B52-48E3-94C7-67CEC54FC3B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3" name="Host Control  214" hidden="1">
          <a:extLst>
            <a:ext uri="{FF2B5EF4-FFF2-40B4-BE49-F238E27FC236}">
              <a16:creationId xmlns:a16="http://schemas.microsoft.com/office/drawing/2014/main" id="{EB7A92BE-FD68-4DE3-9D7E-58E7CD81E4E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4" name="Host Control  215" hidden="1">
          <a:extLst>
            <a:ext uri="{FF2B5EF4-FFF2-40B4-BE49-F238E27FC236}">
              <a16:creationId xmlns:a16="http://schemas.microsoft.com/office/drawing/2014/main" id="{3ADFFBC2-CA2C-4313-A1E9-87A681B1CE3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5" name="Host Control  216" hidden="1">
          <a:extLst>
            <a:ext uri="{FF2B5EF4-FFF2-40B4-BE49-F238E27FC236}">
              <a16:creationId xmlns:a16="http://schemas.microsoft.com/office/drawing/2014/main" id="{5B655D81-8B9A-43DC-ACBA-3C56F5BD6BF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6" name="Host Control  217" hidden="1">
          <a:extLst>
            <a:ext uri="{FF2B5EF4-FFF2-40B4-BE49-F238E27FC236}">
              <a16:creationId xmlns:a16="http://schemas.microsoft.com/office/drawing/2014/main" id="{508F12EF-F71D-42F5-ABFA-F89B8705D9B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7" name="Host Control  218" hidden="1">
          <a:extLst>
            <a:ext uri="{FF2B5EF4-FFF2-40B4-BE49-F238E27FC236}">
              <a16:creationId xmlns:a16="http://schemas.microsoft.com/office/drawing/2014/main" id="{663210FC-F28B-405B-846F-3A97C52D5A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8" name="Host Control  219" hidden="1">
          <a:extLst>
            <a:ext uri="{FF2B5EF4-FFF2-40B4-BE49-F238E27FC236}">
              <a16:creationId xmlns:a16="http://schemas.microsoft.com/office/drawing/2014/main" id="{8DCDDAAB-F01A-4CE9-9794-B26241A1D24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9" name="Host Control  220" hidden="1">
          <a:extLst>
            <a:ext uri="{FF2B5EF4-FFF2-40B4-BE49-F238E27FC236}">
              <a16:creationId xmlns:a16="http://schemas.microsoft.com/office/drawing/2014/main" id="{498B8221-5404-43F5-BF9B-ECF6028439A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0" name="Host Control  221" hidden="1">
          <a:extLst>
            <a:ext uri="{FF2B5EF4-FFF2-40B4-BE49-F238E27FC236}">
              <a16:creationId xmlns:a16="http://schemas.microsoft.com/office/drawing/2014/main" id="{D2DEB9EB-9CB3-430E-87D5-D5B0707788C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1" name="Host Control  222" hidden="1">
          <a:extLst>
            <a:ext uri="{FF2B5EF4-FFF2-40B4-BE49-F238E27FC236}">
              <a16:creationId xmlns:a16="http://schemas.microsoft.com/office/drawing/2014/main" id="{EF548B6A-BF4D-4F99-A415-3D3EB26F352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2" name="Host Control  223" hidden="1">
          <a:extLst>
            <a:ext uri="{FF2B5EF4-FFF2-40B4-BE49-F238E27FC236}">
              <a16:creationId xmlns:a16="http://schemas.microsoft.com/office/drawing/2014/main" id="{3D0F6EC7-B34E-43E7-B316-4BF1790C542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3" name="Host Control  224" hidden="1">
          <a:extLst>
            <a:ext uri="{FF2B5EF4-FFF2-40B4-BE49-F238E27FC236}">
              <a16:creationId xmlns:a16="http://schemas.microsoft.com/office/drawing/2014/main" id="{4BE2A5FC-6897-4388-9296-9D88904EA78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4" name="Host Control  225" hidden="1">
          <a:extLst>
            <a:ext uri="{FF2B5EF4-FFF2-40B4-BE49-F238E27FC236}">
              <a16:creationId xmlns:a16="http://schemas.microsoft.com/office/drawing/2014/main" id="{9307DC70-8FEC-494E-B605-6E31D687229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5" name="Host Control  226" hidden="1">
          <a:extLst>
            <a:ext uri="{FF2B5EF4-FFF2-40B4-BE49-F238E27FC236}">
              <a16:creationId xmlns:a16="http://schemas.microsoft.com/office/drawing/2014/main" id="{2529FD59-39EE-48C4-A57E-1B7C53E9F4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6" name="Host Control  227" hidden="1">
          <a:extLst>
            <a:ext uri="{FF2B5EF4-FFF2-40B4-BE49-F238E27FC236}">
              <a16:creationId xmlns:a16="http://schemas.microsoft.com/office/drawing/2014/main" id="{356D06DA-BD5F-4C99-AD56-61518FB40AB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7" name="Host Control  228" hidden="1">
          <a:extLst>
            <a:ext uri="{FF2B5EF4-FFF2-40B4-BE49-F238E27FC236}">
              <a16:creationId xmlns:a16="http://schemas.microsoft.com/office/drawing/2014/main" id="{7F4AD8BE-80C1-4633-8FC4-C50BC8D8F21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8" name="Host Control  229" hidden="1">
          <a:extLst>
            <a:ext uri="{FF2B5EF4-FFF2-40B4-BE49-F238E27FC236}">
              <a16:creationId xmlns:a16="http://schemas.microsoft.com/office/drawing/2014/main" id="{3BB4C650-05D8-4840-B3F2-B2FA6AADB30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9" name="Host Control  230" hidden="1">
          <a:extLst>
            <a:ext uri="{FF2B5EF4-FFF2-40B4-BE49-F238E27FC236}">
              <a16:creationId xmlns:a16="http://schemas.microsoft.com/office/drawing/2014/main" id="{EA42A47D-6E79-42BD-B314-99992A17344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0" name="Host Control  234" hidden="1">
          <a:extLst>
            <a:ext uri="{FF2B5EF4-FFF2-40B4-BE49-F238E27FC236}">
              <a16:creationId xmlns:a16="http://schemas.microsoft.com/office/drawing/2014/main" id="{A25EE43A-5194-4299-AA9A-D3C5C3737B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1" name="Host Control  235" hidden="1">
          <a:extLst>
            <a:ext uri="{FF2B5EF4-FFF2-40B4-BE49-F238E27FC236}">
              <a16:creationId xmlns:a16="http://schemas.microsoft.com/office/drawing/2014/main" id="{5C71956D-0EA3-4664-A3B4-52D296AB7F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2" name="Host Control  236" hidden="1">
          <a:extLst>
            <a:ext uri="{FF2B5EF4-FFF2-40B4-BE49-F238E27FC236}">
              <a16:creationId xmlns:a16="http://schemas.microsoft.com/office/drawing/2014/main" id="{2236A54E-812E-47CC-90BA-83F19D456BB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3" name="Host Control  237" hidden="1">
          <a:extLst>
            <a:ext uri="{FF2B5EF4-FFF2-40B4-BE49-F238E27FC236}">
              <a16:creationId xmlns:a16="http://schemas.microsoft.com/office/drawing/2014/main" id="{0D68004E-01BE-4A13-BFC8-C98B96CD9B4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4" name="Host Control  238" hidden="1">
          <a:extLst>
            <a:ext uri="{FF2B5EF4-FFF2-40B4-BE49-F238E27FC236}">
              <a16:creationId xmlns:a16="http://schemas.microsoft.com/office/drawing/2014/main" id="{E4D12BA4-C663-4C0B-8FEF-015E7FAA410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5" name="Host Control  239" hidden="1">
          <a:extLst>
            <a:ext uri="{FF2B5EF4-FFF2-40B4-BE49-F238E27FC236}">
              <a16:creationId xmlns:a16="http://schemas.microsoft.com/office/drawing/2014/main" id="{2AED3C95-503A-4065-9FE7-F61E28DBCAE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6" name="Host Control  240" hidden="1">
          <a:extLst>
            <a:ext uri="{FF2B5EF4-FFF2-40B4-BE49-F238E27FC236}">
              <a16:creationId xmlns:a16="http://schemas.microsoft.com/office/drawing/2014/main" id="{0A35EE81-3C99-4479-A8C0-FF16B9D3172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7" name="Host Control  241" hidden="1">
          <a:extLst>
            <a:ext uri="{FF2B5EF4-FFF2-40B4-BE49-F238E27FC236}">
              <a16:creationId xmlns:a16="http://schemas.microsoft.com/office/drawing/2014/main" id="{85EF1753-BEDD-4D20-85EE-C654F2B8A7B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8" name="Host Control  242" hidden="1">
          <a:extLst>
            <a:ext uri="{FF2B5EF4-FFF2-40B4-BE49-F238E27FC236}">
              <a16:creationId xmlns:a16="http://schemas.microsoft.com/office/drawing/2014/main" id="{022FE19F-85FB-4577-BF2C-FEF80534610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9" name="Host Control  243" hidden="1">
          <a:extLst>
            <a:ext uri="{FF2B5EF4-FFF2-40B4-BE49-F238E27FC236}">
              <a16:creationId xmlns:a16="http://schemas.microsoft.com/office/drawing/2014/main" id="{47FB3A05-3C47-4C45-86FD-5962C344705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0" name="Host Control  244" hidden="1">
          <a:extLst>
            <a:ext uri="{FF2B5EF4-FFF2-40B4-BE49-F238E27FC236}">
              <a16:creationId xmlns:a16="http://schemas.microsoft.com/office/drawing/2014/main" id="{DE447039-C3C5-4A09-AC1B-4BC0BC986B4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1" name="Host Control  245" hidden="1">
          <a:extLst>
            <a:ext uri="{FF2B5EF4-FFF2-40B4-BE49-F238E27FC236}">
              <a16:creationId xmlns:a16="http://schemas.microsoft.com/office/drawing/2014/main" id="{0CC0385F-3425-4068-926A-14A4EE6A864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2" name="Host Control  246" hidden="1">
          <a:extLst>
            <a:ext uri="{FF2B5EF4-FFF2-40B4-BE49-F238E27FC236}">
              <a16:creationId xmlns:a16="http://schemas.microsoft.com/office/drawing/2014/main" id="{082C4F38-E503-4915-81CD-7FE5BC0122B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3" name="Host Control  247" hidden="1">
          <a:extLst>
            <a:ext uri="{FF2B5EF4-FFF2-40B4-BE49-F238E27FC236}">
              <a16:creationId xmlns:a16="http://schemas.microsoft.com/office/drawing/2014/main" id="{14F4EC34-A4CF-4165-B569-2D8B2986F2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4" name="Host Control  248" hidden="1">
          <a:extLst>
            <a:ext uri="{FF2B5EF4-FFF2-40B4-BE49-F238E27FC236}">
              <a16:creationId xmlns:a16="http://schemas.microsoft.com/office/drawing/2014/main" id="{70DF5E46-220A-4DD5-B692-41C437D923B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5" name="Host Control  249" hidden="1">
          <a:extLst>
            <a:ext uri="{FF2B5EF4-FFF2-40B4-BE49-F238E27FC236}">
              <a16:creationId xmlns:a16="http://schemas.microsoft.com/office/drawing/2014/main" id="{47B8E1C8-60EB-47ED-AC4F-857B8E6F116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6" name="Host Control  250" hidden="1">
          <a:extLst>
            <a:ext uri="{FF2B5EF4-FFF2-40B4-BE49-F238E27FC236}">
              <a16:creationId xmlns:a16="http://schemas.microsoft.com/office/drawing/2014/main" id="{43B8BE6C-8D28-4F3F-B39A-0B4B345EE63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7" name="Host Control  251" hidden="1">
          <a:extLst>
            <a:ext uri="{FF2B5EF4-FFF2-40B4-BE49-F238E27FC236}">
              <a16:creationId xmlns:a16="http://schemas.microsoft.com/office/drawing/2014/main" id="{D8BEA9E8-1668-4105-B965-73EAF78D87E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8" name="Host Control  252" hidden="1">
          <a:extLst>
            <a:ext uri="{FF2B5EF4-FFF2-40B4-BE49-F238E27FC236}">
              <a16:creationId xmlns:a16="http://schemas.microsoft.com/office/drawing/2014/main" id="{77E4DF6D-A66E-485E-9555-A382A84B521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9" name="Host Control  253" hidden="1">
          <a:extLst>
            <a:ext uri="{FF2B5EF4-FFF2-40B4-BE49-F238E27FC236}">
              <a16:creationId xmlns:a16="http://schemas.microsoft.com/office/drawing/2014/main" id="{C9A332A1-6FC4-40B3-8E31-696FB4B3603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0" name="Host Control  254" hidden="1">
          <a:extLst>
            <a:ext uri="{FF2B5EF4-FFF2-40B4-BE49-F238E27FC236}">
              <a16:creationId xmlns:a16="http://schemas.microsoft.com/office/drawing/2014/main" id="{37CF6F6A-A354-40ED-9643-549C1D3A6B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1" name="Host Control  255" hidden="1">
          <a:extLst>
            <a:ext uri="{FF2B5EF4-FFF2-40B4-BE49-F238E27FC236}">
              <a16:creationId xmlns:a16="http://schemas.microsoft.com/office/drawing/2014/main" id="{DCACFA4F-EF46-40A3-9E3A-FA237AD0FA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2" name="Host Control  256" hidden="1">
          <a:extLst>
            <a:ext uri="{FF2B5EF4-FFF2-40B4-BE49-F238E27FC236}">
              <a16:creationId xmlns:a16="http://schemas.microsoft.com/office/drawing/2014/main" id="{A38A07F5-0BD3-40FD-BB27-144A5769A2A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3" name="Host Control  257" hidden="1">
          <a:extLst>
            <a:ext uri="{FF2B5EF4-FFF2-40B4-BE49-F238E27FC236}">
              <a16:creationId xmlns:a16="http://schemas.microsoft.com/office/drawing/2014/main" id="{DE46A12A-4532-4B10-A06D-E73A5BD4CE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4" name="Host Control  258" hidden="1">
          <a:extLst>
            <a:ext uri="{FF2B5EF4-FFF2-40B4-BE49-F238E27FC236}">
              <a16:creationId xmlns:a16="http://schemas.microsoft.com/office/drawing/2014/main" id="{32FCFE84-FB39-4072-B50D-236309E1E2A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5" name="Host Control  259" hidden="1">
          <a:extLst>
            <a:ext uri="{FF2B5EF4-FFF2-40B4-BE49-F238E27FC236}">
              <a16:creationId xmlns:a16="http://schemas.microsoft.com/office/drawing/2014/main" id="{81FE0BEF-41BA-403D-A2B2-987C949877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6" name="Host Control  260" hidden="1">
          <a:extLst>
            <a:ext uri="{FF2B5EF4-FFF2-40B4-BE49-F238E27FC236}">
              <a16:creationId xmlns:a16="http://schemas.microsoft.com/office/drawing/2014/main" id="{4EE8BE46-0640-4812-95EB-374F450C0F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7" name="Host Control  261" hidden="1">
          <a:extLst>
            <a:ext uri="{FF2B5EF4-FFF2-40B4-BE49-F238E27FC236}">
              <a16:creationId xmlns:a16="http://schemas.microsoft.com/office/drawing/2014/main" id="{B32B3EB4-855F-44C0-92F7-A479FC7658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8" name="Host Control  262" hidden="1">
          <a:extLst>
            <a:ext uri="{FF2B5EF4-FFF2-40B4-BE49-F238E27FC236}">
              <a16:creationId xmlns:a16="http://schemas.microsoft.com/office/drawing/2014/main" id="{D3E699BD-2F8B-4D21-8E64-D61B68DDE91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9" name="Host Control  263" hidden="1">
          <a:extLst>
            <a:ext uri="{FF2B5EF4-FFF2-40B4-BE49-F238E27FC236}">
              <a16:creationId xmlns:a16="http://schemas.microsoft.com/office/drawing/2014/main" id="{C936A652-38F0-4B73-9D88-6EAF8013E1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0" name="Host Control  267" hidden="1">
          <a:extLst>
            <a:ext uri="{FF2B5EF4-FFF2-40B4-BE49-F238E27FC236}">
              <a16:creationId xmlns:a16="http://schemas.microsoft.com/office/drawing/2014/main" id="{4F8B906F-85E1-46DC-B599-0B25E209E6C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1" name="Host Control  268" hidden="1">
          <a:extLst>
            <a:ext uri="{FF2B5EF4-FFF2-40B4-BE49-F238E27FC236}">
              <a16:creationId xmlns:a16="http://schemas.microsoft.com/office/drawing/2014/main" id="{2CAC744A-596C-4930-8DB3-D168F72872C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2" name="Host Control  269" hidden="1">
          <a:extLst>
            <a:ext uri="{FF2B5EF4-FFF2-40B4-BE49-F238E27FC236}">
              <a16:creationId xmlns:a16="http://schemas.microsoft.com/office/drawing/2014/main" id="{500AFAE6-FB1C-4F85-8A70-BD046900B71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3" name="Host Control  270" hidden="1">
          <a:extLst>
            <a:ext uri="{FF2B5EF4-FFF2-40B4-BE49-F238E27FC236}">
              <a16:creationId xmlns:a16="http://schemas.microsoft.com/office/drawing/2014/main" id="{814BC023-5F10-4498-903B-6786A6AFD97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4" name="Host Control  271" hidden="1">
          <a:extLst>
            <a:ext uri="{FF2B5EF4-FFF2-40B4-BE49-F238E27FC236}">
              <a16:creationId xmlns:a16="http://schemas.microsoft.com/office/drawing/2014/main" id="{389D1FD9-73E5-4415-8505-ECFD88908BA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5" name="Host Control  272" hidden="1">
          <a:extLst>
            <a:ext uri="{FF2B5EF4-FFF2-40B4-BE49-F238E27FC236}">
              <a16:creationId xmlns:a16="http://schemas.microsoft.com/office/drawing/2014/main" id="{63BE7DC4-3D1A-4FDA-BC1B-03E218F26CA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6" name="Host Control  273" hidden="1">
          <a:extLst>
            <a:ext uri="{FF2B5EF4-FFF2-40B4-BE49-F238E27FC236}">
              <a16:creationId xmlns:a16="http://schemas.microsoft.com/office/drawing/2014/main" id="{9FCABCB4-EA68-4883-B1AD-D08FF1FBB08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7" name="Host Control  274" hidden="1">
          <a:extLst>
            <a:ext uri="{FF2B5EF4-FFF2-40B4-BE49-F238E27FC236}">
              <a16:creationId xmlns:a16="http://schemas.microsoft.com/office/drawing/2014/main" id="{4F2C689E-3FEF-469E-94E9-4EE70FB7E66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8" name="Host Control  275" hidden="1">
          <a:extLst>
            <a:ext uri="{FF2B5EF4-FFF2-40B4-BE49-F238E27FC236}">
              <a16:creationId xmlns:a16="http://schemas.microsoft.com/office/drawing/2014/main" id="{10531549-39ED-4764-BDDE-E1F4111E9D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9" name="Host Control  276" hidden="1">
          <a:extLst>
            <a:ext uri="{FF2B5EF4-FFF2-40B4-BE49-F238E27FC236}">
              <a16:creationId xmlns:a16="http://schemas.microsoft.com/office/drawing/2014/main" id="{4EC4B4B4-7C24-4F75-95E4-9C1AC507EE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0" name="Host Control  277" hidden="1">
          <a:extLst>
            <a:ext uri="{FF2B5EF4-FFF2-40B4-BE49-F238E27FC236}">
              <a16:creationId xmlns:a16="http://schemas.microsoft.com/office/drawing/2014/main" id="{DA40F749-7922-4F11-92F1-97BAE598ABA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1" name="Host Control  278" hidden="1">
          <a:extLst>
            <a:ext uri="{FF2B5EF4-FFF2-40B4-BE49-F238E27FC236}">
              <a16:creationId xmlns:a16="http://schemas.microsoft.com/office/drawing/2014/main" id="{0D095132-F39E-4DB9-8232-15B0130468F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2" name="Host Control  279" hidden="1">
          <a:extLst>
            <a:ext uri="{FF2B5EF4-FFF2-40B4-BE49-F238E27FC236}">
              <a16:creationId xmlns:a16="http://schemas.microsoft.com/office/drawing/2014/main" id="{6E8BEA78-C9CE-4424-BD6C-FA2C51B6FD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3" name="Host Control  280" hidden="1">
          <a:extLst>
            <a:ext uri="{FF2B5EF4-FFF2-40B4-BE49-F238E27FC236}">
              <a16:creationId xmlns:a16="http://schemas.microsoft.com/office/drawing/2014/main" id="{410B69B0-1B02-40AA-ADC6-109BF364652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4" name="Host Control  281" hidden="1">
          <a:extLst>
            <a:ext uri="{FF2B5EF4-FFF2-40B4-BE49-F238E27FC236}">
              <a16:creationId xmlns:a16="http://schemas.microsoft.com/office/drawing/2014/main" id="{381CA806-FD7D-41B0-955D-3142C3378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5" name="Host Control  282" hidden="1">
          <a:extLst>
            <a:ext uri="{FF2B5EF4-FFF2-40B4-BE49-F238E27FC236}">
              <a16:creationId xmlns:a16="http://schemas.microsoft.com/office/drawing/2014/main" id="{2A890F80-626A-46E4-8FF6-C490B15F390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6" name="Host Control  283" hidden="1">
          <a:extLst>
            <a:ext uri="{FF2B5EF4-FFF2-40B4-BE49-F238E27FC236}">
              <a16:creationId xmlns:a16="http://schemas.microsoft.com/office/drawing/2014/main" id="{2C8169A3-4B95-4F1B-8C3D-5862D05ED00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7" name="Host Control  284" hidden="1">
          <a:extLst>
            <a:ext uri="{FF2B5EF4-FFF2-40B4-BE49-F238E27FC236}">
              <a16:creationId xmlns:a16="http://schemas.microsoft.com/office/drawing/2014/main" id="{255C195D-F6C9-4C16-BEC7-08FABD3B4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8" name="Host Control  285" hidden="1">
          <a:extLst>
            <a:ext uri="{FF2B5EF4-FFF2-40B4-BE49-F238E27FC236}">
              <a16:creationId xmlns:a16="http://schemas.microsoft.com/office/drawing/2014/main" id="{A4A5952C-A9F2-4CF1-A774-D95B975087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9" name="Host Control  286" hidden="1">
          <a:extLst>
            <a:ext uri="{FF2B5EF4-FFF2-40B4-BE49-F238E27FC236}">
              <a16:creationId xmlns:a16="http://schemas.microsoft.com/office/drawing/2014/main" id="{D8694E9D-8CD1-44DC-BBBC-06ADBD8270B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0" name="Host Control  287" hidden="1">
          <a:extLst>
            <a:ext uri="{FF2B5EF4-FFF2-40B4-BE49-F238E27FC236}">
              <a16:creationId xmlns:a16="http://schemas.microsoft.com/office/drawing/2014/main" id="{77F77836-3F56-4C8B-A30B-72F78373467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1" name="Host Control  288" hidden="1">
          <a:extLst>
            <a:ext uri="{FF2B5EF4-FFF2-40B4-BE49-F238E27FC236}">
              <a16:creationId xmlns:a16="http://schemas.microsoft.com/office/drawing/2014/main" id="{299B4104-77F9-4B31-86EE-D60BDD991B5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2" name="Host Control  289" hidden="1">
          <a:extLst>
            <a:ext uri="{FF2B5EF4-FFF2-40B4-BE49-F238E27FC236}">
              <a16:creationId xmlns:a16="http://schemas.microsoft.com/office/drawing/2014/main" id="{D8CEB7E3-CBA2-4C48-90E6-5B6FED282B6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3" name="Host Control  290" hidden="1">
          <a:extLst>
            <a:ext uri="{FF2B5EF4-FFF2-40B4-BE49-F238E27FC236}">
              <a16:creationId xmlns:a16="http://schemas.microsoft.com/office/drawing/2014/main" id="{CDDCB0BB-CE84-43D0-960F-2D9BBD0CCB0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4" name="Host Control  291" hidden="1">
          <a:extLst>
            <a:ext uri="{FF2B5EF4-FFF2-40B4-BE49-F238E27FC236}">
              <a16:creationId xmlns:a16="http://schemas.microsoft.com/office/drawing/2014/main" id="{78E971E7-5C26-44B3-B865-88BB0336A03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5" name="Host Control  292" hidden="1">
          <a:extLst>
            <a:ext uri="{FF2B5EF4-FFF2-40B4-BE49-F238E27FC236}">
              <a16:creationId xmlns:a16="http://schemas.microsoft.com/office/drawing/2014/main" id="{AA9BF15E-38A2-4843-922E-0FADF8C2F9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6" name="Host Control  293" hidden="1">
          <a:extLst>
            <a:ext uri="{FF2B5EF4-FFF2-40B4-BE49-F238E27FC236}">
              <a16:creationId xmlns:a16="http://schemas.microsoft.com/office/drawing/2014/main" id="{6B889E2C-BDFC-46D9-96CD-A4DDE82BD5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7" name="Host Control  294" hidden="1">
          <a:extLst>
            <a:ext uri="{FF2B5EF4-FFF2-40B4-BE49-F238E27FC236}">
              <a16:creationId xmlns:a16="http://schemas.microsoft.com/office/drawing/2014/main" id="{3A80C01F-54B3-431F-A65E-AA6C14C548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8" name="Host Control  295" hidden="1">
          <a:extLst>
            <a:ext uri="{FF2B5EF4-FFF2-40B4-BE49-F238E27FC236}">
              <a16:creationId xmlns:a16="http://schemas.microsoft.com/office/drawing/2014/main" id="{49692287-FE56-49E8-ABB2-D2E7CE96F2E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9" name="Host Control  296" hidden="1">
          <a:extLst>
            <a:ext uri="{FF2B5EF4-FFF2-40B4-BE49-F238E27FC236}">
              <a16:creationId xmlns:a16="http://schemas.microsoft.com/office/drawing/2014/main" id="{BBF6DFEA-07D2-4D43-BF45-BEC1D46898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0" name="Host Control  483" hidden="1">
          <a:extLst>
            <a:ext uri="{FF2B5EF4-FFF2-40B4-BE49-F238E27FC236}">
              <a16:creationId xmlns:a16="http://schemas.microsoft.com/office/drawing/2014/main" id="{AC37EFB2-D684-4B60-9F62-1D3AAC0BED3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1" name="Host Control  484" hidden="1">
          <a:extLst>
            <a:ext uri="{FF2B5EF4-FFF2-40B4-BE49-F238E27FC236}">
              <a16:creationId xmlns:a16="http://schemas.microsoft.com/office/drawing/2014/main" id="{F077CE6D-18AE-431D-8864-D2B786E085B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2" name="Host Control  485" hidden="1">
          <a:extLst>
            <a:ext uri="{FF2B5EF4-FFF2-40B4-BE49-F238E27FC236}">
              <a16:creationId xmlns:a16="http://schemas.microsoft.com/office/drawing/2014/main" id="{D4766901-AD36-48F1-A3FB-5FB8810FDB52}"/>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3" name="Host Control  486" hidden="1">
          <a:extLst>
            <a:ext uri="{FF2B5EF4-FFF2-40B4-BE49-F238E27FC236}">
              <a16:creationId xmlns:a16="http://schemas.microsoft.com/office/drawing/2014/main" id="{60D77671-8E21-4F91-9664-13D67030FFE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4" name="Host Control  487" hidden="1">
          <a:extLst>
            <a:ext uri="{FF2B5EF4-FFF2-40B4-BE49-F238E27FC236}">
              <a16:creationId xmlns:a16="http://schemas.microsoft.com/office/drawing/2014/main" id="{B9EAFDCF-D88D-48EE-A978-CA910A9339E1}"/>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5" name="Host Control  488" hidden="1">
          <a:extLst>
            <a:ext uri="{FF2B5EF4-FFF2-40B4-BE49-F238E27FC236}">
              <a16:creationId xmlns:a16="http://schemas.microsoft.com/office/drawing/2014/main" id="{6F6C1F69-2184-4FEB-A35C-923A5045810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6" name="Host Control  489" hidden="1">
          <a:extLst>
            <a:ext uri="{FF2B5EF4-FFF2-40B4-BE49-F238E27FC236}">
              <a16:creationId xmlns:a16="http://schemas.microsoft.com/office/drawing/2014/main" id="{EC14A1AD-7EAD-43DB-8799-76C74005E3F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7" name="Host Control  490" hidden="1">
          <a:extLst>
            <a:ext uri="{FF2B5EF4-FFF2-40B4-BE49-F238E27FC236}">
              <a16:creationId xmlns:a16="http://schemas.microsoft.com/office/drawing/2014/main" id="{69A14FE6-C4DE-4E3B-9C73-DA6E45F0F0E3}"/>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8" name="Host Control  491" hidden="1">
          <a:extLst>
            <a:ext uri="{FF2B5EF4-FFF2-40B4-BE49-F238E27FC236}">
              <a16:creationId xmlns:a16="http://schemas.microsoft.com/office/drawing/2014/main" id="{D3B15C52-2B91-4BA1-AA4D-0C689F542439}"/>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9" name="Host Control  492" hidden="1">
          <a:extLst>
            <a:ext uri="{FF2B5EF4-FFF2-40B4-BE49-F238E27FC236}">
              <a16:creationId xmlns:a16="http://schemas.microsoft.com/office/drawing/2014/main" id="{7EA2C686-E513-4E0C-AC99-30D1FE86FF56}"/>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0" name="Host Control  493" hidden="1">
          <a:extLst>
            <a:ext uri="{FF2B5EF4-FFF2-40B4-BE49-F238E27FC236}">
              <a16:creationId xmlns:a16="http://schemas.microsoft.com/office/drawing/2014/main" id="{049B234E-25E5-442C-90A6-1ECBE81ADB0F}"/>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1" name="Host Control  494" hidden="1">
          <a:extLst>
            <a:ext uri="{FF2B5EF4-FFF2-40B4-BE49-F238E27FC236}">
              <a16:creationId xmlns:a16="http://schemas.microsoft.com/office/drawing/2014/main" id="{A1884E98-0409-4A70-97D2-91B9E893A65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2" name="Host Control  495" hidden="1">
          <a:extLst>
            <a:ext uri="{FF2B5EF4-FFF2-40B4-BE49-F238E27FC236}">
              <a16:creationId xmlns:a16="http://schemas.microsoft.com/office/drawing/2014/main" id="{0E847D13-B50E-4A49-8EF2-4233378BDA71}"/>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3" name="Host Control  496" hidden="1">
          <a:extLst>
            <a:ext uri="{FF2B5EF4-FFF2-40B4-BE49-F238E27FC236}">
              <a16:creationId xmlns:a16="http://schemas.microsoft.com/office/drawing/2014/main" id="{51839926-BE1A-4535-BD34-5D03978E746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4" name="Host Control  497" hidden="1">
          <a:extLst>
            <a:ext uri="{FF2B5EF4-FFF2-40B4-BE49-F238E27FC236}">
              <a16:creationId xmlns:a16="http://schemas.microsoft.com/office/drawing/2014/main" id="{752C2594-CE3C-4DFF-9327-AE69ED76CD8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5" name="Host Control  498" hidden="1">
          <a:extLst>
            <a:ext uri="{FF2B5EF4-FFF2-40B4-BE49-F238E27FC236}">
              <a16:creationId xmlns:a16="http://schemas.microsoft.com/office/drawing/2014/main" id="{04CF88BE-542F-46E0-8374-743D5F178A78}"/>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6" name="Host Control  499" hidden="1">
          <a:extLst>
            <a:ext uri="{FF2B5EF4-FFF2-40B4-BE49-F238E27FC236}">
              <a16:creationId xmlns:a16="http://schemas.microsoft.com/office/drawing/2014/main" id="{7F5A74D3-C8BA-4F90-A13F-B0C7C698254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7" name="Host Control  500" hidden="1">
          <a:extLst>
            <a:ext uri="{FF2B5EF4-FFF2-40B4-BE49-F238E27FC236}">
              <a16:creationId xmlns:a16="http://schemas.microsoft.com/office/drawing/2014/main" id="{9AEF765B-785E-4B0E-B504-7B560E5C7B90}"/>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8" name="Host Control  501" hidden="1">
          <a:extLst>
            <a:ext uri="{FF2B5EF4-FFF2-40B4-BE49-F238E27FC236}">
              <a16:creationId xmlns:a16="http://schemas.microsoft.com/office/drawing/2014/main" id="{99D5DFED-3CB5-45B0-AAAC-122372A86198}"/>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9" name="Host Control  502" hidden="1">
          <a:extLst>
            <a:ext uri="{FF2B5EF4-FFF2-40B4-BE49-F238E27FC236}">
              <a16:creationId xmlns:a16="http://schemas.microsoft.com/office/drawing/2014/main" id="{94E5F069-8EAE-408E-B7A1-5A74A777F24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0" name="Host Control  503" hidden="1">
          <a:extLst>
            <a:ext uri="{FF2B5EF4-FFF2-40B4-BE49-F238E27FC236}">
              <a16:creationId xmlns:a16="http://schemas.microsoft.com/office/drawing/2014/main" id="{A82DA37B-FECD-47B8-80FD-9714668EF1CB}"/>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1" name="Host Control  504" hidden="1">
          <a:extLst>
            <a:ext uri="{FF2B5EF4-FFF2-40B4-BE49-F238E27FC236}">
              <a16:creationId xmlns:a16="http://schemas.microsoft.com/office/drawing/2014/main" id="{7D03FF8B-B547-4F56-ADA5-2FB6152AFF0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2" name="Host Control  505" hidden="1">
          <a:extLst>
            <a:ext uri="{FF2B5EF4-FFF2-40B4-BE49-F238E27FC236}">
              <a16:creationId xmlns:a16="http://schemas.microsoft.com/office/drawing/2014/main" id="{568217FD-EDE6-4A3A-90B9-0BC1A0B2523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3" name="Host Control  506" hidden="1">
          <a:extLst>
            <a:ext uri="{FF2B5EF4-FFF2-40B4-BE49-F238E27FC236}">
              <a16:creationId xmlns:a16="http://schemas.microsoft.com/office/drawing/2014/main" id="{30FF4AA5-0135-40BD-A3F1-0C9AD418FB7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4" name="Host Control  507" hidden="1">
          <a:extLst>
            <a:ext uri="{FF2B5EF4-FFF2-40B4-BE49-F238E27FC236}">
              <a16:creationId xmlns:a16="http://schemas.microsoft.com/office/drawing/2014/main" id="{5526D783-3CB0-4403-83A4-32216035C2AC}"/>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5" name="Host Control  508" hidden="1">
          <a:extLst>
            <a:ext uri="{FF2B5EF4-FFF2-40B4-BE49-F238E27FC236}">
              <a16:creationId xmlns:a16="http://schemas.microsoft.com/office/drawing/2014/main" id="{B985404F-4859-4FF5-9F6A-20E12C2B9324}"/>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6" name="Host Control  509" hidden="1">
          <a:extLst>
            <a:ext uri="{FF2B5EF4-FFF2-40B4-BE49-F238E27FC236}">
              <a16:creationId xmlns:a16="http://schemas.microsoft.com/office/drawing/2014/main" id="{F3D9BFAB-185C-492D-BCAD-B9CBE4E3EFF6}"/>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7" name="Host Control  510" hidden="1">
          <a:extLst>
            <a:ext uri="{FF2B5EF4-FFF2-40B4-BE49-F238E27FC236}">
              <a16:creationId xmlns:a16="http://schemas.microsoft.com/office/drawing/2014/main" id="{4D39F7C6-3D6F-4B88-BC26-23855F5E5C2C}"/>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8" name="Host Control  511" hidden="1">
          <a:extLst>
            <a:ext uri="{FF2B5EF4-FFF2-40B4-BE49-F238E27FC236}">
              <a16:creationId xmlns:a16="http://schemas.microsoft.com/office/drawing/2014/main" id="{8393A4C4-534A-4A6F-92CD-35592C015DE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9" name="Host Control  512" hidden="1">
          <a:extLst>
            <a:ext uri="{FF2B5EF4-FFF2-40B4-BE49-F238E27FC236}">
              <a16:creationId xmlns:a16="http://schemas.microsoft.com/office/drawing/2014/main" id="{D34A09FB-CD4C-4176-8DBB-1FC006A591B2}"/>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0" name="Host Control  517" hidden="1">
          <a:extLst>
            <a:ext uri="{FF2B5EF4-FFF2-40B4-BE49-F238E27FC236}">
              <a16:creationId xmlns:a16="http://schemas.microsoft.com/office/drawing/2014/main" id="{8693800F-A513-404E-B2C0-DC38914C268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1" name="Host Control  518" hidden="1">
          <a:extLst>
            <a:ext uri="{FF2B5EF4-FFF2-40B4-BE49-F238E27FC236}">
              <a16:creationId xmlns:a16="http://schemas.microsoft.com/office/drawing/2014/main" id="{CD495697-620B-4265-B551-68EA293E2B5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2" name="Host Control  519" hidden="1">
          <a:extLst>
            <a:ext uri="{FF2B5EF4-FFF2-40B4-BE49-F238E27FC236}">
              <a16:creationId xmlns:a16="http://schemas.microsoft.com/office/drawing/2014/main" id="{97E8CDB3-08E5-4745-80BF-F6CF4B93D90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3" name="Host Control  520" hidden="1">
          <a:extLst>
            <a:ext uri="{FF2B5EF4-FFF2-40B4-BE49-F238E27FC236}">
              <a16:creationId xmlns:a16="http://schemas.microsoft.com/office/drawing/2014/main" id="{BC0456BA-0BF4-4C1F-ADF1-646240366CE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4" name="Host Control  521" hidden="1">
          <a:extLst>
            <a:ext uri="{FF2B5EF4-FFF2-40B4-BE49-F238E27FC236}">
              <a16:creationId xmlns:a16="http://schemas.microsoft.com/office/drawing/2014/main" id="{1F5CA927-B8B2-4808-A6A7-176EF6E110D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5" name="Host Control  522" hidden="1">
          <a:extLst>
            <a:ext uri="{FF2B5EF4-FFF2-40B4-BE49-F238E27FC236}">
              <a16:creationId xmlns:a16="http://schemas.microsoft.com/office/drawing/2014/main" id="{1AB12A00-3E8C-45C1-B31C-81B3FD635AA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6" name="Host Control  523" hidden="1">
          <a:extLst>
            <a:ext uri="{FF2B5EF4-FFF2-40B4-BE49-F238E27FC236}">
              <a16:creationId xmlns:a16="http://schemas.microsoft.com/office/drawing/2014/main" id="{A4A86449-5CE2-47A6-8BDB-A0DB7AC155F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7" name="Host Control  524" hidden="1">
          <a:extLst>
            <a:ext uri="{FF2B5EF4-FFF2-40B4-BE49-F238E27FC236}">
              <a16:creationId xmlns:a16="http://schemas.microsoft.com/office/drawing/2014/main" id="{3B0D3535-872F-4F23-993F-E12F0F2BE51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8" name="Host Control  525" hidden="1">
          <a:extLst>
            <a:ext uri="{FF2B5EF4-FFF2-40B4-BE49-F238E27FC236}">
              <a16:creationId xmlns:a16="http://schemas.microsoft.com/office/drawing/2014/main" id="{73BC9C80-1521-4E39-AF2B-0FBC0DD1E4A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9" name="Host Control  526" hidden="1">
          <a:extLst>
            <a:ext uri="{FF2B5EF4-FFF2-40B4-BE49-F238E27FC236}">
              <a16:creationId xmlns:a16="http://schemas.microsoft.com/office/drawing/2014/main" id="{47CEE3F7-8645-48A1-8D64-92D07D67E2B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0" name="Host Control  527" hidden="1">
          <a:extLst>
            <a:ext uri="{FF2B5EF4-FFF2-40B4-BE49-F238E27FC236}">
              <a16:creationId xmlns:a16="http://schemas.microsoft.com/office/drawing/2014/main" id="{33D17741-A6AE-4DC4-BECE-9A54574581A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1" name="Host Control  528" hidden="1">
          <a:extLst>
            <a:ext uri="{FF2B5EF4-FFF2-40B4-BE49-F238E27FC236}">
              <a16:creationId xmlns:a16="http://schemas.microsoft.com/office/drawing/2014/main" id="{1B0DC4B7-F9B3-4F2A-A2FD-0EFB9571418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2" name="Host Control  529" hidden="1">
          <a:extLst>
            <a:ext uri="{FF2B5EF4-FFF2-40B4-BE49-F238E27FC236}">
              <a16:creationId xmlns:a16="http://schemas.microsoft.com/office/drawing/2014/main" id="{5FBB863F-C0C3-4595-AB09-DF60454139B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3" name="Host Control  530" hidden="1">
          <a:extLst>
            <a:ext uri="{FF2B5EF4-FFF2-40B4-BE49-F238E27FC236}">
              <a16:creationId xmlns:a16="http://schemas.microsoft.com/office/drawing/2014/main" id="{81912612-2637-4D01-ACD6-1DD61C762C18}"/>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4" name="Host Control  531" hidden="1">
          <a:extLst>
            <a:ext uri="{FF2B5EF4-FFF2-40B4-BE49-F238E27FC236}">
              <a16:creationId xmlns:a16="http://schemas.microsoft.com/office/drawing/2014/main" id="{F6016F3A-5ABF-409C-935B-79C0BB0050DC}"/>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5" name="Host Control  532" hidden="1">
          <a:extLst>
            <a:ext uri="{FF2B5EF4-FFF2-40B4-BE49-F238E27FC236}">
              <a16:creationId xmlns:a16="http://schemas.microsoft.com/office/drawing/2014/main" id="{DC7A2053-3B20-4A45-BDEC-737869B7ACC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6" name="Host Control  533" hidden="1">
          <a:extLst>
            <a:ext uri="{FF2B5EF4-FFF2-40B4-BE49-F238E27FC236}">
              <a16:creationId xmlns:a16="http://schemas.microsoft.com/office/drawing/2014/main" id="{B37994C9-485B-43D4-B5CE-FA2A60EB53D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7" name="Host Control  534" hidden="1">
          <a:extLst>
            <a:ext uri="{FF2B5EF4-FFF2-40B4-BE49-F238E27FC236}">
              <a16:creationId xmlns:a16="http://schemas.microsoft.com/office/drawing/2014/main" id="{BA613E1B-3C45-4A38-8968-EDF3484F4F9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8" name="Host Control  535" hidden="1">
          <a:extLst>
            <a:ext uri="{FF2B5EF4-FFF2-40B4-BE49-F238E27FC236}">
              <a16:creationId xmlns:a16="http://schemas.microsoft.com/office/drawing/2014/main" id="{224D771A-CEF1-4314-920E-643B43462F9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9" name="Host Control  536" hidden="1">
          <a:extLst>
            <a:ext uri="{FF2B5EF4-FFF2-40B4-BE49-F238E27FC236}">
              <a16:creationId xmlns:a16="http://schemas.microsoft.com/office/drawing/2014/main" id="{D544C347-9C7C-4E02-9970-D3346B84F4F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0" name="Host Control  537" hidden="1">
          <a:extLst>
            <a:ext uri="{FF2B5EF4-FFF2-40B4-BE49-F238E27FC236}">
              <a16:creationId xmlns:a16="http://schemas.microsoft.com/office/drawing/2014/main" id="{57F31D47-F6C8-461E-A571-81587D069DB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1" name="Host Control  538" hidden="1">
          <a:extLst>
            <a:ext uri="{FF2B5EF4-FFF2-40B4-BE49-F238E27FC236}">
              <a16:creationId xmlns:a16="http://schemas.microsoft.com/office/drawing/2014/main" id="{0F2357C8-9A63-4F26-BA64-247E6760C6D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2" name="Host Control  539" hidden="1">
          <a:extLst>
            <a:ext uri="{FF2B5EF4-FFF2-40B4-BE49-F238E27FC236}">
              <a16:creationId xmlns:a16="http://schemas.microsoft.com/office/drawing/2014/main" id="{11D0250A-B0C7-4085-88A3-ABA660B2484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3" name="Host Control  540" hidden="1">
          <a:extLst>
            <a:ext uri="{FF2B5EF4-FFF2-40B4-BE49-F238E27FC236}">
              <a16:creationId xmlns:a16="http://schemas.microsoft.com/office/drawing/2014/main" id="{59003629-219F-4495-8569-16CDF41EB99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4" name="Host Control  541" hidden="1">
          <a:extLst>
            <a:ext uri="{FF2B5EF4-FFF2-40B4-BE49-F238E27FC236}">
              <a16:creationId xmlns:a16="http://schemas.microsoft.com/office/drawing/2014/main" id="{F4CF4A33-CFEC-4C25-A045-2BD0448833CA}"/>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5" name="Host Control  542" hidden="1">
          <a:extLst>
            <a:ext uri="{FF2B5EF4-FFF2-40B4-BE49-F238E27FC236}">
              <a16:creationId xmlns:a16="http://schemas.microsoft.com/office/drawing/2014/main" id="{4F8E86E2-5B6A-4258-87E2-9BB8E38A217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6" name="Host Control  543" hidden="1">
          <a:extLst>
            <a:ext uri="{FF2B5EF4-FFF2-40B4-BE49-F238E27FC236}">
              <a16:creationId xmlns:a16="http://schemas.microsoft.com/office/drawing/2014/main" id="{4E7DC30E-9E6A-4099-82A8-51D0F756BBB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7" name="Host Control  544" hidden="1">
          <a:extLst>
            <a:ext uri="{FF2B5EF4-FFF2-40B4-BE49-F238E27FC236}">
              <a16:creationId xmlns:a16="http://schemas.microsoft.com/office/drawing/2014/main" id="{58B7563B-1BF7-4712-9F73-138C1D21D97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8" name="Host Control  545" hidden="1">
          <a:extLst>
            <a:ext uri="{FF2B5EF4-FFF2-40B4-BE49-F238E27FC236}">
              <a16:creationId xmlns:a16="http://schemas.microsoft.com/office/drawing/2014/main" id="{C144591F-0F9C-47FD-BEF4-60ABE56BB1E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9" name="Host Control  583" hidden="1">
          <a:extLst>
            <a:ext uri="{FF2B5EF4-FFF2-40B4-BE49-F238E27FC236}">
              <a16:creationId xmlns:a16="http://schemas.microsoft.com/office/drawing/2014/main" id="{D057BF12-79CE-4822-A44D-D2A18FD5D51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0" name="Host Control  584" hidden="1">
          <a:extLst>
            <a:ext uri="{FF2B5EF4-FFF2-40B4-BE49-F238E27FC236}">
              <a16:creationId xmlns:a16="http://schemas.microsoft.com/office/drawing/2014/main" id="{1DF9C91C-38AB-43ED-8FC9-BF1A232445B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1" name="Host Control  585" hidden="1">
          <a:extLst>
            <a:ext uri="{FF2B5EF4-FFF2-40B4-BE49-F238E27FC236}">
              <a16:creationId xmlns:a16="http://schemas.microsoft.com/office/drawing/2014/main" id="{D54F0CD0-0F99-435F-ABA1-1E204F80FA3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2" name="Host Control  586" hidden="1">
          <a:extLst>
            <a:ext uri="{FF2B5EF4-FFF2-40B4-BE49-F238E27FC236}">
              <a16:creationId xmlns:a16="http://schemas.microsoft.com/office/drawing/2014/main" id="{1ACD2AEC-18A3-4D25-8883-6AD1DF8E9CE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3" name="Host Control  587" hidden="1">
          <a:extLst>
            <a:ext uri="{FF2B5EF4-FFF2-40B4-BE49-F238E27FC236}">
              <a16:creationId xmlns:a16="http://schemas.microsoft.com/office/drawing/2014/main" id="{469377E0-E5E3-4401-B1AD-9147F74910B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4" name="Host Control  588" hidden="1">
          <a:extLst>
            <a:ext uri="{FF2B5EF4-FFF2-40B4-BE49-F238E27FC236}">
              <a16:creationId xmlns:a16="http://schemas.microsoft.com/office/drawing/2014/main" id="{E77E5CB9-B9C6-4EB3-9D2F-90CB94F8A4F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5" name="Host Control  589" hidden="1">
          <a:extLst>
            <a:ext uri="{FF2B5EF4-FFF2-40B4-BE49-F238E27FC236}">
              <a16:creationId xmlns:a16="http://schemas.microsoft.com/office/drawing/2014/main" id="{D22ECBCC-AFC8-402B-8C1E-2DE063FC4DC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6" name="Host Control  590" hidden="1">
          <a:extLst>
            <a:ext uri="{FF2B5EF4-FFF2-40B4-BE49-F238E27FC236}">
              <a16:creationId xmlns:a16="http://schemas.microsoft.com/office/drawing/2014/main" id="{BAAE5D15-3E3B-4AA8-8772-4FC357B157A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7" name="Host Control  591" hidden="1">
          <a:extLst>
            <a:ext uri="{FF2B5EF4-FFF2-40B4-BE49-F238E27FC236}">
              <a16:creationId xmlns:a16="http://schemas.microsoft.com/office/drawing/2014/main" id="{5DA253A4-178A-45EE-8BD2-844FC5BCCA0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8" name="Host Control  592" hidden="1">
          <a:extLst>
            <a:ext uri="{FF2B5EF4-FFF2-40B4-BE49-F238E27FC236}">
              <a16:creationId xmlns:a16="http://schemas.microsoft.com/office/drawing/2014/main" id="{8A4B5241-6679-4824-BB6D-73CD1804517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9" name="Host Control  593" hidden="1">
          <a:extLst>
            <a:ext uri="{FF2B5EF4-FFF2-40B4-BE49-F238E27FC236}">
              <a16:creationId xmlns:a16="http://schemas.microsoft.com/office/drawing/2014/main" id="{FC3FD811-13B4-47F7-9F54-25D514C24F9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0" name="Host Control  594" hidden="1">
          <a:extLst>
            <a:ext uri="{FF2B5EF4-FFF2-40B4-BE49-F238E27FC236}">
              <a16:creationId xmlns:a16="http://schemas.microsoft.com/office/drawing/2014/main" id="{E5EA46DB-865B-4DBA-AE9C-4920D6070CD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1" name="Host Control  595" hidden="1">
          <a:extLst>
            <a:ext uri="{FF2B5EF4-FFF2-40B4-BE49-F238E27FC236}">
              <a16:creationId xmlns:a16="http://schemas.microsoft.com/office/drawing/2014/main" id="{A70F6949-C979-48CF-A406-4A96735FCD8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2" name="Host Control  596" hidden="1">
          <a:extLst>
            <a:ext uri="{FF2B5EF4-FFF2-40B4-BE49-F238E27FC236}">
              <a16:creationId xmlns:a16="http://schemas.microsoft.com/office/drawing/2014/main" id="{B3932CD0-D89D-4225-A510-91902FF42E1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3" name="Host Control  597" hidden="1">
          <a:extLst>
            <a:ext uri="{FF2B5EF4-FFF2-40B4-BE49-F238E27FC236}">
              <a16:creationId xmlns:a16="http://schemas.microsoft.com/office/drawing/2014/main" id="{7E2995DE-57C2-4388-82FC-CA85C0780DB8}"/>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4" name="Host Control  598" hidden="1">
          <a:extLst>
            <a:ext uri="{FF2B5EF4-FFF2-40B4-BE49-F238E27FC236}">
              <a16:creationId xmlns:a16="http://schemas.microsoft.com/office/drawing/2014/main" id="{817DC0AB-54A2-4B87-A5EB-6100D6F8FCA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5" name="Host Control  599" hidden="1">
          <a:extLst>
            <a:ext uri="{FF2B5EF4-FFF2-40B4-BE49-F238E27FC236}">
              <a16:creationId xmlns:a16="http://schemas.microsoft.com/office/drawing/2014/main" id="{55A84FED-8315-4D81-8714-5DB23E55327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6" name="Host Control  600" hidden="1">
          <a:extLst>
            <a:ext uri="{FF2B5EF4-FFF2-40B4-BE49-F238E27FC236}">
              <a16:creationId xmlns:a16="http://schemas.microsoft.com/office/drawing/2014/main" id="{75284056-1AC4-4C27-85D0-92C50C9D2BE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7" name="Host Control  601" hidden="1">
          <a:extLst>
            <a:ext uri="{FF2B5EF4-FFF2-40B4-BE49-F238E27FC236}">
              <a16:creationId xmlns:a16="http://schemas.microsoft.com/office/drawing/2014/main" id="{4B881911-16EF-4FB3-8883-9A78612D9F2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8" name="Host Control  602" hidden="1">
          <a:extLst>
            <a:ext uri="{FF2B5EF4-FFF2-40B4-BE49-F238E27FC236}">
              <a16:creationId xmlns:a16="http://schemas.microsoft.com/office/drawing/2014/main" id="{4EA31BED-A003-4AAA-8744-025A120A468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9" name="Host Control  603" hidden="1">
          <a:extLst>
            <a:ext uri="{FF2B5EF4-FFF2-40B4-BE49-F238E27FC236}">
              <a16:creationId xmlns:a16="http://schemas.microsoft.com/office/drawing/2014/main" id="{780F2B72-EC65-4256-BD76-D2B7AD8A381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0" name="Host Control  604" hidden="1">
          <a:extLst>
            <a:ext uri="{FF2B5EF4-FFF2-40B4-BE49-F238E27FC236}">
              <a16:creationId xmlns:a16="http://schemas.microsoft.com/office/drawing/2014/main" id="{EE5D95F5-92CB-42B8-82EC-6C4D2743842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1" name="Host Control  605" hidden="1">
          <a:extLst>
            <a:ext uri="{FF2B5EF4-FFF2-40B4-BE49-F238E27FC236}">
              <a16:creationId xmlns:a16="http://schemas.microsoft.com/office/drawing/2014/main" id="{3853B185-6BD4-4D08-8616-1014C505CC0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2" name="Host Control  606" hidden="1">
          <a:extLst>
            <a:ext uri="{FF2B5EF4-FFF2-40B4-BE49-F238E27FC236}">
              <a16:creationId xmlns:a16="http://schemas.microsoft.com/office/drawing/2014/main" id="{7522A7F7-4BA2-4FF6-B8BE-822EC0E02A5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3" name="Host Control  607" hidden="1">
          <a:extLst>
            <a:ext uri="{FF2B5EF4-FFF2-40B4-BE49-F238E27FC236}">
              <a16:creationId xmlns:a16="http://schemas.microsoft.com/office/drawing/2014/main" id="{8C4AD58E-475E-490A-AD6D-422F5696E17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4" name="Host Control  608" hidden="1">
          <a:extLst>
            <a:ext uri="{FF2B5EF4-FFF2-40B4-BE49-F238E27FC236}">
              <a16:creationId xmlns:a16="http://schemas.microsoft.com/office/drawing/2014/main" id="{EA8686D8-106C-4F9F-B829-FECE98C1B81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5" name="Host Control  609" hidden="1">
          <a:extLst>
            <a:ext uri="{FF2B5EF4-FFF2-40B4-BE49-F238E27FC236}">
              <a16:creationId xmlns:a16="http://schemas.microsoft.com/office/drawing/2014/main" id="{828FFF52-2F52-4110-9A11-02A4B36B07B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6" name="Host Control  610" hidden="1">
          <a:extLst>
            <a:ext uri="{FF2B5EF4-FFF2-40B4-BE49-F238E27FC236}">
              <a16:creationId xmlns:a16="http://schemas.microsoft.com/office/drawing/2014/main" id="{D99D706F-93DC-42B7-B1EF-FC1B3B59CEB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7" name="Host Control  611" hidden="1">
          <a:extLst>
            <a:ext uri="{FF2B5EF4-FFF2-40B4-BE49-F238E27FC236}">
              <a16:creationId xmlns:a16="http://schemas.microsoft.com/office/drawing/2014/main" id="{707EBA1E-C160-4E9E-8F06-BDC78EEFAAB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38" name="Host Control  483" hidden="1">
          <a:extLst>
            <a:ext uri="{FF2B5EF4-FFF2-40B4-BE49-F238E27FC236}">
              <a16:creationId xmlns:a16="http://schemas.microsoft.com/office/drawing/2014/main" id="{C699A38D-1D2B-4905-8DF5-5EF09C671AC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39" name="Host Control  484" hidden="1">
          <a:extLst>
            <a:ext uri="{FF2B5EF4-FFF2-40B4-BE49-F238E27FC236}">
              <a16:creationId xmlns:a16="http://schemas.microsoft.com/office/drawing/2014/main" id="{3865D533-D4B5-450B-962F-B0D8D96D041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0" name="Host Control  485" hidden="1">
          <a:extLst>
            <a:ext uri="{FF2B5EF4-FFF2-40B4-BE49-F238E27FC236}">
              <a16:creationId xmlns:a16="http://schemas.microsoft.com/office/drawing/2014/main" id="{4B4E46A5-8246-4E3A-9397-6FA8959BFB7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1" name="Host Control  486" hidden="1">
          <a:extLst>
            <a:ext uri="{FF2B5EF4-FFF2-40B4-BE49-F238E27FC236}">
              <a16:creationId xmlns:a16="http://schemas.microsoft.com/office/drawing/2014/main" id="{1E87AAC9-6317-4F2D-923E-E7DF08FD175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2" name="Host Control  487" hidden="1">
          <a:extLst>
            <a:ext uri="{FF2B5EF4-FFF2-40B4-BE49-F238E27FC236}">
              <a16:creationId xmlns:a16="http://schemas.microsoft.com/office/drawing/2014/main" id="{13441FDD-8F0F-48D9-AE39-6CFB5D101C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3" name="Host Control  488" hidden="1">
          <a:extLst>
            <a:ext uri="{FF2B5EF4-FFF2-40B4-BE49-F238E27FC236}">
              <a16:creationId xmlns:a16="http://schemas.microsoft.com/office/drawing/2014/main" id="{093E9486-9CC3-4A20-A1E5-994C58EA07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4" name="Host Control  489" hidden="1">
          <a:extLst>
            <a:ext uri="{FF2B5EF4-FFF2-40B4-BE49-F238E27FC236}">
              <a16:creationId xmlns:a16="http://schemas.microsoft.com/office/drawing/2014/main" id="{B96CBFE1-4514-46D6-9E48-D32EBFEB1BB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5" name="Host Control  490" hidden="1">
          <a:extLst>
            <a:ext uri="{FF2B5EF4-FFF2-40B4-BE49-F238E27FC236}">
              <a16:creationId xmlns:a16="http://schemas.microsoft.com/office/drawing/2014/main" id="{C1379C8A-34F3-4F0B-A8DF-B931DE47743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6" name="Host Control  491" hidden="1">
          <a:extLst>
            <a:ext uri="{FF2B5EF4-FFF2-40B4-BE49-F238E27FC236}">
              <a16:creationId xmlns:a16="http://schemas.microsoft.com/office/drawing/2014/main" id="{42094F48-F48C-46C3-8586-847D542E00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7" name="Host Control  492" hidden="1">
          <a:extLst>
            <a:ext uri="{FF2B5EF4-FFF2-40B4-BE49-F238E27FC236}">
              <a16:creationId xmlns:a16="http://schemas.microsoft.com/office/drawing/2014/main" id="{971590C3-45F4-4764-87D3-41040277E70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8" name="Host Control  493" hidden="1">
          <a:extLst>
            <a:ext uri="{FF2B5EF4-FFF2-40B4-BE49-F238E27FC236}">
              <a16:creationId xmlns:a16="http://schemas.microsoft.com/office/drawing/2014/main" id="{AA54AE3F-2855-4570-BAB7-A18ED8CEEA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9" name="Host Control  494" hidden="1">
          <a:extLst>
            <a:ext uri="{FF2B5EF4-FFF2-40B4-BE49-F238E27FC236}">
              <a16:creationId xmlns:a16="http://schemas.microsoft.com/office/drawing/2014/main" id="{C0203D5A-7F91-4E2A-8F64-A60D4DAD09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0" name="Host Control  495" hidden="1">
          <a:extLst>
            <a:ext uri="{FF2B5EF4-FFF2-40B4-BE49-F238E27FC236}">
              <a16:creationId xmlns:a16="http://schemas.microsoft.com/office/drawing/2014/main" id="{FF9B2E09-D84C-4472-A402-3A344AFDCE8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1" name="Host Control  496" hidden="1">
          <a:extLst>
            <a:ext uri="{FF2B5EF4-FFF2-40B4-BE49-F238E27FC236}">
              <a16:creationId xmlns:a16="http://schemas.microsoft.com/office/drawing/2014/main" id="{CF40203E-796F-4D4E-9AB3-FFDE2EEEBDE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2" name="Host Control  497" hidden="1">
          <a:extLst>
            <a:ext uri="{FF2B5EF4-FFF2-40B4-BE49-F238E27FC236}">
              <a16:creationId xmlns:a16="http://schemas.microsoft.com/office/drawing/2014/main" id="{2E400357-EDCE-4A9E-8952-5B44B1488C6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3" name="Host Control  498" hidden="1">
          <a:extLst>
            <a:ext uri="{FF2B5EF4-FFF2-40B4-BE49-F238E27FC236}">
              <a16:creationId xmlns:a16="http://schemas.microsoft.com/office/drawing/2014/main" id="{06FD7C34-B3D1-4260-98B1-4B75F2C75F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4" name="Host Control  499" hidden="1">
          <a:extLst>
            <a:ext uri="{FF2B5EF4-FFF2-40B4-BE49-F238E27FC236}">
              <a16:creationId xmlns:a16="http://schemas.microsoft.com/office/drawing/2014/main" id="{785E735D-11DE-4DA9-AB2E-531EC0A1663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5" name="Host Control  500" hidden="1">
          <a:extLst>
            <a:ext uri="{FF2B5EF4-FFF2-40B4-BE49-F238E27FC236}">
              <a16:creationId xmlns:a16="http://schemas.microsoft.com/office/drawing/2014/main" id="{B920DA90-7E25-4649-88A9-86A1FCE507E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6" name="Host Control  501" hidden="1">
          <a:extLst>
            <a:ext uri="{FF2B5EF4-FFF2-40B4-BE49-F238E27FC236}">
              <a16:creationId xmlns:a16="http://schemas.microsoft.com/office/drawing/2014/main" id="{E25BD167-03A9-4E09-BB48-62AE61016E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7" name="Host Control  502" hidden="1">
          <a:extLst>
            <a:ext uri="{FF2B5EF4-FFF2-40B4-BE49-F238E27FC236}">
              <a16:creationId xmlns:a16="http://schemas.microsoft.com/office/drawing/2014/main" id="{1A61F528-02D1-4FD4-9C3F-71D8F1F31E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8" name="Host Control  503" hidden="1">
          <a:extLst>
            <a:ext uri="{FF2B5EF4-FFF2-40B4-BE49-F238E27FC236}">
              <a16:creationId xmlns:a16="http://schemas.microsoft.com/office/drawing/2014/main" id="{215BA7C0-4DA7-408B-9823-70502378D5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9" name="Host Control  504" hidden="1">
          <a:extLst>
            <a:ext uri="{FF2B5EF4-FFF2-40B4-BE49-F238E27FC236}">
              <a16:creationId xmlns:a16="http://schemas.microsoft.com/office/drawing/2014/main" id="{8C3C7F00-B930-47D6-88EF-FA6C2C38B57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0" name="Host Control  505" hidden="1">
          <a:extLst>
            <a:ext uri="{FF2B5EF4-FFF2-40B4-BE49-F238E27FC236}">
              <a16:creationId xmlns:a16="http://schemas.microsoft.com/office/drawing/2014/main" id="{EFBCC2D6-5BA1-4765-9385-0EFDE1CEC58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1" name="Host Control  506" hidden="1">
          <a:extLst>
            <a:ext uri="{FF2B5EF4-FFF2-40B4-BE49-F238E27FC236}">
              <a16:creationId xmlns:a16="http://schemas.microsoft.com/office/drawing/2014/main" id="{5E4B9D69-1860-4531-815E-F287437B5C6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2" name="Host Control  507" hidden="1">
          <a:extLst>
            <a:ext uri="{FF2B5EF4-FFF2-40B4-BE49-F238E27FC236}">
              <a16:creationId xmlns:a16="http://schemas.microsoft.com/office/drawing/2014/main" id="{3D3A04D4-098F-4E8D-B1C1-C231435B3AD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3" name="Host Control  508" hidden="1">
          <a:extLst>
            <a:ext uri="{FF2B5EF4-FFF2-40B4-BE49-F238E27FC236}">
              <a16:creationId xmlns:a16="http://schemas.microsoft.com/office/drawing/2014/main" id="{03CE389B-2F05-4D5A-916F-367229AB3C3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4" name="Host Control  509" hidden="1">
          <a:extLst>
            <a:ext uri="{FF2B5EF4-FFF2-40B4-BE49-F238E27FC236}">
              <a16:creationId xmlns:a16="http://schemas.microsoft.com/office/drawing/2014/main" id="{58A3106F-1275-4AEB-AF78-C8ED2CE6E4A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5" name="Host Control  510" hidden="1">
          <a:extLst>
            <a:ext uri="{FF2B5EF4-FFF2-40B4-BE49-F238E27FC236}">
              <a16:creationId xmlns:a16="http://schemas.microsoft.com/office/drawing/2014/main" id="{0CA862D1-1433-4BD0-B9B9-E4067A15BF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6" name="Host Control  511" hidden="1">
          <a:extLst>
            <a:ext uri="{FF2B5EF4-FFF2-40B4-BE49-F238E27FC236}">
              <a16:creationId xmlns:a16="http://schemas.microsoft.com/office/drawing/2014/main" id="{0911BFA5-0AC7-407D-848E-2D512FC2711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7" name="Host Control  512" hidden="1">
          <a:extLst>
            <a:ext uri="{FF2B5EF4-FFF2-40B4-BE49-F238E27FC236}">
              <a16:creationId xmlns:a16="http://schemas.microsoft.com/office/drawing/2014/main" id="{5F18B7CD-171E-4FDB-9E21-F70ACAE7D4C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68" name="Host Control  517" hidden="1">
          <a:extLst>
            <a:ext uri="{FF2B5EF4-FFF2-40B4-BE49-F238E27FC236}">
              <a16:creationId xmlns:a16="http://schemas.microsoft.com/office/drawing/2014/main" id="{C2C135FE-9040-4436-B0E1-84B998B5F90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69" name="Host Control  518" hidden="1">
          <a:extLst>
            <a:ext uri="{FF2B5EF4-FFF2-40B4-BE49-F238E27FC236}">
              <a16:creationId xmlns:a16="http://schemas.microsoft.com/office/drawing/2014/main" id="{19D03148-2E29-4390-B556-171B94AECB8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0" name="Host Control  519" hidden="1">
          <a:extLst>
            <a:ext uri="{FF2B5EF4-FFF2-40B4-BE49-F238E27FC236}">
              <a16:creationId xmlns:a16="http://schemas.microsoft.com/office/drawing/2014/main" id="{C6B28643-6546-458E-974E-01D42DE7241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1" name="Host Control  520" hidden="1">
          <a:extLst>
            <a:ext uri="{FF2B5EF4-FFF2-40B4-BE49-F238E27FC236}">
              <a16:creationId xmlns:a16="http://schemas.microsoft.com/office/drawing/2014/main" id="{ED141E0D-054A-41BE-A1FF-480FF25F48C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2" name="Host Control  521" hidden="1">
          <a:extLst>
            <a:ext uri="{FF2B5EF4-FFF2-40B4-BE49-F238E27FC236}">
              <a16:creationId xmlns:a16="http://schemas.microsoft.com/office/drawing/2014/main" id="{2A211074-77D0-441E-A970-63B681C79F1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3" name="Host Control  522" hidden="1">
          <a:extLst>
            <a:ext uri="{FF2B5EF4-FFF2-40B4-BE49-F238E27FC236}">
              <a16:creationId xmlns:a16="http://schemas.microsoft.com/office/drawing/2014/main" id="{20BEFF0A-3DC7-4E9F-99B3-A38CD6BBB6B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4" name="Host Control  523" hidden="1">
          <a:extLst>
            <a:ext uri="{FF2B5EF4-FFF2-40B4-BE49-F238E27FC236}">
              <a16:creationId xmlns:a16="http://schemas.microsoft.com/office/drawing/2014/main" id="{CCBFF6E4-8A6B-45D2-9C92-51BDA9BE228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5" name="Host Control  524" hidden="1">
          <a:extLst>
            <a:ext uri="{FF2B5EF4-FFF2-40B4-BE49-F238E27FC236}">
              <a16:creationId xmlns:a16="http://schemas.microsoft.com/office/drawing/2014/main" id="{67545987-2834-4F09-8E3E-81D9C279C7D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6" name="Host Control  525" hidden="1">
          <a:extLst>
            <a:ext uri="{FF2B5EF4-FFF2-40B4-BE49-F238E27FC236}">
              <a16:creationId xmlns:a16="http://schemas.microsoft.com/office/drawing/2014/main" id="{52D5AE2B-778C-4E65-AEA4-6FD4D28B31A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7" name="Host Control  526" hidden="1">
          <a:extLst>
            <a:ext uri="{FF2B5EF4-FFF2-40B4-BE49-F238E27FC236}">
              <a16:creationId xmlns:a16="http://schemas.microsoft.com/office/drawing/2014/main" id="{6481387B-B0C5-45C3-BDDF-5385C8D682B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8" name="Host Control  527" hidden="1">
          <a:extLst>
            <a:ext uri="{FF2B5EF4-FFF2-40B4-BE49-F238E27FC236}">
              <a16:creationId xmlns:a16="http://schemas.microsoft.com/office/drawing/2014/main" id="{3C117638-AF32-419E-9100-150916E1DD6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9" name="Host Control  528" hidden="1">
          <a:extLst>
            <a:ext uri="{FF2B5EF4-FFF2-40B4-BE49-F238E27FC236}">
              <a16:creationId xmlns:a16="http://schemas.microsoft.com/office/drawing/2014/main" id="{0EC66C00-F40B-4DB2-A841-AF2371318FE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0" name="Host Control  529" hidden="1">
          <a:extLst>
            <a:ext uri="{FF2B5EF4-FFF2-40B4-BE49-F238E27FC236}">
              <a16:creationId xmlns:a16="http://schemas.microsoft.com/office/drawing/2014/main" id="{F53615FC-77FC-492F-BD53-93561D6917C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1" name="Host Control  530" hidden="1">
          <a:extLst>
            <a:ext uri="{FF2B5EF4-FFF2-40B4-BE49-F238E27FC236}">
              <a16:creationId xmlns:a16="http://schemas.microsoft.com/office/drawing/2014/main" id="{7B948F97-D5CE-467E-BFCB-8066E21ADF6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2" name="Host Control  531" hidden="1">
          <a:extLst>
            <a:ext uri="{FF2B5EF4-FFF2-40B4-BE49-F238E27FC236}">
              <a16:creationId xmlns:a16="http://schemas.microsoft.com/office/drawing/2014/main" id="{5FC26D7B-B9B2-4210-A55D-E9564BD8552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3" name="Host Control  532" hidden="1">
          <a:extLst>
            <a:ext uri="{FF2B5EF4-FFF2-40B4-BE49-F238E27FC236}">
              <a16:creationId xmlns:a16="http://schemas.microsoft.com/office/drawing/2014/main" id="{F293D7C9-F62A-4090-A043-41518D1CDE1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4" name="Host Control  533" hidden="1">
          <a:extLst>
            <a:ext uri="{FF2B5EF4-FFF2-40B4-BE49-F238E27FC236}">
              <a16:creationId xmlns:a16="http://schemas.microsoft.com/office/drawing/2014/main" id="{566F207D-CFA8-4C65-80D0-89CE620577CE}"/>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5" name="Host Control  534" hidden="1">
          <a:extLst>
            <a:ext uri="{FF2B5EF4-FFF2-40B4-BE49-F238E27FC236}">
              <a16:creationId xmlns:a16="http://schemas.microsoft.com/office/drawing/2014/main" id="{14AB0A93-816A-4AB5-AE14-6F570EBF50F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6" name="Host Control  535" hidden="1">
          <a:extLst>
            <a:ext uri="{FF2B5EF4-FFF2-40B4-BE49-F238E27FC236}">
              <a16:creationId xmlns:a16="http://schemas.microsoft.com/office/drawing/2014/main" id="{DC43D7FE-A420-4D41-A82D-CC773FDE733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7" name="Host Control  536" hidden="1">
          <a:extLst>
            <a:ext uri="{FF2B5EF4-FFF2-40B4-BE49-F238E27FC236}">
              <a16:creationId xmlns:a16="http://schemas.microsoft.com/office/drawing/2014/main" id="{FDD3C604-2020-4DF0-BAC9-6CEA5A0E167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8" name="Host Control  537" hidden="1">
          <a:extLst>
            <a:ext uri="{FF2B5EF4-FFF2-40B4-BE49-F238E27FC236}">
              <a16:creationId xmlns:a16="http://schemas.microsoft.com/office/drawing/2014/main" id="{FAEB767C-F91A-430B-B9CC-D91F98DEE87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9" name="Host Control  538" hidden="1">
          <a:extLst>
            <a:ext uri="{FF2B5EF4-FFF2-40B4-BE49-F238E27FC236}">
              <a16:creationId xmlns:a16="http://schemas.microsoft.com/office/drawing/2014/main" id="{035710C9-9213-4EED-B5CB-CC21F813420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0" name="Host Control  539" hidden="1">
          <a:extLst>
            <a:ext uri="{FF2B5EF4-FFF2-40B4-BE49-F238E27FC236}">
              <a16:creationId xmlns:a16="http://schemas.microsoft.com/office/drawing/2014/main" id="{F95FE3AA-0BF9-4801-BEE6-000DA670AA4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1" name="Host Control  540" hidden="1">
          <a:extLst>
            <a:ext uri="{FF2B5EF4-FFF2-40B4-BE49-F238E27FC236}">
              <a16:creationId xmlns:a16="http://schemas.microsoft.com/office/drawing/2014/main" id="{0E9E2356-12DF-4F24-A6D8-B358188ABFB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2" name="Host Control  541" hidden="1">
          <a:extLst>
            <a:ext uri="{FF2B5EF4-FFF2-40B4-BE49-F238E27FC236}">
              <a16:creationId xmlns:a16="http://schemas.microsoft.com/office/drawing/2014/main" id="{02417D23-AA51-4370-AFC5-C2C59614497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3" name="Host Control  542" hidden="1">
          <a:extLst>
            <a:ext uri="{FF2B5EF4-FFF2-40B4-BE49-F238E27FC236}">
              <a16:creationId xmlns:a16="http://schemas.microsoft.com/office/drawing/2014/main" id="{69B28E10-1661-4FF6-A728-F10CE3D412F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4" name="Host Control  543" hidden="1">
          <a:extLst>
            <a:ext uri="{FF2B5EF4-FFF2-40B4-BE49-F238E27FC236}">
              <a16:creationId xmlns:a16="http://schemas.microsoft.com/office/drawing/2014/main" id="{FA77446C-947A-4245-A603-ACE0C6A40099}"/>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5" name="Host Control  544" hidden="1">
          <a:extLst>
            <a:ext uri="{FF2B5EF4-FFF2-40B4-BE49-F238E27FC236}">
              <a16:creationId xmlns:a16="http://schemas.microsoft.com/office/drawing/2014/main" id="{2A2A1CC6-6329-4561-B174-C6E1E7469D0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6" name="Host Control  545" hidden="1">
          <a:extLst>
            <a:ext uri="{FF2B5EF4-FFF2-40B4-BE49-F238E27FC236}">
              <a16:creationId xmlns:a16="http://schemas.microsoft.com/office/drawing/2014/main" id="{45D73398-11E3-42BE-9404-7A9F4524A13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7" name="Host Control  583" hidden="1">
          <a:extLst>
            <a:ext uri="{FF2B5EF4-FFF2-40B4-BE49-F238E27FC236}">
              <a16:creationId xmlns:a16="http://schemas.microsoft.com/office/drawing/2014/main" id="{0E9ACE12-54EA-458F-8375-192BA56D36E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8" name="Host Control  584" hidden="1">
          <a:extLst>
            <a:ext uri="{FF2B5EF4-FFF2-40B4-BE49-F238E27FC236}">
              <a16:creationId xmlns:a16="http://schemas.microsoft.com/office/drawing/2014/main" id="{854F764F-4BED-423D-AA14-FFDC1B99777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9" name="Host Control  585" hidden="1">
          <a:extLst>
            <a:ext uri="{FF2B5EF4-FFF2-40B4-BE49-F238E27FC236}">
              <a16:creationId xmlns:a16="http://schemas.microsoft.com/office/drawing/2014/main" id="{A02A570D-B102-4310-9891-B1702DF5C60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0" name="Host Control  586" hidden="1">
          <a:extLst>
            <a:ext uri="{FF2B5EF4-FFF2-40B4-BE49-F238E27FC236}">
              <a16:creationId xmlns:a16="http://schemas.microsoft.com/office/drawing/2014/main" id="{6EE4A394-A958-4098-A04F-1410E262D4A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1" name="Host Control  587" hidden="1">
          <a:extLst>
            <a:ext uri="{FF2B5EF4-FFF2-40B4-BE49-F238E27FC236}">
              <a16:creationId xmlns:a16="http://schemas.microsoft.com/office/drawing/2014/main" id="{A9F0711C-B87D-4150-8DD0-DBCDFF44B519}"/>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2" name="Host Control  588" hidden="1">
          <a:extLst>
            <a:ext uri="{FF2B5EF4-FFF2-40B4-BE49-F238E27FC236}">
              <a16:creationId xmlns:a16="http://schemas.microsoft.com/office/drawing/2014/main" id="{6DF12B2A-74BA-486E-8E97-3BD6981EE4E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3" name="Host Control  589" hidden="1">
          <a:extLst>
            <a:ext uri="{FF2B5EF4-FFF2-40B4-BE49-F238E27FC236}">
              <a16:creationId xmlns:a16="http://schemas.microsoft.com/office/drawing/2014/main" id="{BBE4E1AE-9B9A-44E6-A70D-A0852CF4FD30}"/>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4" name="Host Control  590" hidden="1">
          <a:extLst>
            <a:ext uri="{FF2B5EF4-FFF2-40B4-BE49-F238E27FC236}">
              <a16:creationId xmlns:a16="http://schemas.microsoft.com/office/drawing/2014/main" id="{7C149B2D-4615-4557-8090-6DAC5D74701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5" name="Host Control  591" hidden="1">
          <a:extLst>
            <a:ext uri="{FF2B5EF4-FFF2-40B4-BE49-F238E27FC236}">
              <a16:creationId xmlns:a16="http://schemas.microsoft.com/office/drawing/2014/main" id="{5B763558-1CD7-4FD3-8B9C-C00FDE3A1884}"/>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6" name="Host Control  592" hidden="1">
          <a:extLst>
            <a:ext uri="{FF2B5EF4-FFF2-40B4-BE49-F238E27FC236}">
              <a16:creationId xmlns:a16="http://schemas.microsoft.com/office/drawing/2014/main" id="{7671E36F-6779-46D5-8F22-06AE64B0627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7" name="Host Control  593" hidden="1">
          <a:extLst>
            <a:ext uri="{FF2B5EF4-FFF2-40B4-BE49-F238E27FC236}">
              <a16:creationId xmlns:a16="http://schemas.microsoft.com/office/drawing/2014/main" id="{9DBC23CE-6EF4-4818-8C8A-08BF3A71C6F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8" name="Host Control  594" hidden="1">
          <a:extLst>
            <a:ext uri="{FF2B5EF4-FFF2-40B4-BE49-F238E27FC236}">
              <a16:creationId xmlns:a16="http://schemas.microsoft.com/office/drawing/2014/main" id="{64DC31F3-11CA-4DE6-B553-64984DE9108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9" name="Host Control  595" hidden="1">
          <a:extLst>
            <a:ext uri="{FF2B5EF4-FFF2-40B4-BE49-F238E27FC236}">
              <a16:creationId xmlns:a16="http://schemas.microsoft.com/office/drawing/2014/main" id="{31974EB8-E1BD-4498-88ED-DCA878ADA28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0" name="Host Control  596" hidden="1">
          <a:extLst>
            <a:ext uri="{FF2B5EF4-FFF2-40B4-BE49-F238E27FC236}">
              <a16:creationId xmlns:a16="http://schemas.microsoft.com/office/drawing/2014/main" id="{0F11B27D-5B05-4728-A8B2-D128125877C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1" name="Host Control  597" hidden="1">
          <a:extLst>
            <a:ext uri="{FF2B5EF4-FFF2-40B4-BE49-F238E27FC236}">
              <a16:creationId xmlns:a16="http://schemas.microsoft.com/office/drawing/2014/main" id="{F27EF02E-57C5-4384-B41B-F3A3E373AA4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2" name="Host Control  598" hidden="1">
          <a:extLst>
            <a:ext uri="{FF2B5EF4-FFF2-40B4-BE49-F238E27FC236}">
              <a16:creationId xmlns:a16="http://schemas.microsoft.com/office/drawing/2014/main" id="{FFBF830D-8988-47AD-B668-004B03F737E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3" name="Host Control  599" hidden="1">
          <a:extLst>
            <a:ext uri="{FF2B5EF4-FFF2-40B4-BE49-F238E27FC236}">
              <a16:creationId xmlns:a16="http://schemas.microsoft.com/office/drawing/2014/main" id="{4B6845E9-9430-4AD8-83FA-4CF4BE724AD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4" name="Host Control  600" hidden="1">
          <a:extLst>
            <a:ext uri="{FF2B5EF4-FFF2-40B4-BE49-F238E27FC236}">
              <a16:creationId xmlns:a16="http://schemas.microsoft.com/office/drawing/2014/main" id="{DBDEEBA1-14C5-47B6-9F02-48B9F033E1C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5" name="Host Control  601" hidden="1">
          <a:extLst>
            <a:ext uri="{FF2B5EF4-FFF2-40B4-BE49-F238E27FC236}">
              <a16:creationId xmlns:a16="http://schemas.microsoft.com/office/drawing/2014/main" id="{F93AF1C1-D91F-4F10-8511-6D83733814B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6" name="Host Control  602" hidden="1">
          <a:extLst>
            <a:ext uri="{FF2B5EF4-FFF2-40B4-BE49-F238E27FC236}">
              <a16:creationId xmlns:a16="http://schemas.microsoft.com/office/drawing/2014/main" id="{315C2ECD-C39D-47A3-9175-B310972535C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7" name="Host Control  603" hidden="1">
          <a:extLst>
            <a:ext uri="{FF2B5EF4-FFF2-40B4-BE49-F238E27FC236}">
              <a16:creationId xmlns:a16="http://schemas.microsoft.com/office/drawing/2014/main" id="{B6BEA146-322E-47E7-8615-857AAABD0A8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8" name="Host Control  604" hidden="1">
          <a:extLst>
            <a:ext uri="{FF2B5EF4-FFF2-40B4-BE49-F238E27FC236}">
              <a16:creationId xmlns:a16="http://schemas.microsoft.com/office/drawing/2014/main" id="{47B8C9E9-E136-4C01-B26E-2EE6D81AA27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9" name="Host Control  605" hidden="1">
          <a:extLst>
            <a:ext uri="{FF2B5EF4-FFF2-40B4-BE49-F238E27FC236}">
              <a16:creationId xmlns:a16="http://schemas.microsoft.com/office/drawing/2014/main" id="{89E4D4D6-7CC0-46AC-9EE5-8B2458C5A0B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0" name="Host Control  606" hidden="1">
          <a:extLst>
            <a:ext uri="{FF2B5EF4-FFF2-40B4-BE49-F238E27FC236}">
              <a16:creationId xmlns:a16="http://schemas.microsoft.com/office/drawing/2014/main" id="{75745DC1-E3E0-47BF-A793-EBF6787CFDD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1" name="Host Control  607" hidden="1">
          <a:extLst>
            <a:ext uri="{FF2B5EF4-FFF2-40B4-BE49-F238E27FC236}">
              <a16:creationId xmlns:a16="http://schemas.microsoft.com/office/drawing/2014/main" id="{A1738307-B8A8-4246-A826-3D114F0FE74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2" name="Host Control  608" hidden="1">
          <a:extLst>
            <a:ext uri="{FF2B5EF4-FFF2-40B4-BE49-F238E27FC236}">
              <a16:creationId xmlns:a16="http://schemas.microsoft.com/office/drawing/2014/main" id="{1A3286FE-E12A-4FFA-A666-2D47F607732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3" name="Host Control  609" hidden="1">
          <a:extLst>
            <a:ext uri="{FF2B5EF4-FFF2-40B4-BE49-F238E27FC236}">
              <a16:creationId xmlns:a16="http://schemas.microsoft.com/office/drawing/2014/main" id="{973D6C87-84DE-4557-BDE9-44FF66254364}"/>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4" name="Host Control  610" hidden="1">
          <a:extLst>
            <a:ext uri="{FF2B5EF4-FFF2-40B4-BE49-F238E27FC236}">
              <a16:creationId xmlns:a16="http://schemas.microsoft.com/office/drawing/2014/main" id="{317BDF38-539E-4034-9E5F-869B985C3CD0}"/>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5" name="Host Control  611" hidden="1">
          <a:extLst>
            <a:ext uri="{FF2B5EF4-FFF2-40B4-BE49-F238E27FC236}">
              <a16:creationId xmlns:a16="http://schemas.microsoft.com/office/drawing/2014/main" id="{FACD7960-6105-49C9-A5B1-AE3C6DBFCAC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oneCellAnchor>
    <xdr:from>
      <xdr:col>1</xdr:col>
      <xdr:colOff>0</xdr:colOff>
      <xdr:row>210</xdr:row>
      <xdr:rowOff>0</xdr:rowOff>
    </xdr:from>
    <xdr:ext cx="1932305" cy="304800"/>
    <xdr:sp macro="" textlink="">
      <xdr:nvSpPr>
        <xdr:cNvPr id="2626" name="Host Control  32" hidden="1">
          <a:extLst>
            <a:ext uri="{FF2B5EF4-FFF2-40B4-BE49-F238E27FC236}">
              <a16:creationId xmlns:a16="http://schemas.microsoft.com/office/drawing/2014/main" id="{FDA88812-AA4A-49A6-816D-6764F737DD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7" name="Host Control  33" hidden="1">
          <a:extLst>
            <a:ext uri="{FF2B5EF4-FFF2-40B4-BE49-F238E27FC236}">
              <a16:creationId xmlns:a16="http://schemas.microsoft.com/office/drawing/2014/main" id="{C60C516D-B6B8-4BD4-9DB8-D4FAC4433D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8" name="Host Control  34" hidden="1">
          <a:extLst>
            <a:ext uri="{FF2B5EF4-FFF2-40B4-BE49-F238E27FC236}">
              <a16:creationId xmlns:a16="http://schemas.microsoft.com/office/drawing/2014/main" id="{FBB2B148-0AAB-42F7-91DD-1D1FB1A7C1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9" name="Host Control  35" hidden="1">
          <a:extLst>
            <a:ext uri="{FF2B5EF4-FFF2-40B4-BE49-F238E27FC236}">
              <a16:creationId xmlns:a16="http://schemas.microsoft.com/office/drawing/2014/main" id="{0E6D7EE1-11C5-4C7D-A626-BB2A810EBE5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0" name="Host Control  36" hidden="1">
          <a:extLst>
            <a:ext uri="{FF2B5EF4-FFF2-40B4-BE49-F238E27FC236}">
              <a16:creationId xmlns:a16="http://schemas.microsoft.com/office/drawing/2014/main" id="{9311625A-0BFB-4CE7-BA0C-337B17A9979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1" name="Host Control  37" hidden="1">
          <a:extLst>
            <a:ext uri="{FF2B5EF4-FFF2-40B4-BE49-F238E27FC236}">
              <a16:creationId xmlns:a16="http://schemas.microsoft.com/office/drawing/2014/main" id="{488A211F-B884-4D4A-9CB9-91727D2B797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2" name="Host Control  38" hidden="1">
          <a:extLst>
            <a:ext uri="{FF2B5EF4-FFF2-40B4-BE49-F238E27FC236}">
              <a16:creationId xmlns:a16="http://schemas.microsoft.com/office/drawing/2014/main" id="{C4E17ED9-F4E5-45DF-AF9C-8F1F1795A0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3" name="Host Control  39" hidden="1">
          <a:extLst>
            <a:ext uri="{FF2B5EF4-FFF2-40B4-BE49-F238E27FC236}">
              <a16:creationId xmlns:a16="http://schemas.microsoft.com/office/drawing/2014/main" id="{32777BA7-7FB3-4178-BC78-2CAE942D46D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4" name="Host Control  40" hidden="1">
          <a:extLst>
            <a:ext uri="{FF2B5EF4-FFF2-40B4-BE49-F238E27FC236}">
              <a16:creationId xmlns:a16="http://schemas.microsoft.com/office/drawing/2014/main" id="{528D4593-BC43-4FDA-9FC4-7072A934E3E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5" name="Host Control  41" hidden="1">
          <a:extLst>
            <a:ext uri="{FF2B5EF4-FFF2-40B4-BE49-F238E27FC236}">
              <a16:creationId xmlns:a16="http://schemas.microsoft.com/office/drawing/2014/main" id="{158C0964-2184-4A65-907B-FA02AAC404E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6" name="Host Control  42" hidden="1">
          <a:extLst>
            <a:ext uri="{FF2B5EF4-FFF2-40B4-BE49-F238E27FC236}">
              <a16:creationId xmlns:a16="http://schemas.microsoft.com/office/drawing/2014/main" id="{87988DA5-8FE0-4FA5-8487-64026003B0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7" name="Host Control  43" hidden="1">
          <a:extLst>
            <a:ext uri="{FF2B5EF4-FFF2-40B4-BE49-F238E27FC236}">
              <a16:creationId xmlns:a16="http://schemas.microsoft.com/office/drawing/2014/main" id="{8721F99B-D867-4DA8-A0C2-9493D6F1E8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8" name="Host Control  44" hidden="1">
          <a:extLst>
            <a:ext uri="{FF2B5EF4-FFF2-40B4-BE49-F238E27FC236}">
              <a16:creationId xmlns:a16="http://schemas.microsoft.com/office/drawing/2014/main" id="{4DB5C20F-AEB8-4FDB-BB42-A8C73C3D78E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9" name="Host Control  45" hidden="1">
          <a:extLst>
            <a:ext uri="{FF2B5EF4-FFF2-40B4-BE49-F238E27FC236}">
              <a16:creationId xmlns:a16="http://schemas.microsoft.com/office/drawing/2014/main" id="{8BE940A5-C56F-4638-92B9-DAFAEEAE063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0" name="Host Control  46" hidden="1">
          <a:extLst>
            <a:ext uri="{FF2B5EF4-FFF2-40B4-BE49-F238E27FC236}">
              <a16:creationId xmlns:a16="http://schemas.microsoft.com/office/drawing/2014/main" id="{4C291EDD-E217-48CA-847D-561E3AC20D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1" name="Host Control  47" hidden="1">
          <a:extLst>
            <a:ext uri="{FF2B5EF4-FFF2-40B4-BE49-F238E27FC236}">
              <a16:creationId xmlns:a16="http://schemas.microsoft.com/office/drawing/2014/main" id="{701B2451-7EB6-4B0E-9F1C-A1B198D549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2" name="Host Control  48" hidden="1">
          <a:extLst>
            <a:ext uri="{FF2B5EF4-FFF2-40B4-BE49-F238E27FC236}">
              <a16:creationId xmlns:a16="http://schemas.microsoft.com/office/drawing/2014/main" id="{E321E04C-C967-45F7-8CE8-87877F5BA13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3" name="Host Control  49" hidden="1">
          <a:extLst>
            <a:ext uri="{FF2B5EF4-FFF2-40B4-BE49-F238E27FC236}">
              <a16:creationId xmlns:a16="http://schemas.microsoft.com/office/drawing/2014/main" id="{F370B8F8-7B23-452F-B886-179D7C5405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4" name="Host Control  50" hidden="1">
          <a:extLst>
            <a:ext uri="{FF2B5EF4-FFF2-40B4-BE49-F238E27FC236}">
              <a16:creationId xmlns:a16="http://schemas.microsoft.com/office/drawing/2014/main" id="{3808EA36-D337-4C80-B1E8-577F4529EDE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5" name="Host Control  51" hidden="1">
          <a:extLst>
            <a:ext uri="{FF2B5EF4-FFF2-40B4-BE49-F238E27FC236}">
              <a16:creationId xmlns:a16="http://schemas.microsoft.com/office/drawing/2014/main" id="{55A7CB36-0648-4209-8A0B-0C480A4FC45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6" name="Host Control  52" hidden="1">
          <a:extLst>
            <a:ext uri="{FF2B5EF4-FFF2-40B4-BE49-F238E27FC236}">
              <a16:creationId xmlns:a16="http://schemas.microsoft.com/office/drawing/2014/main" id="{43D8AD34-7E0B-4343-9937-F31D141466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7" name="Host Control  53" hidden="1">
          <a:extLst>
            <a:ext uri="{FF2B5EF4-FFF2-40B4-BE49-F238E27FC236}">
              <a16:creationId xmlns:a16="http://schemas.microsoft.com/office/drawing/2014/main" id="{CE423151-949D-4057-88F0-19CEC54594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8" name="Host Control  54" hidden="1">
          <a:extLst>
            <a:ext uri="{FF2B5EF4-FFF2-40B4-BE49-F238E27FC236}">
              <a16:creationId xmlns:a16="http://schemas.microsoft.com/office/drawing/2014/main" id="{6D2A2EAC-40EA-4D57-9A9E-2D54FA7E5C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9" name="Host Control  55" hidden="1">
          <a:extLst>
            <a:ext uri="{FF2B5EF4-FFF2-40B4-BE49-F238E27FC236}">
              <a16:creationId xmlns:a16="http://schemas.microsoft.com/office/drawing/2014/main" id="{AABEBFAB-1FFB-49E8-9D06-6D439813AF3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0" name="Host Control  56" hidden="1">
          <a:extLst>
            <a:ext uri="{FF2B5EF4-FFF2-40B4-BE49-F238E27FC236}">
              <a16:creationId xmlns:a16="http://schemas.microsoft.com/office/drawing/2014/main" id="{F50F0AEE-79F6-40BA-8201-96720EC140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1" name="Host Control  57" hidden="1">
          <a:extLst>
            <a:ext uri="{FF2B5EF4-FFF2-40B4-BE49-F238E27FC236}">
              <a16:creationId xmlns:a16="http://schemas.microsoft.com/office/drawing/2014/main" id="{CB60E1A8-ECFB-4601-9382-51520485EFC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2" name="Host Control  58" hidden="1">
          <a:extLst>
            <a:ext uri="{FF2B5EF4-FFF2-40B4-BE49-F238E27FC236}">
              <a16:creationId xmlns:a16="http://schemas.microsoft.com/office/drawing/2014/main" id="{1281CE7A-D119-4B43-A0F9-8F9C661B1B1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3" name="Host Control  59" hidden="1">
          <a:extLst>
            <a:ext uri="{FF2B5EF4-FFF2-40B4-BE49-F238E27FC236}">
              <a16:creationId xmlns:a16="http://schemas.microsoft.com/office/drawing/2014/main" id="{63DB4F56-3C8B-4A45-8F4E-A9A1F92786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4" name="Host Control  60" hidden="1">
          <a:extLst>
            <a:ext uri="{FF2B5EF4-FFF2-40B4-BE49-F238E27FC236}">
              <a16:creationId xmlns:a16="http://schemas.microsoft.com/office/drawing/2014/main" id="{9487B626-FBBC-421E-A5D2-6AF96BD2D5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5" name="Host Control  61" hidden="1">
          <a:extLst>
            <a:ext uri="{FF2B5EF4-FFF2-40B4-BE49-F238E27FC236}">
              <a16:creationId xmlns:a16="http://schemas.microsoft.com/office/drawing/2014/main" id="{D9CC8B9D-9CDC-4358-8BAE-40F4566FFA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6" name="Host Control  65" hidden="1">
          <a:extLst>
            <a:ext uri="{FF2B5EF4-FFF2-40B4-BE49-F238E27FC236}">
              <a16:creationId xmlns:a16="http://schemas.microsoft.com/office/drawing/2014/main" id="{056F6B82-F657-4D48-A153-4071D41B4A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7" name="Host Control  66" hidden="1">
          <a:extLst>
            <a:ext uri="{FF2B5EF4-FFF2-40B4-BE49-F238E27FC236}">
              <a16:creationId xmlns:a16="http://schemas.microsoft.com/office/drawing/2014/main" id="{F530D23C-9A96-45AE-9AD0-A00B62DC7A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8" name="Host Control  67" hidden="1">
          <a:extLst>
            <a:ext uri="{FF2B5EF4-FFF2-40B4-BE49-F238E27FC236}">
              <a16:creationId xmlns:a16="http://schemas.microsoft.com/office/drawing/2014/main" id="{3138DBEF-63F4-4678-B954-8399324131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9" name="Host Control  68" hidden="1">
          <a:extLst>
            <a:ext uri="{FF2B5EF4-FFF2-40B4-BE49-F238E27FC236}">
              <a16:creationId xmlns:a16="http://schemas.microsoft.com/office/drawing/2014/main" id="{5B0A5752-CEFC-4C8F-ACD2-DA19BBB081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0" name="Host Control  69" hidden="1">
          <a:extLst>
            <a:ext uri="{FF2B5EF4-FFF2-40B4-BE49-F238E27FC236}">
              <a16:creationId xmlns:a16="http://schemas.microsoft.com/office/drawing/2014/main" id="{52713C97-9ECA-49D6-A454-4C7BE6E1F25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1" name="Host Control  70" hidden="1">
          <a:extLst>
            <a:ext uri="{FF2B5EF4-FFF2-40B4-BE49-F238E27FC236}">
              <a16:creationId xmlns:a16="http://schemas.microsoft.com/office/drawing/2014/main" id="{F7CDFCA4-C110-41DD-A444-8605935620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2" name="Host Control  71" hidden="1">
          <a:extLst>
            <a:ext uri="{FF2B5EF4-FFF2-40B4-BE49-F238E27FC236}">
              <a16:creationId xmlns:a16="http://schemas.microsoft.com/office/drawing/2014/main" id="{213A1100-AB1B-4BBD-9648-18A59B2919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3" name="Host Control  72" hidden="1">
          <a:extLst>
            <a:ext uri="{FF2B5EF4-FFF2-40B4-BE49-F238E27FC236}">
              <a16:creationId xmlns:a16="http://schemas.microsoft.com/office/drawing/2014/main" id="{715121C5-9F16-4629-9B1D-F8E885066B0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4" name="Host Control  73" hidden="1">
          <a:extLst>
            <a:ext uri="{FF2B5EF4-FFF2-40B4-BE49-F238E27FC236}">
              <a16:creationId xmlns:a16="http://schemas.microsoft.com/office/drawing/2014/main" id="{077023FC-4681-4131-8B47-1DCA486A190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5" name="Host Control  74" hidden="1">
          <a:extLst>
            <a:ext uri="{FF2B5EF4-FFF2-40B4-BE49-F238E27FC236}">
              <a16:creationId xmlns:a16="http://schemas.microsoft.com/office/drawing/2014/main" id="{9820DD4D-8B93-4AB4-BE63-6BBEF52E2F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6" name="Host Control  75" hidden="1">
          <a:extLst>
            <a:ext uri="{FF2B5EF4-FFF2-40B4-BE49-F238E27FC236}">
              <a16:creationId xmlns:a16="http://schemas.microsoft.com/office/drawing/2014/main" id="{AA93D4A9-5AF3-45F3-9D2C-65F89778E16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7" name="Host Control  76" hidden="1">
          <a:extLst>
            <a:ext uri="{FF2B5EF4-FFF2-40B4-BE49-F238E27FC236}">
              <a16:creationId xmlns:a16="http://schemas.microsoft.com/office/drawing/2014/main" id="{F6B0BEDF-D049-48CE-A02F-6A0BE91CC0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8" name="Host Control  77" hidden="1">
          <a:extLst>
            <a:ext uri="{FF2B5EF4-FFF2-40B4-BE49-F238E27FC236}">
              <a16:creationId xmlns:a16="http://schemas.microsoft.com/office/drawing/2014/main" id="{CF02F939-E386-4989-84C2-D4002918F3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9" name="Host Control  78" hidden="1">
          <a:extLst>
            <a:ext uri="{FF2B5EF4-FFF2-40B4-BE49-F238E27FC236}">
              <a16:creationId xmlns:a16="http://schemas.microsoft.com/office/drawing/2014/main" id="{E71312D1-47F5-4F13-BD4C-D3ED1EF359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0" name="Host Control  79" hidden="1">
          <a:extLst>
            <a:ext uri="{FF2B5EF4-FFF2-40B4-BE49-F238E27FC236}">
              <a16:creationId xmlns:a16="http://schemas.microsoft.com/office/drawing/2014/main" id="{2060AE3D-2FCF-48AE-A982-FB7BAFF02FB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1" name="Host Control  80" hidden="1">
          <a:extLst>
            <a:ext uri="{FF2B5EF4-FFF2-40B4-BE49-F238E27FC236}">
              <a16:creationId xmlns:a16="http://schemas.microsoft.com/office/drawing/2014/main" id="{26C6221F-1EE9-4093-9749-1D5FCBF8E49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2" name="Host Control  81" hidden="1">
          <a:extLst>
            <a:ext uri="{FF2B5EF4-FFF2-40B4-BE49-F238E27FC236}">
              <a16:creationId xmlns:a16="http://schemas.microsoft.com/office/drawing/2014/main" id="{7D6FD779-59F4-4D3D-B0A4-A83BBE3BE4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3" name="Host Control  82" hidden="1">
          <a:extLst>
            <a:ext uri="{FF2B5EF4-FFF2-40B4-BE49-F238E27FC236}">
              <a16:creationId xmlns:a16="http://schemas.microsoft.com/office/drawing/2014/main" id="{ED2AB45D-50E6-4088-BA4D-0C1DD950E9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4" name="Host Control  83" hidden="1">
          <a:extLst>
            <a:ext uri="{FF2B5EF4-FFF2-40B4-BE49-F238E27FC236}">
              <a16:creationId xmlns:a16="http://schemas.microsoft.com/office/drawing/2014/main" id="{C8C5912D-85C2-450E-A6EC-1233A60BDD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5" name="Host Control  84" hidden="1">
          <a:extLst>
            <a:ext uri="{FF2B5EF4-FFF2-40B4-BE49-F238E27FC236}">
              <a16:creationId xmlns:a16="http://schemas.microsoft.com/office/drawing/2014/main" id="{FFCB611D-4399-4996-A213-01C9EFAB842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6" name="Host Control  85" hidden="1">
          <a:extLst>
            <a:ext uri="{FF2B5EF4-FFF2-40B4-BE49-F238E27FC236}">
              <a16:creationId xmlns:a16="http://schemas.microsoft.com/office/drawing/2014/main" id="{347C2B1B-06CE-4A6C-B7BB-946AE80CF1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7" name="Host Control  86" hidden="1">
          <a:extLst>
            <a:ext uri="{FF2B5EF4-FFF2-40B4-BE49-F238E27FC236}">
              <a16:creationId xmlns:a16="http://schemas.microsoft.com/office/drawing/2014/main" id="{CA0C4F18-A7E8-4F7C-ABCC-BD62ABBA9E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8" name="Host Control  87" hidden="1">
          <a:extLst>
            <a:ext uri="{FF2B5EF4-FFF2-40B4-BE49-F238E27FC236}">
              <a16:creationId xmlns:a16="http://schemas.microsoft.com/office/drawing/2014/main" id="{B3D1C260-5412-4B8C-8179-6C609C6F47C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9" name="Host Control  88" hidden="1">
          <a:extLst>
            <a:ext uri="{FF2B5EF4-FFF2-40B4-BE49-F238E27FC236}">
              <a16:creationId xmlns:a16="http://schemas.microsoft.com/office/drawing/2014/main" id="{6717A37A-9ED3-4BE2-BA5C-A5A5F8333E1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0" name="Host Control  89" hidden="1">
          <a:extLst>
            <a:ext uri="{FF2B5EF4-FFF2-40B4-BE49-F238E27FC236}">
              <a16:creationId xmlns:a16="http://schemas.microsoft.com/office/drawing/2014/main" id="{07873A86-F4F4-495E-A23B-E50D56068A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1" name="Host Control  90" hidden="1">
          <a:extLst>
            <a:ext uri="{FF2B5EF4-FFF2-40B4-BE49-F238E27FC236}">
              <a16:creationId xmlns:a16="http://schemas.microsoft.com/office/drawing/2014/main" id="{A261D7F5-6967-4F0A-877B-06D57526BC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2" name="Host Control  91" hidden="1">
          <a:extLst>
            <a:ext uri="{FF2B5EF4-FFF2-40B4-BE49-F238E27FC236}">
              <a16:creationId xmlns:a16="http://schemas.microsoft.com/office/drawing/2014/main" id="{563C28D2-F41C-4E50-AACF-D35088C683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3" name="Host Control  92" hidden="1">
          <a:extLst>
            <a:ext uri="{FF2B5EF4-FFF2-40B4-BE49-F238E27FC236}">
              <a16:creationId xmlns:a16="http://schemas.microsoft.com/office/drawing/2014/main" id="{19A4E158-C1AA-4FCB-9728-D2670C300E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4" name="Host Control  93" hidden="1">
          <a:extLst>
            <a:ext uri="{FF2B5EF4-FFF2-40B4-BE49-F238E27FC236}">
              <a16:creationId xmlns:a16="http://schemas.microsoft.com/office/drawing/2014/main" id="{74FAAF61-56A2-44BB-AA9E-5083C132FB8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5" name="Host Control  94" hidden="1">
          <a:extLst>
            <a:ext uri="{FF2B5EF4-FFF2-40B4-BE49-F238E27FC236}">
              <a16:creationId xmlns:a16="http://schemas.microsoft.com/office/drawing/2014/main" id="{442F848B-9415-44E1-AFC9-770F46F9A66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6" name="Host Control  98" hidden="1">
          <a:extLst>
            <a:ext uri="{FF2B5EF4-FFF2-40B4-BE49-F238E27FC236}">
              <a16:creationId xmlns:a16="http://schemas.microsoft.com/office/drawing/2014/main" id="{78DAEF82-0E30-4DC7-BE71-2FF7353BD2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7" name="Host Control  99" hidden="1">
          <a:extLst>
            <a:ext uri="{FF2B5EF4-FFF2-40B4-BE49-F238E27FC236}">
              <a16:creationId xmlns:a16="http://schemas.microsoft.com/office/drawing/2014/main" id="{C9FC0189-14A8-432F-998B-7C2E50529C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8" name="Host Control  100" hidden="1">
          <a:extLst>
            <a:ext uri="{FF2B5EF4-FFF2-40B4-BE49-F238E27FC236}">
              <a16:creationId xmlns:a16="http://schemas.microsoft.com/office/drawing/2014/main" id="{C4BE30FA-842B-473A-9C4E-162C4DCF30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9" name="Host Control  101" hidden="1">
          <a:extLst>
            <a:ext uri="{FF2B5EF4-FFF2-40B4-BE49-F238E27FC236}">
              <a16:creationId xmlns:a16="http://schemas.microsoft.com/office/drawing/2014/main" id="{98BCC288-8979-48F6-9EF5-AFB4A5CE07F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0" name="Host Control  102" hidden="1">
          <a:extLst>
            <a:ext uri="{FF2B5EF4-FFF2-40B4-BE49-F238E27FC236}">
              <a16:creationId xmlns:a16="http://schemas.microsoft.com/office/drawing/2014/main" id="{2F522F5F-B4D0-4E0F-81AA-C080CFEA83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1" name="Host Control  103" hidden="1">
          <a:extLst>
            <a:ext uri="{FF2B5EF4-FFF2-40B4-BE49-F238E27FC236}">
              <a16:creationId xmlns:a16="http://schemas.microsoft.com/office/drawing/2014/main" id="{C1A70DD5-F2BE-4868-A5AC-29CC28584F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2" name="Host Control  104" hidden="1">
          <a:extLst>
            <a:ext uri="{FF2B5EF4-FFF2-40B4-BE49-F238E27FC236}">
              <a16:creationId xmlns:a16="http://schemas.microsoft.com/office/drawing/2014/main" id="{5CF263D3-7C09-41EC-97E4-939D5930D9C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3" name="Host Control  105" hidden="1">
          <a:extLst>
            <a:ext uri="{FF2B5EF4-FFF2-40B4-BE49-F238E27FC236}">
              <a16:creationId xmlns:a16="http://schemas.microsoft.com/office/drawing/2014/main" id="{3DA5E5B3-2D66-4CB5-AB9A-200E11B0B77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4" name="Host Control  106" hidden="1">
          <a:extLst>
            <a:ext uri="{FF2B5EF4-FFF2-40B4-BE49-F238E27FC236}">
              <a16:creationId xmlns:a16="http://schemas.microsoft.com/office/drawing/2014/main" id="{FFC0578E-C520-41DE-9760-6A5B495CDC3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5" name="Host Control  107" hidden="1">
          <a:extLst>
            <a:ext uri="{FF2B5EF4-FFF2-40B4-BE49-F238E27FC236}">
              <a16:creationId xmlns:a16="http://schemas.microsoft.com/office/drawing/2014/main" id="{04733759-E70C-4201-A6E3-F68DAB5487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6" name="Host Control  108" hidden="1">
          <a:extLst>
            <a:ext uri="{FF2B5EF4-FFF2-40B4-BE49-F238E27FC236}">
              <a16:creationId xmlns:a16="http://schemas.microsoft.com/office/drawing/2014/main" id="{A638CE0F-9D0D-4A07-9737-07EB6B39A3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7" name="Host Control  109" hidden="1">
          <a:extLst>
            <a:ext uri="{FF2B5EF4-FFF2-40B4-BE49-F238E27FC236}">
              <a16:creationId xmlns:a16="http://schemas.microsoft.com/office/drawing/2014/main" id="{5B39A6BC-BB7D-49F1-B748-F1809744F9B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8" name="Host Control  110" hidden="1">
          <a:extLst>
            <a:ext uri="{FF2B5EF4-FFF2-40B4-BE49-F238E27FC236}">
              <a16:creationId xmlns:a16="http://schemas.microsoft.com/office/drawing/2014/main" id="{0C7767A6-2B1D-4F8B-9020-9BEC6FB4FD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9" name="Host Control  111" hidden="1">
          <a:extLst>
            <a:ext uri="{FF2B5EF4-FFF2-40B4-BE49-F238E27FC236}">
              <a16:creationId xmlns:a16="http://schemas.microsoft.com/office/drawing/2014/main" id="{1688A353-70C9-46BA-8C21-1C3DE90234B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0" name="Host Control  112" hidden="1">
          <a:extLst>
            <a:ext uri="{FF2B5EF4-FFF2-40B4-BE49-F238E27FC236}">
              <a16:creationId xmlns:a16="http://schemas.microsoft.com/office/drawing/2014/main" id="{B1A84620-FEDE-468F-AD27-38D01664E8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1" name="Host Control  113" hidden="1">
          <a:extLst>
            <a:ext uri="{FF2B5EF4-FFF2-40B4-BE49-F238E27FC236}">
              <a16:creationId xmlns:a16="http://schemas.microsoft.com/office/drawing/2014/main" id="{4568F925-5616-4C32-8D4F-D70793D41B1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2" name="Host Control  114" hidden="1">
          <a:extLst>
            <a:ext uri="{FF2B5EF4-FFF2-40B4-BE49-F238E27FC236}">
              <a16:creationId xmlns:a16="http://schemas.microsoft.com/office/drawing/2014/main" id="{F80D8373-E8F3-4188-B1D8-B70FF2084E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3" name="Host Control  115" hidden="1">
          <a:extLst>
            <a:ext uri="{FF2B5EF4-FFF2-40B4-BE49-F238E27FC236}">
              <a16:creationId xmlns:a16="http://schemas.microsoft.com/office/drawing/2014/main" id="{F7E71E63-8096-4030-AB7C-96B3F1D54C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4" name="Host Control  116" hidden="1">
          <a:extLst>
            <a:ext uri="{FF2B5EF4-FFF2-40B4-BE49-F238E27FC236}">
              <a16:creationId xmlns:a16="http://schemas.microsoft.com/office/drawing/2014/main" id="{9F939461-9FD4-4F29-93F2-6D92D425EE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5" name="Host Control  117" hidden="1">
          <a:extLst>
            <a:ext uri="{FF2B5EF4-FFF2-40B4-BE49-F238E27FC236}">
              <a16:creationId xmlns:a16="http://schemas.microsoft.com/office/drawing/2014/main" id="{995A3193-893B-47B3-B627-56948E4D270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6" name="Host Control  118" hidden="1">
          <a:extLst>
            <a:ext uri="{FF2B5EF4-FFF2-40B4-BE49-F238E27FC236}">
              <a16:creationId xmlns:a16="http://schemas.microsoft.com/office/drawing/2014/main" id="{5071BC68-96E1-49A6-989D-BDB1A44CC0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7" name="Host Control  119" hidden="1">
          <a:extLst>
            <a:ext uri="{FF2B5EF4-FFF2-40B4-BE49-F238E27FC236}">
              <a16:creationId xmlns:a16="http://schemas.microsoft.com/office/drawing/2014/main" id="{ED20A4DE-75B1-410A-8695-7D50E492B3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8" name="Host Control  120" hidden="1">
          <a:extLst>
            <a:ext uri="{FF2B5EF4-FFF2-40B4-BE49-F238E27FC236}">
              <a16:creationId xmlns:a16="http://schemas.microsoft.com/office/drawing/2014/main" id="{D749B56A-6AC4-44DD-8E1D-BE3FC4F72C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9" name="Host Control  121" hidden="1">
          <a:extLst>
            <a:ext uri="{FF2B5EF4-FFF2-40B4-BE49-F238E27FC236}">
              <a16:creationId xmlns:a16="http://schemas.microsoft.com/office/drawing/2014/main" id="{7A901864-4153-4C58-A479-C91E5DB1938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0" name="Host Control  122" hidden="1">
          <a:extLst>
            <a:ext uri="{FF2B5EF4-FFF2-40B4-BE49-F238E27FC236}">
              <a16:creationId xmlns:a16="http://schemas.microsoft.com/office/drawing/2014/main" id="{F78F811C-DBED-45E9-A04A-D7FF4EBFA85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1" name="Host Control  123" hidden="1">
          <a:extLst>
            <a:ext uri="{FF2B5EF4-FFF2-40B4-BE49-F238E27FC236}">
              <a16:creationId xmlns:a16="http://schemas.microsoft.com/office/drawing/2014/main" id="{AB977785-8997-4CAC-901A-20CF0943D4F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2" name="Host Control  124" hidden="1">
          <a:extLst>
            <a:ext uri="{FF2B5EF4-FFF2-40B4-BE49-F238E27FC236}">
              <a16:creationId xmlns:a16="http://schemas.microsoft.com/office/drawing/2014/main" id="{75475E7C-F58C-4DED-84A3-0F679E2DBD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3" name="Host Control  125" hidden="1">
          <a:extLst>
            <a:ext uri="{FF2B5EF4-FFF2-40B4-BE49-F238E27FC236}">
              <a16:creationId xmlns:a16="http://schemas.microsoft.com/office/drawing/2014/main" id="{03F6CFC5-DC5C-4D25-BC42-CA919019CA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4" name="Host Control  126" hidden="1">
          <a:extLst>
            <a:ext uri="{FF2B5EF4-FFF2-40B4-BE49-F238E27FC236}">
              <a16:creationId xmlns:a16="http://schemas.microsoft.com/office/drawing/2014/main" id="{937811A6-2501-488E-9ED4-EC19CFFB48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5" name="Host Control  127" hidden="1">
          <a:extLst>
            <a:ext uri="{FF2B5EF4-FFF2-40B4-BE49-F238E27FC236}">
              <a16:creationId xmlns:a16="http://schemas.microsoft.com/office/drawing/2014/main" id="{9819BD00-A08F-462D-B154-8092C97C683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6" name="Host Control  135" hidden="1">
          <a:extLst>
            <a:ext uri="{FF2B5EF4-FFF2-40B4-BE49-F238E27FC236}">
              <a16:creationId xmlns:a16="http://schemas.microsoft.com/office/drawing/2014/main" id="{426CF8AC-3462-4C17-AA8C-AF5B60F289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7" name="Host Control  136" hidden="1">
          <a:extLst>
            <a:ext uri="{FF2B5EF4-FFF2-40B4-BE49-F238E27FC236}">
              <a16:creationId xmlns:a16="http://schemas.microsoft.com/office/drawing/2014/main" id="{139D762F-C6F1-442D-B4A4-21DB2C3E142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8" name="Host Control  137" hidden="1">
          <a:extLst>
            <a:ext uri="{FF2B5EF4-FFF2-40B4-BE49-F238E27FC236}">
              <a16:creationId xmlns:a16="http://schemas.microsoft.com/office/drawing/2014/main" id="{79347C29-DE13-454D-B7F2-49061A084A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9" name="Host Control  138" hidden="1">
          <a:extLst>
            <a:ext uri="{FF2B5EF4-FFF2-40B4-BE49-F238E27FC236}">
              <a16:creationId xmlns:a16="http://schemas.microsoft.com/office/drawing/2014/main" id="{60C33852-25D2-4EBB-8EEC-C857C2E00F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0" name="Host Control  139" hidden="1">
          <a:extLst>
            <a:ext uri="{FF2B5EF4-FFF2-40B4-BE49-F238E27FC236}">
              <a16:creationId xmlns:a16="http://schemas.microsoft.com/office/drawing/2014/main" id="{972B7751-7621-4D93-AB3A-0D4B7420899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1" name="Host Control  140" hidden="1">
          <a:extLst>
            <a:ext uri="{FF2B5EF4-FFF2-40B4-BE49-F238E27FC236}">
              <a16:creationId xmlns:a16="http://schemas.microsoft.com/office/drawing/2014/main" id="{547A543D-EFCC-4E07-ABFC-5A1077971CB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2" name="Host Control  141" hidden="1">
          <a:extLst>
            <a:ext uri="{FF2B5EF4-FFF2-40B4-BE49-F238E27FC236}">
              <a16:creationId xmlns:a16="http://schemas.microsoft.com/office/drawing/2014/main" id="{1993BFE9-9A45-4808-B29C-F7D77C8178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3" name="Host Control  142" hidden="1">
          <a:extLst>
            <a:ext uri="{FF2B5EF4-FFF2-40B4-BE49-F238E27FC236}">
              <a16:creationId xmlns:a16="http://schemas.microsoft.com/office/drawing/2014/main" id="{C5C696CA-24FA-45EF-809A-E06E4BEAE4C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4" name="Host Control  143" hidden="1">
          <a:extLst>
            <a:ext uri="{FF2B5EF4-FFF2-40B4-BE49-F238E27FC236}">
              <a16:creationId xmlns:a16="http://schemas.microsoft.com/office/drawing/2014/main" id="{4C0E0D4E-0D47-41D0-A47F-7141EED94A6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5" name="Host Control  144" hidden="1">
          <a:extLst>
            <a:ext uri="{FF2B5EF4-FFF2-40B4-BE49-F238E27FC236}">
              <a16:creationId xmlns:a16="http://schemas.microsoft.com/office/drawing/2014/main" id="{FB6A08D9-020B-4A86-89AD-E048D219BEB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6" name="Host Control  145" hidden="1">
          <a:extLst>
            <a:ext uri="{FF2B5EF4-FFF2-40B4-BE49-F238E27FC236}">
              <a16:creationId xmlns:a16="http://schemas.microsoft.com/office/drawing/2014/main" id="{1E99CD66-0387-4949-8ECC-B9F7BEEBA8C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7" name="Host Control  146" hidden="1">
          <a:extLst>
            <a:ext uri="{FF2B5EF4-FFF2-40B4-BE49-F238E27FC236}">
              <a16:creationId xmlns:a16="http://schemas.microsoft.com/office/drawing/2014/main" id="{5AD85668-3E43-4340-8E05-A706CBE320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8" name="Host Control  147" hidden="1">
          <a:extLst>
            <a:ext uri="{FF2B5EF4-FFF2-40B4-BE49-F238E27FC236}">
              <a16:creationId xmlns:a16="http://schemas.microsoft.com/office/drawing/2014/main" id="{9228B091-082F-4C3E-BDDB-C344DBBC389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9" name="Host Control  148" hidden="1">
          <a:extLst>
            <a:ext uri="{FF2B5EF4-FFF2-40B4-BE49-F238E27FC236}">
              <a16:creationId xmlns:a16="http://schemas.microsoft.com/office/drawing/2014/main" id="{EE2F7D9F-7D9D-49D2-B894-2BBD950350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0" name="Host Control  149" hidden="1">
          <a:extLst>
            <a:ext uri="{FF2B5EF4-FFF2-40B4-BE49-F238E27FC236}">
              <a16:creationId xmlns:a16="http://schemas.microsoft.com/office/drawing/2014/main" id="{A392695B-5C22-4C68-BB4A-252754C943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1" name="Host Control  150" hidden="1">
          <a:extLst>
            <a:ext uri="{FF2B5EF4-FFF2-40B4-BE49-F238E27FC236}">
              <a16:creationId xmlns:a16="http://schemas.microsoft.com/office/drawing/2014/main" id="{241FCC2D-4365-4676-AE82-F72473EA022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2" name="Host Control  151" hidden="1">
          <a:extLst>
            <a:ext uri="{FF2B5EF4-FFF2-40B4-BE49-F238E27FC236}">
              <a16:creationId xmlns:a16="http://schemas.microsoft.com/office/drawing/2014/main" id="{69C537F5-404D-46D3-8F2C-D7F8EA735B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3" name="Host Control  152" hidden="1">
          <a:extLst>
            <a:ext uri="{FF2B5EF4-FFF2-40B4-BE49-F238E27FC236}">
              <a16:creationId xmlns:a16="http://schemas.microsoft.com/office/drawing/2014/main" id="{26E83045-73D1-47FA-8515-8C3DEE913A3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4" name="Host Control  153" hidden="1">
          <a:extLst>
            <a:ext uri="{FF2B5EF4-FFF2-40B4-BE49-F238E27FC236}">
              <a16:creationId xmlns:a16="http://schemas.microsoft.com/office/drawing/2014/main" id="{7CBED346-373C-4BE5-B13C-93D4CAC9BF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5" name="Host Control  154" hidden="1">
          <a:extLst>
            <a:ext uri="{FF2B5EF4-FFF2-40B4-BE49-F238E27FC236}">
              <a16:creationId xmlns:a16="http://schemas.microsoft.com/office/drawing/2014/main" id="{DE9AD0EE-16A1-455F-8163-D28F5645CCB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6" name="Host Control  155" hidden="1">
          <a:extLst>
            <a:ext uri="{FF2B5EF4-FFF2-40B4-BE49-F238E27FC236}">
              <a16:creationId xmlns:a16="http://schemas.microsoft.com/office/drawing/2014/main" id="{0BC7F758-27C8-4D5A-A1CC-D3DCA48832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7" name="Host Control  156" hidden="1">
          <a:extLst>
            <a:ext uri="{FF2B5EF4-FFF2-40B4-BE49-F238E27FC236}">
              <a16:creationId xmlns:a16="http://schemas.microsoft.com/office/drawing/2014/main" id="{8D52DED3-7624-4C8E-9007-2CFCFD22711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8" name="Host Control  157" hidden="1">
          <a:extLst>
            <a:ext uri="{FF2B5EF4-FFF2-40B4-BE49-F238E27FC236}">
              <a16:creationId xmlns:a16="http://schemas.microsoft.com/office/drawing/2014/main" id="{E9987ED1-767C-4931-95BD-2A683BCDBCF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9" name="Host Control  158" hidden="1">
          <a:extLst>
            <a:ext uri="{FF2B5EF4-FFF2-40B4-BE49-F238E27FC236}">
              <a16:creationId xmlns:a16="http://schemas.microsoft.com/office/drawing/2014/main" id="{5EA31273-444A-4FF5-ACED-F2DE548A81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0" name="Host Control  159" hidden="1">
          <a:extLst>
            <a:ext uri="{FF2B5EF4-FFF2-40B4-BE49-F238E27FC236}">
              <a16:creationId xmlns:a16="http://schemas.microsoft.com/office/drawing/2014/main" id="{B0539D51-411B-40D4-8585-3D13405D8D5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1" name="Host Control  160" hidden="1">
          <a:extLst>
            <a:ext uri="{FF2B5EF4-FFF2-40B4-BE49-F238E27FC236}">
              <a16:creationId xmlns:a16="http://schemas.microsoft.com/office/drawing/2014/main" id="{2A9DF3EC-0C7D-45A4-9399-DCB52EDC28E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2" name="Host Control  161" hidden="1">
          <a:extLst>
            <a:ext uri="{FF2B5EF4-FFF2-40B4-BE49-F238E27FC236}">
              <a16:creationId xmlns:a16="http://schemas.microsoft.com/office/drawing/2014/main" id="{7EE9A0F6-763E-43FD-8B76-F21A32E8BA7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3" name="Host Control  162" hidden="1">
          <a:extLst>
            <a:ext uri="{FF2B5EF4-FFF2-40B4-BE49-F238E27FC236}">
              <a16:creationId xmlns:a16="http://schemas.microsoft.com/office/drawing/2014/main" id="{67541CCA-B8D6-4360-9DD7-FD68A02A15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4" name="Host Control  163" hidden="1">
          <a:extLst>
            <a:ext uri="{FF2B5EF4-FFF2-40B4-BE49-F238E27FC236}">
              <a16:creationId xmlns:a16="http://schemas.microsoft.com/office/drawing/2014/main" id="{C2FEC9C8-A56F-4B32-A573-15BC6ADB98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5" name="Host Control  164" hidden="1">
          <a:extLst>
            <a:ext uri="{FF2B5EF4-FFF2-40B4-BE49-F238E27FC236}">
              <a16:creationId xmlns:a16="http://schemas.microsoft.com/office/drawing/2014/main" id="{DB56D973-ED39-4A37-A1FF-175A86DC79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6" name="Host Control  168" hidden="1">
          <a:extLst>
            <a:ext uri="{FF2B5EF4-FFF2-40B4-BE49-F238E27FC236}">
              <a16:creationId xmlns:a16="http://schemas.microsoft.com/office/drawing/2014/main" id="{F6F2F3D9-B580-4241-AA5D-9DB5425F7D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7" name="Host Control  169" hidden="1">
          <a:extLst>
            <a:ext uri="{FF2B5EF4-FFF2-40B4-BE49-F238E27FC236}">
              <a16:creationId xmlns:a16="http://schemas.microsoft.com/office/drawing/2014/main" id="{3A3C009E-FCC7-4FD1-91CE-47392FFD983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8" name="Host Control  170" hidden="1">
          <a:extLst>
            <a:ext uri="{FF2B5EF4-FFF2-40B4-BE49-F238E27FC236}">
              <a16:creationId xmlns:a16="http://schemas.microsoft.com/office/drawing/2014/main" id="{8CC7B782-B729-43AC-9373-2605560897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9" name="Host Control  171" hidden="1">
          <a:extLst>
            <a:ext uri="{FF2B5EF4-FFF2-40B4-BE49-F238E27FC236}">
              <a16:creationId xmlns:a16="http://schemas.microsoft.com/office/drawing/2014/main" id="{DB406700-B351-4D96-8AFE-6E639F5253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0" name="Host Control  172" hidden="1">
          <a:extLst>
            <a:ext uri="{FF2B5EF4-FFF2-40B4-BE49-F238E27FC236}">
              <a16:creationId xmlns:a16="http://schemas.microsoft.com/office/drawing/2014/main" id="{2AE7680F-A3DE-4F4F-B771-CF37319FD1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1" name="Host Control  173" hidden="1">
          <a:extLst>
            <a:ext uri="{FF2B5EF4-FFF2-40B4-BE49-F238E27FC236}">
              <a16:creationId xmlns:a16="http://schemas.microsoft.com/office/drawing/2014/main" id="{7A122975-297B-4D54-A0BC-8C6BA002CB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2" name="Host Control  174" hidden="1">
          <a:extLst>
            <a:ext uri="{FF2B5EF4-FFF2-40B4-BE49-F238E27FC236}">
              <a16:creationId xmlns:a16="http://schemas.microsoft.com/office/drawing/2014/main" id="{94A47847-0FE5-4247-8BDA-D9440B0C71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3" name="Host Control  175" hidden="1">
          <a:extLst>
            <a:ext uri="{FF2B5EF4-FFF2-40B4-BE49-F238E27FC236}">
              <a16:creationId xmlns:a16="http://schemas.microsoft.com/office/drawing/2014/main" id="{5D3B85CE-EC17-4DE4-A6E1-ED6B16DA30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4" name="Host Control  176" hidden="1">
          <a:extLst>
            <a:ext uri="{FF2B5EF4-FFF2-40B4-BE49-F238E27FC236}">
              <a16:creationId xmlns:a16="http://schemas.microsoft.com/office/drawing/2014/main" id="{F0753EDE-3AE0-4AA8-A386-0B9D676901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5" name="Host Control  177" hidden="1">
          <a:extLst>
            <a:ext uri="{FF2B5EF4-FFF2-40B4-BE49-F238E27FC236}">
              <a16:creationId xmlns:a16="http://schemas.microsoft.com/office/drawing/2014/main" id="{98D3D74D-F188-4169-8FEE-3F24D79CFC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6" name="Host Control  178" hidden="1">
          <a:extLst>
            <a:ext uri="{FF2B5EF4-FFF2-40B4-BE49-F238E27FC236}">
              <a16:creationId xmlns:a16="http://schemas.microsoft.com/office/drawing/2014/main" id="{E9146FC6-1EAC-4509-8595-E2DADBDB09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7" name="Host Control  179" hidden="1">
          <a:extLst>
            <a:ext uri="{FF2B5EF4-FFF2-40B4-BE49-F238E27FC236}">
              <a16:creationId xmlns:a16="http://schemas.microsoft.com/office/drawing/2014/main" id="{FE96F58A-E3CD-4AE4-842B-22FD187471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8" name="Host Control  180" hidden="1">
          <a:extLst>
            <a:ext uri="{FF2B5EF4-FFF2-40B4-BE49-F238E27FC236}">
              <a16:creationId xmlns:a16="http://schemas.microsoft.com/office/drawing/2014/main" id="{3E80F82A-92BF-4D95-B6CB-6430EF7B801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9" name="Host Control  181" hidden="1">
          <a:extLst>
            <a:ext uri="{FF2B5EF4-FFF2-40B4-BE49-F238E27FC236}">
              <a16:creationId xmlns:a16="http://schemas.microsoft.com/office/drawing/2014/main" id="{200CF6A2-0557-4B94-AD99-F990FCA541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0" name="Host Control  182" hidden="1">
          <a:extLst>
            <a:ext uri="{FF2B5EF4-FFF2-40B4-BE49-F238E27FC236}">
              <a16:creationId xmlns:a16="http://schemas.microsoft.com/office/drawing/2014/main" id="{2DBB476B-31DC-46DE-8B10-EE15B84C5F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1" name="Host Control  183" hidden="1">
          <a:extLst>
            <a:ext uri="{FF2B5EF4-FFF2-40B4-BE49-F238E27FC236}">
              <a16:creationId xmlns:a16="http://schemas.microsoft.com/office/drawing/2014/main" id="{1C35AD2D-2055-4612-B4FA-4B78BB8EA8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2" name="Host Control  184" hidden="1">
          <a:extLst>
            <a:ext uri="{FF2B5EF4-FFF2-40B4-BE49-F238E27FC236}">
              <a16:creationId xmlns:a16="http://schemas.microsoft.com/office/drawing/2014/main" id="{E7E6A865-B754-4E1E-B0AA-D188F86DE6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3" name="Host Control  185" hidden="1">
          <a:extLst>
            <a:ext uri="{FF2B5EF4-FFF2-40B4-BE49-F238E27FC236}">
              <a16:creationId xmlns:a16="http://schemas.microsoft.com/office/drawing/2014/main" id="{525DDE7D-56C8-40DF-8654-E8E37D06F8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4" name="Host Control  186" hidden="1">
          <a:extLst>
            <a:ext uri="{FF2B5EF4-FFF2-40B4-BE49-F238E27FC236}">
              <a16:creationId xmlns:a16="http://schemas.microsoft.com/office/drawing/2014/main" id="{DA434E84-323B-41C2-80A3-AB7DC677E2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5" name="Host Control  187" hidden="1">
          <a:extLst>
            <a:ext uri="{FF2B5EF4-FFF2-40B4-BE49-F238E27FC236}">
              <a16:creationId xmlns:a16="http://schemas.microsoft.com/office/drawing/2014/main" id="{F867C2FD-462F-40C8-8DEA-D493026904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6" name="Host Control  188" hidden="1">
          <a:extLst>
            <a:ext uri="{FF2B5EF4-FFF2-40B4-BE49-F238E27FC236}">
              <a16:creationId xmlns:a16="http://schemas.microsoft.com/office/drawing/2014/main" id="{07012DBD-8DE0-44E4-95DA-112F4C2F762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7" name="Host Control  189" hidden="1">
          <a:extLst>
            <a:ext uri="{FF2B5EF4-FFF2-40B4-BE49-F238E27FC236}">
              <a16:creationId xmlns:a16="http://schemas.microsoft.com/office/drawing/2014/main" id="{18FAA309-A284-40DE-8B94-BD93CA0EC39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8" name="Host Control  190" hidden="1">
          <a:extLst>
            <a:ext uri="{FF2B5EF4-FFF2-40B4-BE49-F238E27FC236}">
              <a16:creationId xmlns:a16="http://schemas.microsoft.com/office/drawing/2014/main" id="{418F0784-09D5-47A7-9156-A7C20FD8C5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9" name="Host Control  191" hidden="1">
          <a:extLst>
            <a:ext uri="{FF2B5EF4-FFF2-40B4-BE49-F238E27FC236}">
              <a16:creationId xmlns:a16="http://schemas.microsoft.com/office/drawing/2014/main" id="{EBBCE2C8-FC51-4623-B0E5-2B8010F32A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0" name="Host Control  192" hidden="1">
          <a:extLst>
            <a:ext uri="{FF2B5EF4-FFF2-40B4-BE49-F238E27FC236}">
              <a16:creationId xmlns:a16="http://schemas.microsoft.com/office/drawing/2014/main" id="{15292BBB-4987-44EF-A819-3653809F69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1" name="Host Control  193" hidden="1">
          <a:extLst>
            <a:ext uri="{FF2B5EF4-FFF2-40B4-BE49-F238E27FC236}">
              <a16:creationId xmlns:a16="http://schemas.microsoft.com/office/drawing/2014/main" id="{6FC3CA52-EFE4-4568-8074-B58AEB5B758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2" name="Host Control  194" hidden="1">
          <a:extLst>
            <a:ext uri="{FF2B5EF4-FFF2-40B4-BE49-F238E27FC236}">
              <a16:creationId xmlns:a16="http://schemas.microsoft.com/office/drawing/2014/main" id="{697FA681-858D-4914-9DF5-C47C25C2ED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3" name="Host Control  195" hidden="1">
          <a:extLst>
            <a:ext uri="{FF2B5EF4-FFF2-40B4-BE49-F238E27FC236}">
              <a16:creationId xmlns:a16="http://schemas.microsoft.com/office/drawing/2014/main" id="{2666A729-49AF-44C0-B042-0C7646D7D4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4" name="Host Control  196" hidden="1">
          <a:extLst>
            <a:ext uri="{FF2B5EF4-FFF2-40B4-BE49-F238E27FC236}">
              <a16:creationId xmlns:a16="http://schemas.microsoft.com/office/drawing/2014/main" id="{E60C5ACD-B19D-4795-A5E7-59ABA63E96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5" name="Host Control  197" hidden="1">
          <a:extLst>
            <a:ext uri="{FF2B5EF4-FFF2-40B4-BE49-F238E27FC236}">
              <a16:creationId xmlns:a16="http://schemas.microsoft.com/office/drawing/2014/main" id="{2C95605E-0721-438C-8C2C-8193FE695F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6" name="Host Control  201" hidden="1">
          <a:extLst>
            <a:ext uri="{FF2B5EF4-FFF2-40B4-BE49-F238E27FC236}">
              <a16:creationId xmlns:a16="http://schemas.microsoft.com/office/drawing/2014/main" id="{5CD70432-B332-49C0-AA37-51153D9DFDD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7" name="Host Control  202" hidden="1">
          <a:extLst>
            <a:ext uri="{FF2B5EF4-FFF2-40B4-BE49-F238E27FC236}">
              <a16:creationId xmlns:a16="http://schemas.microsoft.com/office/drawing/2014/main" id="{0D807FA2-C772-4254-8EE1-DBF473442B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8" name="Host Control  203" hidden="1">
          <a:extLst>
            <a:ext uri="{FF2B5EF4-FFF2-40B4-BE49-F238E27FC236}">
              <a16:creationId xmlns:a16="http://schemas.microsoft.com/office/drawing/2014/main" id="{4F429E67-5570-414F-A9FE-BEA3FEAC86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9" name="Host Control  204" hidden="1">
          <a:extLst>
            <a:ext uri="{FF2B5EF4-FFF2-40B4-BE49-F238E27FC236}">
              <a16:creationId xmlns:a16="http://schemas.microsoft.com/office/drawing/2014/main" id="{672959B9-4CEA-466E-9914-ECD775066B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0" name="Host Control  205" hidden="1">
          <a:extLst>
            <a:ext uri="{FF2B5EF4-FFF2-40B4-BE49-F238E27FC236}">
              <a16:creationId xmlns:a16="http://schemas.microsoft.com/office/drawing/2014/main" id="{63D6C80A-5E88-4A19-A5FC-8E01CFEE74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1" name="Host Control  206" hidden="1">
          <a:extLst>
            <a:ext uri="{FF2B5EF4-FFF2-40B4-BE49-F238E27FC236}">
              <a16:creationId xmlns:a16="http://schemas.microsoft.com/office/drawing/2014/main" id="{7D7FCEA2-5F5D-4EFB-9CE9-11A832CF53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2" name="Host Control  207" hidden="1">
          <a:extLst>
            <a:ext uri="{FF2B5EF4-FFF2-40B4-BE49-F238E27FC236}">
              <a16:creationId xmlns:a16="http://schemas.microsoft.com/office/drawing/2014/main" id="{1EEA9E27-B655-4235-BFCA-1E4687E7B7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3" name="Host Control  208" hidden="1">
          <a:extLst>
            <a:ext uri="{FF2B5EF4-FFF2-40B4-BE49-F238E27FC236}">
              <a16:creationId xmlns:a16="http://schemas.microsoft.com/office/drawing/2014/main" id="{7BF5540E-AE9E-4BA9-8243-3EE057C221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4" name="Host Control  209" hidden="1">
          <a:extLst>
            <a:ext uri="{FF2B5EF4-FFF2-40B4-BE49-F238E27FC236}">
              <a16:creationId xmlns:a16="http://schemas.microsoft.com/office/drawing/2014/main" id="{03343356-3EFA-4D6F-A4DD-FFA2E046E9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5" name="Host Control  210" hidden="1">
          <a:extLst>
            <a:ext uri="{FF2B5EF4-FFF2-40B4-BE49-F238E27FC236}">
              <a16:creationId xmlns:a16="http://schemas.microsoft.com/office/drawing/2014/main" id="{38942479-24DC-483F-91BC-8898904112E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6" name="Host Control  211" hidden="1">
          <a:extLst>
            <a:ext uri="{FF2B5EF4-FFF2-40B4-BE49-F238E27FC236}">
              <a16:creationId xmlns:a16="http://schemas.microsoft.com/office/drawing/2014/main" id="{F17B9AAD-60FA-4621-AC9F-835F4A86F1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7" name="Host Control  212" hidden="1">
          <a:extLst>
            <a:ext uri="{FF2B5EF4-FFF2-40B4-BE49-F238E27FC236}">
              <a16:creationId xmlns:a16="http://schemas.microsoft.com/office/drawing/2014/main" id="{824C4C59-FF2B-4584-A160-64CD7C7955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8" name="Host Control  213" hidden="1">
          <a:extLst>
            <a:ext uri="{FF2B5EF4-FFF2-40B4-BE49-F238E27FC236}">
              <a16:creationId xmlns:a16="http://schemas.microsoft.com/office/drawing/2014/main" id="{136A67F6-4958-4429-87CD-AE7188A800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9" name="Host Control  214" hidden="1">
          <a:extLst>
            <a:ext uri="{FF2B5EF4-FFF2-40B4-BE49-F238E27FC236}">
              <a16:creationId xmlns:a16="http://schemas.microsoft.com/office/drawing/2014/main" id="{B674DA4A-0447-446B-9DE0-10FB89A0A1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0" name="Host Control  215" hidden="1">
          <a:extLst>
            <a:ext uri="{FF2B5EF4-FFF2-40B4-BE49-F238E27FC236}">
              <a16:creationId xmlns:a16="http://schemas.microsoft.com/office/drawing/2014/main" id="{554C74D8-BCFA-477F-A4F8-09E208C1BBD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1" name="Host Control  216" hidden="1">
          <a:extLst>
            <a:ext uri="{FF2B5EF4-FFF2-40B4-BE49-F238E27FC236}">
              <a16:creationId xmlns:a16="http://schemas.microsoft.com/office/drawing/2014/main" id="{A1A475C8-C355-47DA-97FD-CD418F2DFB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2" name="Host Control  217" hidden="1">
          <a:extLst>
            <a:ext uri="{FF2B5EF4-FFF2-40B4-BE49-F238E27FC236}">
              <a16:creationId xmlns:a16="http://schemas.microsoft.com/office/drawing/2014/main" id="{FDE32297-CA14-4AE4-8343-AE66D1A339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3" name="Host Control  218" hidden="1">
          <a:extLst>
            <a:ext uri="{FF2B5EF4-FFF2-40B4-BE49-F238E27FC236}">
              <a16:creationId xmlns:a16="http://schemas.microsoft.com/office/drawing/2014/main" id="{713E8569-7DFA-4ABB-8BD8-BFE86DB5D88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4" name="Host Control  219" hidden="1">
          <a:extLst>
            <a:ext uri="{FF2B5EF4-FFF2-40B4-BE49-F238E27FC236}">
              <a16:creationId xmlns:a16="http://schemas.microsoft.com/office/drawing/2014/main" id="{62BD87FD-48FE-403E-8BF4-9EB0C46369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5" name="Host Control  220" hidden="1">
          <a:extLst>
            <a:ext uri="{FF2B5EF4-FFF2-40B4-BE49-F238E27FC236}">
              <a16:creationId xmlns:a16="http://schemas.microsoft.com/office/drawing/2014/main" id="{E27891BA-34AE-4487-A512-F4862A84CFC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6" name="Host Control  221" hidden="1">
          <a:extLst>
            <a:ext uri="{FF2B5EF4-FFF2-40B4-BE49-F238E27FC236}">
              <a16:creationId xmlns:a16="http://schemas.microsoft.com/office/drawing/2014/main" id="{834089A1-8502-4DCA-B2B9-453B03DEDD7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7" name="Host Control  222" hidden="1">
          <a:extLst>
            <a:ext uri="{FF2B5EF4-FFF2-40B4-BE49-F238E27FC236}">
              <a16:creationId xmlns:a16="http://schemas.microsoft.com/office/drawing/2014/main" id="{8833B8D1-586D-4BC6-BB17-76A0BC82AA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8" name="Host Control  223" hidden="1">
          <a:extLst>
            <a:ext uri="{FF2B5EF4-FFF2-40B4-BE49-F238E27FC236}">
              <a16:creationId xmlns:a16="http://schemas.microsoft.com/office/drawing/2014/main" id="{BD0CA48B-A715-46DB-A69F-11DC0069F3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9" name="Host Control  224" hidden="1">
          <a:extLst>
            <a:ext uri="{FF2B5EF4-FFF2-40B4-BE49-F238E27FC236}">
              <a16:creationId xmlns:a16="http://schemas.microsoft.com/office/drawing/2014/main" id="{518B29D0-9EA2-4D98-AAD7-8628E06438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0" name="Host Control  225" hidden="1">
          <a:extLst>
            <a:ext uri="{FF2B5EF4-FFF2-40B4-BE49-F238E27FC236}">
              <a16:creationId xmlns:a16="http://schemas.microsoft.com/office/drawing/2014/main" id="{125E0A88-784E-4827-A37F-894C56A9DB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1" name="Host Control  226" hidden="1">
          <a:extLst>
            <a:ext uri="{FF2B5EF4-FFF2-40B4-BE49-F238E27FC236}">
              <a16:creationId xmlns:a16="http://schemas.microsoft.com/office/drawing/2014/main" id="{F8E6A665-65F3-43A6-81EB-9496A1EC1D6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2" name="Host Control  227" hidden="1">
          <a:extLst>
            <a:ext uri="{FF2B5EF4-FFF2-40B4-BE49-F238E27FC236}">
              <a16:creationId xmlns:a16="http://schemas.microsoft.com/office/drawing/2014/main" id="{317F127E-DB83-4579-A0B6-5E5E5D313C3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3" name="Host Control  228" hidden="1">
          <a:extLst>
            <a:ext uri="{FF2B5EF4-FFF2-40B4-BE49-F238E27FC236}">
              <a16:creationId xmlns:a16="http://schemas.microsoft.com/office/drawing/2014/main" id="{6E4801BF-46F2-4EA1-AF5F-8B26E1A15B6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4" name="Host Control  229" hidden="1">
          <a:extLst>
            <a:ext uri="{FF2B5EF4-FFF2-40B4-BE49-F238E27FC236}">
              <a16:creationId xmlns:a16="http://schemas.microsoft.com/office/drawing/2014/main" id="{C7BE2E2A-13A5-4BC5-B273-87EDB894E86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5" name="Host Control  230" hidden="1">
          <a:extLst>
            <a:ext uri="{FF2B5EF4-FFF2-40B4-BE49-F238E27FC236}">
              <a16:creationId xmlns:a16="http://schemas.microsoft.com/office/drawing/2014/main" id="{1599ED99-35A0-4575-8082-6E2859CF11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6" name="Host Control  234" hidden="1">
          <a:extLst>
            <a:ext uri="{FF2B5EF4-FFF2-40B4-BE49-F238E27FC236}">
              <a16:creationId xmlns:a16="http://schemas.microsoft.com/office/drawing/2014/main" id="{5B7F8B62-E08F-4AA0-89BD-BC3D17FF80B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7" name="Host Control  235" hidden="1">
          <a:extLst>
            <a:ext uri="{FF2B5EF4-FFF2-40B4-BE49-F238E27FC236}">
              <a16:creationId xmlns:a16="http://schemas.microsoft.com/office/drawing/2014/main" id="{0561A6C2-94FB-4FF0-B0A2-4EA6A0EED7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8" name="Host Control  236" hidden="1">
          <a:extLst>
            <a:ext uri="{FF2B5EF4-FFF2-40B4-BE49-F238E27FC236}">
              <a16:creationId xmlns:a16="http://schemas.microsoft.com/office/drawing/2014/main" id="{04EC8AFD-81E4-460B-AEBE-9CF4DE4F130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9" name="Host Control  237" hidden="1">
          <a:extLst>
            <a:ext uri="{FF2B5EF4-FFF2-40B4-BE49-F238E27FC236}">
              <a16:creationId xmlns:a16="http://schemas.microsoft.com/office/drawing/2014/main" id="{43F64B64-9789-4F26-8DE5-7AD691ED7D7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0" name="Host Control  238" hidden="1">
          <a:extLst>
            <a:ext uri="{FF2B5EF4-FFF2-40B4-BE49-F238E27FC236}">
              <a16:creationId xmlns:a16="http://schemas.microsoft.com/office/drawing/2014/main" id="{9B4F6976-D92D-44C3-B30B-BCE447FC53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1" name="Host Control  239" hidden="1">
          <a:extLst>
            <a:ext uri="{FF2B5EF4-FFF2-40B4-BE49-F238E27FC236}">
              <a16:creationId xmlns:a16="http://schemas.microsoft.com/office/drawing/2014/main" id="{CB8F48C3-2AD7-4083-8C7A-91C0C2D7AA4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2" name="Host Control  240" hidden="1">
          <a:extLst>
            <a:ext uri="{FF2B5EF4-FFF2-40B4-BE49-F238E27FC236}">
              <a16:creationId xmlns:a16="http://schemas.microsoft.com/office/drawing/2014/main" id="{6CF189BF-B64F-491A-A642-82ED8C514F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3" name="Host Control  241" hidden="1">
          <a:extLst>
            <a:ext uri="{FF2B5EF4-FFF2-40B4-BE49-F238E27FC236}">
              <a16:creationId xmlns:a16="http://schemas.microsoft.com/office/drawing/2014/main" id="{D2EA3152-085D-448F-A16A-52EE561019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4" name="Host Control  242" hidden="1">
          <a:extLst>
            <a:ext uri="{FF2B5EF4-FFF2-40B4-BE49-F238E27FC236}">
              <a16:creationId xmlns:a16="http://schemas.microsoft.com/office/drawing/2014/main" id="{454FA7C9-E42A-4637-9884-52F029B5115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5" name="Host Control  243" hidden="1">
          <a:extLst>
            <a:ext uri="{FF2B5EF4-FFF2-40B4-BE49-F238E27FC236}">
              <a16:creationId xmlns:a16="http://schemas.microsoft.com/office/drawing/2014/main" id="{43366D6A-7BF9-4869-99DE-1FA896B5572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6" name="Host Control  244" hidden="1">
          <a:extLst>
            <a:ext uri="{FF2B5EF4-FFF2-40B4-BE49-F238E27FC236}">
              <a16:creationId xmlns:a16="http://schemas.microsoft.com/office/drawing/2014/main" id="{8B0DA8FE-700D-47F2-A6CE-BE7246310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7" name="Host Control  245" hidden="1">
          <a:extLst>
            <a:ext uri="{FF2B5EF4-FFF2-40B4-BE49-F238E27FC236}">
              <a16:creationId xmlns:a16="http://schemas.microsoft.com/office/drawing/2014/main" id="{C053DA79-0C31-419E-98DD-EF4920832E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8" name="Host Control  246" hidden="1">
          <a:extLst>
            <a:ext uri="{FF2B5EF4-FFF2-40B4-BE49-F238E27FC236}">
              <a16:creationId xmlns:a16="http://schemas.microsoft.com/office/drawing/2014/main" id="{C7325FC6-61D8-499C-8FF8-4CC389DC002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9" name="Host Control  247" hidden="1">
          <a:extLst>
            <a:ext uri="{FF2B5EF4-FFF2-40B4-BE49-F238E27FC236}">
              <a16:creationId xmlns:a16="http://schemas.microsoft.com/office/drawing/2014/main" id="{4814AC34-3757-414C-9066-459E68CADA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0" name="Host Control  248" hidden="1">
          <a:extLst>
            <a:ext uri="{FF2B5EF4-FFF2-40B4-BE49-F238E27FC236}">
              <a16:creationId xmlns:a16="http://schemas.microsoft.com/office/drawing/2014/main" id="{FDD5772A-8489-4E8F-AA24-C74FCA6EB7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1" name="Host Control  249" hidden="1">
          <a:extLst>
            <a:ext uri="{FF2B5EF4-FFF2-40B4-BE49-F238E27FC236}">
              <a16:creationId xmlns:a16="http://schemas.microsoft.com/office/drawing/2014/main" id="{23361143-D708-40C9-9A44-34C9B97005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2" name="Host Control  250" hidden="1">
          <a:extLst>
            <a:ext uri="{FF2B5EF4-FFF2-40B4-BE49-F238E27FC236}">
              <a16:creationId xmlns:a16="http://schemas.microsoft.com/office/drawing/2014/main" id="{D9C65D78-9807-4040-BCB9-145C9B6B79F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3" name="Host Control  251" hidden="1">
          <a:extLst>
            <a:ext uri="{FF2B5EF4-FFF2-40B4-BE49-F238E27FC236}">
              <a16:creationId xmlns:a16="http://schemas.microsoft.com/office/drawing/2014/main" id="{F3C5A95B-60E4-4224-BA90-7E7B85EF89A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4" name="Host Control  252" hidden="1">
          <a:extLst>
            <a:ext uri="{FF2B5EF4-FFF2-40B4-BE49-F238E27FC236}">
              <a16:creationId xmlns:a16="http://schemas.microsoft.com/office/drawing/2014/main" id="{69F65374-79C2-4F90-A4CA-573F5484FC9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5" name="Host Control  253" hidden="1">
          <a:extLst>
            <a:ext uri="{FF2B5EF4-FFF2-40B4-BE49-F238E27FC236}">
              <a16:creationId xmlns:a16="http://schemas.microsoft.com/office/drawing/2014/main" id="{20E3E8DC-BF89-4CF2-91E2-D71991A192A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6" name="Host Control  254" hidden="1">
          <a:extLst>
            <a:ext uri="{FF2B5EF4-FFF2-40B4-BE49-F238E27FC236}">
              <a16:creationId xmlns:a16="http://schemas.microsoft.com/office/drawing/2014/main" id="{99213C3A-EFAC-45B1-A4CB-D39BC669C0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7" name="Host Control  255" hidden="1">
          <a:extLst>
            <a:ext uri="{FF2B5EF4-FFF2-40B4-BE49-F238E27FC236}">
              <a16:creationId xmlns:a16="http://schemas.microsoft.com/office/drawing/2014/main" id="{8B227F3B-EF28-4073-A198-ACE3161072C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8" name="Host Control  256" hidden="1">
          <a:extLst>
            <a:ext uri="{FF2B5EF4-FFF2-40B4-BE49-F238E27FC236}">
              <a16:creationId xmlns:a16="http://schemas.microsoft.com/office/drawing/2014/main" id="{2594835C-9D8A-41E5-B03D-6F60171812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9" name="Host Control  257" hidden="1">
          <a:extLst>
            <a:ext uri="{FF2B5EF4-FFF2-40B4-BE49-F238E27FC236}">
              <a16:creationId xmlns:a16="http://schemas.microsoft.com/office/drawing/2014/main" id="{39EAB378-915C-4A75-BA50-F86A6B9E13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0" name="Host Control  258" hidden="1">
          <a:extLst>
            <a:ext uri="{FF2B5EF4-FFF2-40B4-BE49-F238E27FC236}">
              <a16:creationId xmlns:a16="http://schemas.microsoft.com/office/drawing/2014/main" id="{DCF7B103-E395-400A-9C35-58CB38B1D2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1" name="Host Control  259" hidden="1">
          <a:extLst>
            <a:ext uri="{FF2B5EF4-FFF2-40B4-BE49-F238E27FC236}">
              <a16:creationId xmlns:a16="http://schemas.microsoft.com/office/drawing/2014/main" id="{DA6B2E4E-A2E6-4B01-96A9-CC6FC0FF79D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2" name="Host Control  260" hidden="1">
          <a:extLst>
            <a:ext uri="{FF2B5EF4-FFF2-40B4-BE49-F238E27FC236}">
              <a16:creationId xmlns:a16="http://schemas.microsoft.com/office/drawing/2014/main" id="{A22052CA-6D58-4E37-9F3A-04D732D815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3" name="Host Control  261" hidden="1">
          <a:extLst>
            <a:ext uri="{FF2B5EF4-FFF2-40B4-BE49-F238E27FC236}">
              <a16:creationId xmlns:a16="http://schemas.microsoft.com/office/drawing/2014/main" id="{AD21C93D-826F-44B1-95CE-4EB42BF8DFC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4" name="Host Control  262" hidden="1">
          <a:extLst>
            <a:ext uri="{FF2B5EF4-FFF2-40B4-BE49-F238E27FC236}">
              <a16:creationId xmlns:a16="http://schemas.microsoft.com/office/drawing/2014/main" id="{FC4A67EB-3F2D-4749-9F1D-8C0238E1B4E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5" name="Host Control  263" hidden="1">
          <a:extLst>
            <a:ext uri="{FF2B5EF4-FFF2-40B4-BE49-F238E27FC236}">
              <a16:creationId xmlns:a16="http://schemas.microsoft.com/office/drawing/2014/main" id="{40BED619-5BBE-40EA-A15E-61705079B2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6" name="Host Control  267" hidden="1">
          <a:extLst>
            <a:ext uri="{FF2B5EF4-FFF2-40B4-BE49-F238E27FC236}">
              <a16:creationId xmlns:a16="http://schemas.microsoft.com/office/drawing/2014/main" id="{35E7A710-97B2-4A1C-9826-590B201A67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7" name="Host Control  268" hidden="1">
          <a:extLst>
            <a:ext uri="{FF2B5EF4-FFF2-40B4-BE49-F238E27FC236}">
              <a16:creationId xmlns:a16="http://schemas.microsoft.com/office/drawing/2014/main" id="{FF3122D7-E0FA-43F6-A3A5-2941737000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8" name="Host Control  269" hidden="1">
          <a:extLst>
            <a:ext uri="{FF2B5EF4-FFF2-40B4-BE49-F238E27FC236}">
              <a16:creationId xmlns:a16="http://schemas.microsoft.com/office/drawing/2014/main" id="{AC52C2AB-EA10-434E-B60B-417CCB434E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9" name="Host Control  270" hidden="1">
          <a:extLst>
            <a:ext uri="{FF2B5EF4-FFF2-40B4-BE49-F238E27FC236}">
              <a16:creationId xmlns:a16="http://schemas.microsoft.com/office/drawing/2014/main" id="{91A7ACCB-FCB7-412B-812C-2EC208F762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0" name="Host Control  271" hidden="1">
          <a:extLst>
            <a:ext uri="{FF2B5EF4-FFF2-40B4-BE49-F238E27FC236}">
              <a16:creationId xmlns:a16="http://schemas.microsoft.com/office/drawing/2014/main" id="{2ECA974E-2C8E-4292-972F-9A4E178BC9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1" name="Host Control  272" hidden="1">
          <a:extLst>
            <a:ext uri="{FF2B5EF4-FFF2-40B4-BE49-F238E27FC236}">
              <a16:creationId xmlns:a16="http://schemas.microsoft.com/office/drawing/2014/main" id="{4B6C1C5C-37A9-49D4-B8B4-521541A981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2" name="Host Control  273" hidden="1">
          <a:extLst>
            <a:ext uri="{FF2B5EF4-FFF2-40B4-BE49-F238E27FC236}">
              <a16:creationId xmlns:a16="http://schemas.microsoft.com/office/drawing/2014/main" id="{8A0D1979-27D5-4A82-A559-FAC43C227D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3" name="Host Control  274" hidden="1">
          <a:extLst>
            <a:ext uri="{FF2B5EF4-FFF2-40B4-BE49-F238E27FC236}">
              <a16:creationId xmlns:a16="http://schemas.microsoft.com/office/drawing/2014/main" id="{5037D608-481F-4DA3-BAD2-416083F329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4" name="Host Control  275" hidden="1">
          <a:extLst>
            <a:ext uri="{FF2B5EF4-FFF2-40B4-BE49-F238E27FC236}">
              <a16:creationId xmlns:a16="http://schemas.microsoft.com/office/drawing/2014/main" id="{920F4BD5-8C96-452C-9084-BACD9D527D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5" name="Host Control  276" hidden="1">
          <a:extLst>
            <a:ext uri="{FF2B5EF4-FFF2-40B4-BE49-F238E27FC236}">
              <a16:creationId xmlns:a16="http://schemas.microsoft.com/office/drawing/2014/main" id="{740BF615-81D5-40FA-BAF4-3AEEBD2004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6" name="Host Control  277" hidden="1">
          <a:extLst>
            <a:ext uri="{FF2B5EF4-FFF2-40B4-BE49-F238E27FC236}">
              <a16:creationId xmlns:a16="http://schemas.microsoft.com/office/drawing/2014/main" id="{C4B63C62-3706-4328-9957-31351058DB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7" name="Host Control  278" hidden="1">
          <a:extLst>
            <a:ext uri="{FF2B5EF4-FFF2-40B4-BE49-F238E27FC236}">
              <a16:creationId xmlns:a16="http://schemas.microsoft.com/office/drawing/2014/main" id="{0BF58924-CF9D-42D8-B507-CFBBBAAA31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8" name="Host Control  279" hidden="1">
          <a:extLst>
            <a:ext uri="{FF2B5EF4-FFF2-40B4-BE49-F238E27FC236}">
              <a16:creationId xmlns:a16="http://schemas.microsoft.com/office/drawing/2014/main" id="{8548B217-3DF0-4206-9246-3046B5A392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9" name="Host Control  280" hidden="1">
          <a:extLst>
            <a:ext uri="{FF2B5EF4-FFF2-40B4-BE49-F238E27FC236}">
              <a16:creationId xmlns:a16="http://schemas.microsoft.com/office/drawing/2014/main" id="{86E0A64E-F8ED-4BFC-9F0C-DA76FACB521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0" name="Host Control  281" hidden="1">
          <a:extLst>
            <a:ext uri="{FF2B5EF4-FFF2-40B4-BE49-F238E27FC236}">
              <a16:creationId xmlns:a16="http://schemas.microsoft.com/office/drawing/2014/main" id="{6410054D-FB29-41A6-8FCD-AFC3D32D22C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1" name="Host Control  282" hidden="1">
          <a:extLst>
            <a:ext uri="{FF2B5EF4-FFF2-40B4-BE49-F238E27FC236}">
              <a16:creationId xmlns:a16="http://schemas.microsoft.com/office/drawing/2014/main" id="{2A4F2C7C-6207-457D-BB14-75DCA4CA4B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2" name="Host Control  283" hidden="1">
          <a:extLst>
            <a:ext uri="{FF2B5EF4-FFF2-40B4-BE49-F238E27FC236}">
              <a16:creationId xmlns:a16="http://schemas.microsoft.com/office/drawing/2014/main" id="{FDBA0D3E-D377-4EBD-A930-C46111A1AB7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3" name="Host Control  284" hidden="1">
          <a:extLst>
            <a:ext uri="{FF2B5EF4-FFF2-40B4-BE49-F238E27FC236}">
              <a16:creationId xmlns:a16="http://schemas.microsoft.com/office/drawing/2014/main" id="{C6BB4219-9E39-4402-91B9-935259CB6D8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4" name="Host Control  285" hidden="1">
          <a:extLst>
            <a:ext uri="{FF2B5EF4-FFF2-40B4-BE49-F238E27FC236}">
              <a16:creationId xmlns:a16="http://schemas.microsoft.com/office/drawing/2014/main" id="{D4B66E01-C4C1-4C65-B277-3D98C08B1C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5" name="Host Control  286" hidden="1">
          <a:extLst>
            <a:ext uri="{FF2B5EF4-FFF2-40B4-BE49-F238E27FC236}">
              <a16:creationId xmlns:a16="http://schemas.microsoft.com/office/drawing/2014/main" id="{09678873-FDEF-4969-995F-012E4B8A0B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6" name="Host Control  287" hidden="1">
          <a:extLst>
            <a:ext uri="{FF2B5EF4-FFF2-40B4-BE49-F238E27FC236}">
              <a16:creationId xmlns:a16="http://schemas.microsoft.com/office/drawing/2014/main" id="{69440AF1-4E99-45E1-A42A-12C99E0C0C3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7" name="Host Control  288" hidden="1">
          <a:extLst>
            <a:ext uri="{FF2B5EF4-FFF2-40B4-BE49-F238E27FC236}">
              <a16:creationId xmlns:a16="http://schemas.microsoft.com/office/drawing/2014/main" id="{C6DC5DD2-8B1C-4377-849C-ED8777BAF0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8" name="Host Control  289" hidden="1">
          <a:extLst>
            <a:ext uri="{FF2B5EF4-FFF2-40B4-BE49-F238E27FC236}">
              <a16:creationId xmlns:a16="http://schemas.microsoft.com/office/drawing/2014/main" id="{E34C0B0D-6BCC-42A9-94BA-FC2C0C42BC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9" name="Host Control  290" hidden="1">
          <a:extLst>
            <a:ext uri="{FF2B5EF4-FFF2-40B4-BE49-F238E27FC236}">
              <a16:creationId xmlns:a16="http://schemas.microsoft.com/office/drawing/2014/main" id="{DAA5DC91-299C-42FC-BCD5-1FE614018C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0" name="Host Control  291" hidden="1">
          <a:extLst>
            <a:ext uri="{FF2B5EF4-FFF2-40B4-BE49-F238E27FC236}">
              <a16:creationId xmlns:a16="http://schemas.microsoft.com/office/drawing/2014/main" id="{6D42BAFF-5ECD-4710-89E1-FBC9D7E985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1" name="Host Control  292" hidden="1">
          <a:extLst>
            <a:ext uri="{FF2B5EF4-FFF2-40B4-BE49-F238E27FC236}">
              <a16:creationId xmlns:a16="http://schemas.microsoft.com/office/drawing/2014/main" id="{0BDBE79D-F5C7-4CD2-9A53-A1541A8B8B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2" name="Host Control  293" hidden="1">
          <a:extLst>
            <a:ext uri="{FF2B5EF4-FFF2-40B4-BE49-F238E27FC236}">
              <a16:creationId xmlns:a16="http://schemas.microsoft.com/office/drawing/2014/main" id="{747F3B55-E820-4CEA-B2C8-5B0571A249B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3" name="Host Control  294" hidden="1">
          <a:extLst>
            <a:ext uri="{FF2B5EF4-FFF2-40B4-BE49-F238E27FC236}">
              <a16:creationId xmlns:a16="http://schemas.microsoft.com/office/drawing/2014/main" id="{394E81F9-7E2C-4F1F-85A7-78CB4554AA7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4" name="Host Control  295" hidden="1">
          <a:extLst>
            <a:ext uri="{FF2B5EF4-FFF2-40B4-BE49-F238E27FC236}">
              <a16:creationId xmlns:a16="http://schemas.microsoft.com/office/drawing/2014/main" id="{B6444D0B-D0E9-4714-B27F-B6313EFC202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5" name="Host Control  296" hidden="1">
          <a:extLst>
            <a:ext uri="{FF2B5EF4-FFF2-40B4-BE49-F238E27FC236}">
              <a16:creationId xmlns:a16="http://schemas.microsoft.com/office/drawing/2014/main" id="{33CA9C0A-0ECC-43B3-9DDE-0EB95E3D66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28495" cy="304800"/>
    <xdr:sp macro="" textlink="">
      <xdr:nvSpPr>
        <xdr:cNvPr id="2866" name="Host Control  32">
          <a:extLst>
            <a:ext uri="{FF2B5EF4-FFF2-40B4-BE49-F238E27FC236}">
              <a16:creationId xmlns:a16="http://schemas.microsoft.com/office/drawing/2014/main" id="{CA763A9D-66A8-4ED1-9777-DC62B846596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7" name="Host Control  33">
          <a:extLst>
            <a:ext uri="{FF2B5EF4-FFF2-40B4-BE49-F238E27FC236}">
              <a16:creationId xmlns:a16="http://schemas.microsoft.com/office/drawing/2014/main" id="{6DFF428C-6341-4D89-9FB1-C69F5C0263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8" name="Host Control  34">
          <a:extLst>
            <a:ext uri="{FF2B5EF4-FFF2-40B4-BE49-F238E27FC236}">
              <a16:creationId xmlns:a16="http://schemas.microsoft.com/office/drawing/2014/main" id="{A9E70AE8-9AD6-4193-9975-AF60B10A38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9" name="Host Control  35">
          <a:extLst>
            <a:ext uri="{FF2B5EF4-FFF2-40B4-BE49-F238E27FC236}">
              <a16:creationId xmlns:a16="http://schemas.microsoft.com/office/drawing/2014/main" id="{366D467C-D59B-4244-AEFB-C471D6FCF4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0" name="Host Control  36">
          <a:extLst>
            <a:ext uri="{FF2B5EF4-FFF2-40B4-BE49-F238E27FC236}">
              <a16:creationId xmlns:a16="http://schemas.microsoft.com/office/drawing/2014/main" id="{F50ABD8E-10FE-403B-A100-59D483DA5FA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1" name="Host Control  37">
          <a:extLst>
            <a:ext uri="{FF2B5EF4-FFF2-40B4-BE49-F238E27FC236}">
              <a16:creationId xmlns:a16="http://schemas.microsoft.com/office/drawing/2014/main" id="{C2CFEBEC-909F-4917-9AA1-CCE44DA3C06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2" name="Host Control  38">
          <a:extLst>
            <a:ext uri="{FF2B5EF4-FFF2-40B4-BE49-F238E27FC236}">
              <a16:creationId xmlns:a16="http://schemas.microsoft.com/office/drawing/2014/main" id="{A75C174F-8795-459A-8DE1-503D0409FA6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3" name="Host Control  39">
          <a:extLst>
            <a:ext uri="{FF2B5EF4-FFF2-40B4-BE49-F238E27FC236}">
              <a16:creationId xmlns:a16="http://schemas.microsoft.com/office/drawing/2014/main" id="{B91836CF-04FC-493F-A6D6-902956EDF93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4" name="Host Control  40">
          <a:extLst>
            <a:ext uri="{FF2B5EF4-FFF2-40B4-BE49-F238E27FC236}">
              <a16:creationId xmlns:a16="http://schemas.microsoft.com/office/drawing/2014/main" id="{6B149E19-A8FC-4CFF-B34F-D778622F4F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5" name="Host Control  41">
          <a:extLst>
            <a:ext uri="{FF2B5EF4-FFF2-40B4-BE49-F238E27FC236}">
              <a16:creationId xmlns:a16="http://schemas.microsoft.com/office/drawing/2014/main" id="{60E444C1-4F3C-4316-976E-0F98D8FA4AF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6" name="Host Control  42">
          <a:extLst>
            <a:ext uri="{FF2B5EF4-FFF2-40B4-BE49-F238E27FC236}">
              <a16:creationId xmlns:a16="http://schemas.microsoft.com/office/drawing/2014/main" id="{AD04C00C-EE9F-4ED9-8970-958598A87BA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7" name="Host Control  43">
          <a:extLst>
            <a:ext uri="{FF2B5EF4-FFF2-40B4-BE49-F238E27FC236}">
              <a16:creationId xmlns:a16="http://schemas.microsoft.com/office/drawing/2014/main" id="{07902E66-D63B-4C95-B3CD-95585F8671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8" name="Host Control  44">
          <a:extLst>
            <a:ext uri="{FF2B5EF4-FFF2-40B4-BE49-F238E27FC236}">
              <a16:creationId xmlns:a16="http://schemas.microsoft.com/office/drawing/2014/main" id="{2AADA99E-AF83-4B5E-A80F-0C091C5FC81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9" name="Host Control  45">
          <a:extLst>
            <a:ext uri="{FF2B5EF4-FFF2-40B4-BE49-F238E27FC236}">
              <a16:creationId xmlns:a16="http://schemas.microsoft.com/office/drawing/2014/main" id="{51311486-19A2-4175-ACC9-E7873A1812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0" name="Host Control  46">
          <a:extLst>
            <a:ext uri="{FF2B5EF4-FFF2-40B4-BE49-F238E27FC236}">
              <a16:creationId xmlns:a16="http://schemas.microsoft.com/office/drawing/2014/main" id="{9096C1F1-38F2-47B2-BFA2-5BCF960E58B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1" name="Host Control  47">
          <a:extLst>
            <a:ext uri="{FF2B5EF4-FFF2-40B4-BE49-F238E27FC236}">
              <a16:creationId xmlns:a16="http://schemas.microsoft.com/office/drawing/2014/main" id="{7F016103-DB92-431D-BE86-6A873E9877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2" name="Host Control  48">
          <a:extLst>
            <a:ext uri="{FF2B5EF4-FFF2-40B4-BE49-F238E27FC236}">
              <a16:creationId xmlns:a16="http://schemas.microsoft.com/office/drawing/2014/main" id="{8416FE0A-A2E1-451D-BCBC-527BF49A5D1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3" name="Host Control  49">
          <a:extLst>
            <a:ext uri="{FF2B5EF4-FFF2-40B4-BE49-F238E27FC236}">
              <a16:creationId xmlns:a16="http://schemas.microsoft.com/office/drawing/2014/main" id="{E4738878-6306-4561-937C-24EE8EBAE7A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4" name="Host Control  50">
          <a:extLst>
            <a:ext uri="{FF2B5EF4-FFF2-40B4-BE49-F238E27FC236}">
              <a16:creationId xmlns:a16="http://schemas.microsoft.com/office/drawing/2014/main" id="{E3858F70-8268-475E-96DC-3EB378C673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5" name="Host Control  51">
          <a:extLst>
            <a:ext uri="{FF2B5EF4-FFF2-40B4-BE49-F238E27FC236}">
              <a16:creationId xmlns:a16="http://schemas.microsoft.com/office/drawing/2014/main" id="{3B93110F-1B7C-4537-8395-F47F65D48D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6" name="Host Control  52">
          <a:extLst>
            <a:ext uri="{FF2B5EF4-FFF2-40B4-BE49-F238E27FC236}">
              <a16:creationId xmlns:a16="http://schemas.microsoft.com/office/drawing/2014/main" id="{0DCB77B6-28AD-4170-BE23-42F8138544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7" name="Host Control  53">
          <a:extLst>
            <a:ext uri="{FF2B5EF4-FFF2-40B4-BE49-F238E27FC236}">
              <a16:creationId xmlns:a16="http://schemas.microsoft.com/office/drawing/2014/main" id="{3190B136-401B-4930-8C1B-2FB7B3C43BB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8" name="Host Control  54">
          <a:extLst>
            <a:ext uri="{FF2B5EF4-FFF2-40B4-BE49-F238E27FC236}">
              <a16:creationId xmlns:a16="http://schemas.microsoft.com/office/drawing/2014/main" id="{55ABF930-4559-4C7F-90F6-BCE10816525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9" name="Host Control  55">
          <a:extLst>
            <a:ext uri="{FF2B5EF4-FFF2-40B4-BE49-F238E27FC236}">
              <a16:creationId xmlns:a16="http://schemas.microsoft.com/office/drawing/2014/main" id="{C1CB267D-61B6-4EE2-B467-A308374FD2B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0" name="Host Control  56">
          <a:extLst>
            <a:ext uri="{FF2B5EF4-FFF2-40B4-BE49-F238E27FC236}">
              <a16:creationId xmlns:a16="http://schemas.microsoft.com/office/drawing/2014/main" id="{B27BA674-BCC6-4C98-AF22-518523BF3EC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1" name="Host Control  57">
          <a:extLst>
            <a:ext uri="{FF2B5EF4-FFF2-40B4-BE49-F238E27FC236}">
              <a16:creationId xmlns:a16="http://schemas.microsoft.com/office/drawing/2014/main" id="{90717CEB-F7AA-46F8-8E90-5872344EDF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2" name="Host Control  58">
          <a:extLst>
            <a:ext uri="{FF2B5EF4-FFF2-40B4-BE49-F238E27FC236}">
              <a16:creationId xmlns:a16="http://schemas.microsoft.com/office/drawing/2014/main" id="{C81875FF-32F9-4970-B7F4-8B974723C4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3" name="Host Control  59">
          <a:extLst>
            <a:ext uri="{FF2B5EF4-FFF2-40B4-BE49-F238E27FC236}">
              <a16:creationId xmlns:a16="http://schemas.microsoft.com/office/drawing/2014/main" id="{D50F1842-EDD0-4132-AEF9-128D3056F9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4" name="Host Control  60">
          <a:extLst>
            <a:ext uri="{FF2B5EF4-FFF2-40B4-BE49-F238E27FC236}">
              <a16:creationId xmlns:a16="http://schemas.microsoft.com/office/drawing/2014/main" id="{7B29AA36-ACA3-4679-9888-28ADF1D0BB2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5" name="Host Control  61">
          <a:extLst>
            <a:ext uri="{FF2B5EF4-FFF2-40B4-BE49-F238E27FC236}">
              <a16:creationId xmlns:a16="http://schemas.microsoft.com/office/drawing/2014/main" id="{5D1D2B88-E854-40C3-8208-A6FCB75436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6" name="Host Control  65">
          <a:extLst>
            <a:ext uri="{FF2B5EF4-FFF2-40B4-BE49-F238E27FC236}">
              <a16:creationId xmlns:a16="http://schemas.microsoft.com/office/drawing/2014/main" id="{76D06FD2-A7DE-479B-A804-E5A52AD195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7" name="Host Control  66">
          <a:extLst>
            <a:ext uri="{FF2B5EF4-FFF2-40B4-BE49-F238E27FC236}">
              <a16:creationId xmlns:a16="http://schemas.microsoft.com/office/drawing/2014/main" id="{D1B94813-3483-4186-B242-CDF5B819F8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8" name="Host Control  67">
          <a:extLst>
            <a:ext uri="{FF2B5EF4-FFF2-40B4-BE49-F238E27FC236}">
              <a16:creationId xmlns:a16="http://schemas.microsoft.com/office/drawing/2014/main" id="{27D716E0-F264-4CC1-8BAF-EDEAD230DA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9" name="Host Control  68">
          <a:extLst>
            <a:ext uri="{FF2B5EF4-FFF2-40B4-BE49-F238E27FC236}">
              <a16:creationId xmlns:a16="http://schemas.microsoft.com/office/drawing/2014/main" id="{94432D96-A9AB-4B43-B1D2-BD257E97A13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0" name="Host Control  69">
          <a:extLst>
            <a:ext uri="{FF2B5EF4-FFF2-40B4-BE49-F238E27FC236}">
              <a16:creationId xmlns:a16="http://schemas.microsoft.com/office/drawing/2014/main" id="{199F0A58-D619-4CD0-95AE-67339889F60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1" name="Host Control  70">
          <a:extLst>
            <a:ext uri="{FF2B5EF4-FFF2-40B4-BE49-F238E27FC236}">
              <a16:creationId xmlns:a16="http://schemas.microsoft.com/office/drawing/2014/main" id="{01FCDE09-49B3-4AF2-A338-0527690F5A7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2" name="Host Control  71">
          <a:extLst>
            <a:ext uri="{FF2B5EF4-FFF2-40B4-BE49-F238E27FC236}">
              <a16:creationId xmlns:a16="http://schemas.microsoft.com/office/drawing/2014/main" id="{68E07C39-6340-41F2-806D-E57343E1D3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3" name="Host Control  72">
          <a:extLst>
            <a:ext uri="{FF2B5EF4-FFF2-40B4-BE49-F238E27FC236}">
              <a16:creationId xmlns:a16="http://schemas.microsoft.com/office/drawing/2014/main" id="{AC836122-388E-402B-BD3C-6CE42D9DC2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4" name="Host Control  73">
          <a:extLst>
            <a:ext uri="{FF2B5EF4-FFF2-40B4-BE49-F238E27FC236}">
              <a16:creationId xmlns:a16="http://schemas.microsoft.com/office/drawing/2014/main" id="{C1BABD7B-5C20-49E6-8C9D-4CF3C450F27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5" name="Host Control  74">
          <a:extLst>
            <a:ext uri="{FF2B5EF4-FFF2-40B4-BE49-F238E27FC236}">
              <a16:creationId xmlns:a16="http://schemas.microsoft.com/office/drawing/2014/main" id="{3F7A7C3B-F34B-4134-AC91-2D9B6E178E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6" name="Host Control  75">
          <a:extLst>
            <a:ext uri="{FF2B5EF4-FFF2-40B4-BE49-F238E27FC236}">
              <a16:creationId xmlns:a16="http://schemas.microsoft.com/office/drawing/2014/main" id="{69EF9B18-ED99-4517-927E-2EA1DBD419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7" name="Host Control  76">
          <a:extLst>
            <a:ext uri="{FF2B5EF4-FFF2-40B4-BE49-F238E27FC236}">
              <a16:creationId xmlns:a16="http://schemas.microsoft.com/office/drawing/2014/main" id="{7911FC89-C19D-41B3-8680-F65B2C09FA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8" name="Host Control  77">
          <a:extLst>
            <a:ext uri="{FF2B5EF4-FFF2-40B4-BE49-F238E27FC236}">
              <a16:creationId xmlns:a16="http://schemas.microsoft.com/office/drawing/2014/main" id="{1FCF35B6-8C71-401E-AFD0-09C19A0BFE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9" name="Host Control  78">
          <a:extLst>
            <a:ext uri="{FF2B5EF4-FFF2-40B4-BE49-F238E27FC236}">
              <a16:creationId xmlns:a16="http://schemas.microsoft.com/office/drawing/2014/main" id="{96B908D4-E3F3-4384-8DA1-07FB6F69A4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0" name="Host Control  79">
          <a:extLst>
            <a:ext uri="{FF2B5EF4-FFF2-40B4-BE49-F238E27FC236}">
              <a16:creationId xmlns:a16="http://schemas.microsoft.com/office/drawing/2014/main" id="{4C2FF860-8240-40B9-9742-E7AAF7F1D2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1" name="Host Control  80">
          <a:extLst>
            <a:ext uri="{FF2B5EF4-FFF2-40B4-BE49-F238E27FC236}">
              <a16:creationId xmlns:a16="http://schemas.microsoft.com/office/drawing/2014/main" id="{94472E08-4DD5-4931-83BA-5B06D58DBDA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2" name="Host Control  81">
          <a:extLst>
            <a:ext uri="{FF2B5EF4-FFF2-40B4-BE49-F238E27FC236}">
              <a16:creationId xmlns:a16="http://schemas.microsoft.com/office/drawing/2014/main" id="{9AD78E73-B430-46AF-AC33-309C028942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3" name="Host Control  82">
          <a:extLst>
            <a:ext uri="{FF2B5EF4-FFF2-40B4-BE49-F238E27FC236}">
              <a16:creationId xmlns:a16="http://schemas.microsoft.com/office/drawing/2014/main" id="{B39B3241-E497-4EF5-B308-A3D2E51D1E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4" name="Host Control  83">
          <a:extLst>
            <a:ext uri="{FF2B5EF4-FFF2-40B4-BE49-F238E27FC236}">
              <a16:creationId xmlns:a16="http://schemas.microsoft.com/office/drawing/2014/main" id="{A47A6500-404B-45C7-AEA6-973A9DB0C0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5" name="Host Control  84">
          <a:extLst>
            <a:ext uri="{FF2B5EF4-FFF2-40B4-BE49-F238E27FC236}">
              <a16:creationId xmlns:a16="http://schemas.microsoft.com/office/drawing/2014/main" id="{6800A577-862F-475E-A8ED-6748D32042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6" name="Host Control  85">
          <a:extLst>
            <a:ext uri="{FF2B5EF4-FFF2-40B4-BE49-F238E27FC236}">
              <a16:creationId xmlns:a16="http://schemas.microsoft.com/office/drawing/2014/main" id="{7492EDEF-B7C4-4B9D-87AD-77E1C7D89FB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7" name="Host Control  86">
          <a:extLst>
            <a:ext uri="{FF2B5EF4-FFF2-40B4-BE49-F238E27FC236}">
              <a16:creationId xmlns:a16="http://schemas.microsoft.com/office/drawing/2014/main" id="{677EE6B3-1AF5-487E-B3DA-0215C26316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8" name="Host Control  87">
          <a:extLst>
            <a:ext uri="{FF2B5EF4-FFF2-40B4-BE49-F238E27FC236}">
              <a16:creationId xmlns:a16="http://schemas.microsoft.com/office/drawing/2014/main" id="{EDDC7290-CEAA-4C47-9A84-8191AE10FA0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9" name="Host Control  88">
          <a:extLst>
            <a:ext uri="{FF2B5EF4-FFF2-40B4-BE49-F238E27FC236}">
              <a16:creationId xmlns:a16="http://schemas.microsoft.com/office/drawing/2014/main" id="{145E9ED9-7BCF-4013-BE9D-431C25F09F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0" name="Host Control  89">
          <a:extLst>
            <a:ext uri="{FF2B5EF4-FFF2-40B4-BE49-F238E27FC236}">
              <a16:creationId xmlns:a16="http://schemas.microsoft.com/office/drawing/2014/main" id="{D5DFDE2D-5AB6-4D64-ADAE-1F29CE4B38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1" name="Host Control  90">
          <a:extLst>
            <a:ext uri="{FF2B5EF4-FFF2-40B4-BE49-F238E27FC236}">
              <a16:creationId xmlns:a16="http://schemas.microsoft.com/office/drawing/2014/main" id="{3E967EF0-BEB8-4E47-86C2-A35F761A94C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2" name="Host Control  91">
          <a:extLst>
            <a:ext uri="{FF2B5EF4-FFF2-40B4-BE49-F238E27FC236}">
              <a16:creationId xmlns:a16="http://schemas.microsoft.com/office/drawing/2014/main" id="{F289F6B1-775F-4860-B939-75EFC3F7B2E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3" name="Host Control  92">
          <a:extLst>
            <a:ext uri="{FF2B5EF4-FFF2-40B4-BE49-F238E27FC236}">
              <a16:creationId xmlns:a16="http://schemas.microsoft.com/office/drawing/2014/main" id="{65E95646-C720-4BEC-B978-818F6EE6F2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4" name="Host Control  93">
          <a:extLst>
            <a:ext uri="{FF2B5EF4-FFF2-40B4-BE49-F238E27FC236}">
              <a16:creationId xmlns:a16="http://schemas.microsoft.com/office/drawing/2014/main" id="{EBAE5493-A8FF-4E55-BB57-D47B875AEB3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5" name="Host Control  94">
          <a:extLst>
            <a:ext uri="{FF2B5EF4-FFF2-40B4-BE49-F238E27FC236}">
              <a16:creationId xmlns:a16="http://schemas.microsoft.com/office/drawing/2014/main" id="{941B9B4C-49CC-4321-A5C8-C421A73C124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6" name="Host Control  98">
          <a:extLst>
            <a:ext uri="{FF2B5EF4-FFF2-40B4-BE49-F238E27FC236}">
              <a16:creationId xmlns:a16="http://schemas.microsoft.com/office/drawing/2014/main" id="{B7C36137-609F-45BA-AE20-FAA2FF23445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7" name="Host Control  99">
          <a:extLst>
            <a:ext uri="{FF2B5EF4-FFF2-40B4-BE49-F238E27FC236}">
              <a16:creationId xmlns:a16="http://schemas.microsoft.com/office/drawing/2014/main" id="{0F9F0EBF-4D02-44E0-AA32-467C81E13E7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8" name="Host Control  100">
          <a:extLst>
            <a:ext uri="{FF2B5EF4-FFF2-40B4-BE49-F238E27FC236}">
              <a16:creationId xmlns:a16="http://schemas.microsoft.com/office/drawing/2014/main" id="{E545776C-08D8-4A3F-A199-3ADAD3E884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9" name="Host Control  101">
          <a:extLst>
            <a:ext uri="{FF2B5EF4-FFF2-40B4-BE49-F238E27FC236}">
              <a16:creationId xmlns:a16="http://schemas.microsoft.com/office/drawing/2014/main" id="{73775EAD-4A94-4675-8CD6-971F1760E3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0" name="Host Control  102">
          <a:extLst>
            <a:ext uri="{FF2B5EF4-FFF2-40B4-BE49-F238E27FC236}">
              <a16:creationId xmlns:a16="http://schemas.microsoft.com/office/drawing/2014/main" id="{D8CD9F48-98E6-4A01-B671-DF50F8146F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1" name="Host Control  103">
          <a:extLst>
            <a:ext uri="{FF2B5EF4-FFF2-40B4-BE49-F238E27FC236}">
              <a16:creationId xmlns:a16="http://schemas.microsoft.com/office/drawing/2014/main" id="{6D81177B-607E-4604-9E7C-A7A89EB894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2" name="Host Control  104">
          <a:extLst>
            <a:ext uri="{FF2B5EF4-FFF2-40B4-BE49-F238E27FC236}">
              <a16:creationId xmlns:a16="http://schemas.microsoft.com/office/drawing/2014/main" id="{11176101-5713-4DD3-BDDC-F550D29CBB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3" name="Host Control  105">
          <a:extLst>
            <a:ext uri="{FF2B5EF4-FFF2-40B4-BE49-F238E27FC236}">
              <a16:creationId xmlns:a16="http://schemas.microsoft.com/office/drawing/2014/main" id="{A17C3F25-3380-4E2D-ADE5-4981E05721D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4" name="Host Control  106">
          <a:extLst>
            <a:ext uri="{FF2B5EF4-FFF2-40B4-BE49-F238E27FC236}">
              <a16:creationId xmlns:a16="http://schemas.microsoft.com/office/drawing/2014/main" id="{DB8F5990-9F05-4D22-8DBD-8FE0A6CCDE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5" name="Host Control  107">
          <a:extLst>
            <a:ext uri="{FF2B5EF4-FFF2-40B4-BE49-F238E27FC236}">
              <a16:creationId xmlns:a16="http://schemas.microsoft.com/office/drawing/2014/main" id="{B86A3110-C99A-4876-B401-2D1E949F8E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6" name="Host Control  108">
          <a:extLst>
            <a:ext uri="{FF2B5EF4-FFF2-40B4-BE49-F238E27FC236}">
              <a16:creationId xmlns:a16="http://schemas.microsoft.com/office/drawing/2014/main" id="{0C168E5D-25F1-41DF-B516-E593AEE2009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7" name="Host Control  109">
          <a:extLst>
            <a:ext uri="{FF2B5EF4-FFF2-40B4-BE49-F238E27FC236}">
              <a16:creationId xmlns:a16="http://schemas.microsoft.com/office/drawing/2014/main" id="{33CB104E-2684-46CE-86DA-5078D8A8838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8" name="Host Control  110">
          <a:extLst>
            <a:ext uri="{FF2B5EF4-FFF2-40B4-BE49-F238E27FC236}">
              <a16:creationId xmlns:a16="http://schemas.microsoft.com/office/drawing/2014/main" id="{1968056A-ADEC-4149-AAB1-719DF5EC37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9" name="Host Control  111">
          <a:extLst>
            <a:ext uri="{FF2B5EF4-FFF2-40B4-BE49-F238E27FC236}">
              <a16:creationId xmlns:a16="http://schemas.microsoft.com/office/drawing/2014/main" id="{61655DC3-EFE7-4886-9BFF-0CF1E443B99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0" name="Host Control  112">
          <a:extLst>
            <a:ext uri="{FF2B5EF4-FFF2-40B4-BE49-F238E27FC236}">
              <a16:creationId xmlns:a16="http://schemas.microsoft.com/office/drawing/2014/main" id="{012D0930-DB05-46E8-BDF7-B381898BCF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1" name="Host Control  113">
          <a:extLst>
            <a:ext uri="{FF2B5EF4-FFF2-40B4-BE49-F238E27FC236}">
              <a16:creationId xmlns:a16="http://schemas.microsoft.com/office/drawing/2014/main" id="{C6DF857F-7F63-4D63-9191-F4A81C80D67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2" name="Host Control  114">
          <a:extLst>
            <a:ext uri="{FF2B5EF4-FFF2-40B4-BE49-F238E27FC236}">
              <a16:creationId xmlns:a16="http://schemas.microsoft.com/office/drawing/2014/main" id="{87AF14E6-C845-4C25-87F6-E9E7D2A2E7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3" name="Host Control  115">
          <a:extLst>
            <a:ext uri="{FF2B5EF4-FFF2-40B4-BE49-F238E27FC236}">
              <a16:creationId xmlns:a16="http://schemas.microsoft.com/office/drawing/2014/main" id="{6088F5ED-CF0B-4280-ACE3-823B7B3A9B4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4" name="Host Control  116">
          <a:extLst>
            <a:ext uri="{FF2B5EF4-FFF2-40B4-BE49-F238E27FC236}">
              <a16:creationId xmlns:a16="http://schemas.microsoft.com/office/drawing/2014/main" id="{95FE5C43-D53D-472B-B4C4-269BEB94B9F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5" name="Host Control  117">
          <a:extLst>
            <a:ext uri="{FF2B5EF4-FFF2-40B4-BE49-F238E27FC236}">
              <a16:creationId xmlns:a16="http://schemas.microsoft.com/office/drawing/2014/main" id="{867CF092-02A8-4996-9F04-90518CB1AE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6" name="Host Control  118">
          <a:extLst>
            <a:ext uri="{FF2B5EF4-FFF2-40B4-BE49-F238E27FC236}">
              <a16:creationId xmlns:a16="http://schemas.microsoft.com/office/drawing/2014/main" id="{A93E0E14-A276-48BA-9F04-E0DA23D4AD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7" name="Host Control  119">
          <a:extLst>
            <a:ext uri="{FF2B5EF4-FFF2-40B4-BE49-F238E27FC236}">
              <a16:creationId xmlns:a16="http://schemas.microsoft.com/office/drawing/2014/main" id="{358FE52A-55F5-479F-A7DD-C40FC01CE69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8" name="Host Control  120">
          <a:extLst>
            <a:ext uri="{FF2B5EF4-FFF2-40B4-BE49-F238E27FC236}">
              <a16:creationId xmlns:a16="http://schemas.microsoft.com/office/drawing/2014/main" id="{461C2BDD-C0B7-4D66-A72F-64B60B3211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9" name="Host Control  121">
          <a:extLst>
            <a:ext uri="{FF2B5EF4-FFF2-40B4-BE49-F238E27FC236}">
              <a16:creationId xmlns:a16="http://schemas.microsoft.com/office/drawing/2014/main" id="{4607E09F-2C39-4FBB-950D-01D97F15A4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0" name="Host Control  122">
          <a:extLst>
            <a:ext uri="{FF2B5EF4-FFF2-40B4-BE49-F238E27FC236}">
              <a16:creationId xmlns:a16="http://schemas.microsoft.com/office/drawing/2014/main" id="{145E99B0-8465-4F55-8E79-3388D237DB6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1" name="Host Control  123">
          <a:extLst>
            <a:ext uri="{FF2B5EF4-FFF2-40B4-BE49-F238E27FC236}">
              <a16:creationId xmlns:a16="http://schemas.microsoft.com/office/drawing/2014/main" id="{575D88B6-EDB6-4F27-8827-D5228A838B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2" name="Host Control  124">
          <a:extLst>
            <a:ext uri="{FF2B5EF4-FFF2-40B4-BE49-F238E27FC236}">
              <a16:creationId xmlns:a16="http://schemas.microsoft.com/office/drawing/2014/main" id="{C045550C-2473-440E-8557-EE8E81012C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3" name="Host Control  125">
          <a:extLst>
            <a:ext uri="{FF2B5EF4-FFF2-40B4-BE49-F238E27FC236}">
              <a16:creationId xmlns:a16="http://schemas.microsoft.com/office/drawing/2014/main" id="{C72F0717-8FDF-4E58-8B0B-4923ECD510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4" name="Host Control  126">
          <a:extLst>
            <a:ext uri="{FF2B5EF4-FFF2-40B4-BE49-F238E27FC236}">
              <a16:creationId xmlns:a16="http://schemas.microsoft.com/office/drawing/2014/main" id="{3A527503-C118-4C97-876C-30F1263CF3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5" name="Host Control  127">
          <a:extLst>
            <a:ext uri="{FF2B5EF4-FFF2-40B4-BE49-F238E27FC236}">
              <a16:creationId xmlns:a16="http://schemas.microsoft.com/office/drawing/2014/main" id="{90EF714F-19F4-41F1-BC6D-C2433BC1E3A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6" name="Host Control  135">
          <a:extLst>
            <a:ext uri="{FF2B5EF4-FFF2-40B4-BE49-F238E27FC236}">
              <a16:creationId xmlns:a16="http://schemas.microsoft.com/office/drawing/2014/main" id="{D24225EC-A36D-4622-AE8C-D54BD04C1F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7" name="Host Control  136">
          <a:extLst>
            <a:ext uri="{FF2B5EF4-FFF2-40B4-BE49-F238E27FC236}">
              <a16:creationId xmlns:a16="http://schemas.microsoft.com/office/drawing/2014/main" id="{DCCC9B08-193E-4FA2-B9DD-0798CC4C67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8" name="Host Control  137">
          <a:extLst>
            <a:ext uri="{FF2B5EF4-FFF2-40B4-BE49-F238E27FC236}">
              <a16:creationId xmlns:a16="http://schemas.microsoft.com/office/drawing/2014/main" id="{8A7AE83F-70DF-4D8C-BE18-6BA1BA0084E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9" name="Host Control  138">
          <a:extLst>
            <a:ext uri="{FF2B5EF4-FFF2-40B4-BE49-F238E27FC236}">
              <a16:creationId xmlns:a16="http://schemas.microsoft.com/office/drawing/2014/main" id="{454040DD-71BB-449B-A652-5A1B795A260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0" name="Host Control  139">
          <a:extLst>
            <a:ext uri="{FF2B5EF4-FFF2-40B4-BE49-F238E27FC236}">
              <a16:creationId xmlns:a16="http://schemas.microsoft.com/office/drawing/2014/main" id="{DED40D1B-B1B2-4010-AAAC-FE826C23506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1" name="Host Control  140">
          <a:extLst>
            <a:ext uri="{FF2B5EF4-FFF2-40B4-BE49-F238E27FC236}">
              <a16:creationId xmlns:a16="http://schemas.microsoft.com/office/drawing/2014/main" id="{FC640DDC-AEFC-45F8-9605-77E5150281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2" name="Host Control  141">
          <a:extLst>
            <a:ext uri="{FF2B5EF4-FFF2-40B4-BE49-F238E27FC236}">
              <a16:creationId xmlns:a16="http://schemas.microsoft.com/office/drawing/2014/main" id="{DFE69F43-2D43-4F0E-9A2B-C5F4E17548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3" name="Host Control  142">
          <a:extLst>
            <a:ext uri="{FF2B5EF4-FFF2-40B4-BE49-F238E27FC236}">
              <a16:creationId xmlns:a16="http://schemas.microsoft.com/office/drawing/2014/main" id="{3F947A45-CFA3-4E01-B07A-B0A680277A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4" name="Host Control  143">
          <a:extLst>
            <a:ext uri="{FF2B5EF4-FFF2-40B4-BE49-F238E27FC236}">
              <a16:creationId xmlns:a16="http://schemas.microsoft.com/office/drawing/2014/main" id="{BB431E9C-DA9E-4EC9-8336-C9E2C5831D4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5" name="Host Control  144">
          <a:extLst>
            <a:ext uri="{FF2B5EF4-FFF2-40B4-BE49-F238E27FC236}">
              <a16:creationId xmlns:a16="http://schemas.microsoft.com/office/drawing/2014/main" id="{2B188022-8977-4265-AEC6-5BEF882F97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6" name="Host Control  145">
          <a:extLst>
            <a:ext uri="{FF2B5EF4-FFF2-40B4-BE49-F238E27FC236}">
              <a16:creationId xmlns:a16="http://schemas.microsoft.com/office/drawing/2014/main" id="{3EF18244-C371-4A8E-A421-A75993877D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7" name="Host Control  146">
          <a:extLst>
            <a:ext uri="{FF2B5EF4-FFF2-40B4-BE49-F238E27FC236}">
              <a16:creationId xmlns:a16="http://schemas.microsoft.com/office/drawing/2014/main" id="{543B81C9-E4B4-4720-B2A1-92B4E2828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8" name="Host Control  147">
          <a:extLst>
            <a:ext uri="{FF2B5EF4-FFF2-40B4-BE49-F238E27FC236}">
              <a16:creationId xmlns:a16="http://schemas.microsoft.com/office/drawing/2014/main" id="{7F310E24-75E1-4D19-89A3-2C85D88E5E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9" name="Host Control  148">
          <a:extLst>
            <a:ext uri="{FF2B5EF4-FFF2-40B4-BE49-F238E27FC236}">
              <a16:creationId xmlns:a16="http://schemas.microsoft.com/office/drawing/2014/main" id="{E19B8C63-B7BA-4637-8502-DBC7F91C79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0" name="Host Control  149">
          <a:extLst>
            <a:ext uri="{FF2B5EF4-FFF2-40B4-BE49-F238E27FC236}">
              <a16:creationId xmlns:a16="http://schemas.microsoft.com/office/drawing/2014/main" id="{8AD104B1-3436-4532-9B8A-81576EE0BB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1" name="Host Control  150">
          <a:extLst>
            <a:ext uri="{FF2B5EF4-FFF2-40B4-BE49-F238E27FC236}">
              <a16:creationId xmlns:a16="http://schemas.microsoft.com/office/drawing/2014/main" id="{EA6F9431-0461-4ECA-9265-1C039D5EF04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2" name="Host Control  151">
          <a:extLst>
            <a:ext uri="{FF2B5EF4-FFF2-40B4-BE49-F238E27FC236}">
              <a16:creationId xmlns:a16="http://schemas.microsoft.com/office/drawing/2014/main" id="{6CEC5FA6-B012-4840-8F53-A6B8163D1F4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3" name="Host Control  152">
          <a:extLst>
            <a:ext uri="{FF2B5EF4-FFF2-40B4-BE49-F238E27FC236}">
              <a16:creationId xmlns:a16="http://schemas.microsoft.com/office/drawing/2014/main" id="{4A49EA97-0AF8-4EEC-AEC4-CD0F873BF6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4" name="Host Control  153">
          <a:extLst>
            <a:ext uri="{FF2B5EF4-FFF2-40B4-BE49-F238E27FC236}">
              <a16:creationId xmlns:a16="http://schemas.microsoft.com/office/drawing/2014/main" id="{B4C433AB-9843-4E5A-B0E2-78D93CEDCE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5" name="Host Control  154">
          <a:extLst>
            <a:ext uri="{FF2B5EF4-FFF2-40B4-BE49-F238E27FC236}">
              <a16:creationId xmlns:a16="http://schemas.microsoft.com/office/drawing/2014/main" id="{09BBE53E-82E3-4801-A8F2-061502125C7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6" name="Host Control  155">
          <a:extLst>
            <a:ext uri="{FF2B5EF4-FFF2-40B4-BE49-F238E27FC236}">
              <a16:creationId xmlns:a16="http://schemas.microsoft.com/office/drawing/2014/main" id="{FEBAC15D-5D4A-4E93-A7BE-4304A447B0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7" name="Host Control  156">
          <a:extLst>
            <a:ext uri="{FF2B5EF4-FFF2-40B4-BE49-F238E27FC236}">
              <a16:creationId xmlns:a16="http://schemas.microsoft.com/office/drawing/2014/main" id="{DE309B92-D1DD-44F5-AE92-3E8FD504B7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8" name="Host Control  157">
          <a:extLst>
            <a:ext uri="{FF2B5EF4-FFF2-40B4-BE49-F238E27FC236}">
              <a16:creationId xmlns:a16="http://schemas.microsoft.com/office/drawing/2014/main" id="{8326A378-2604-4E2A-9A77-4FA37691B94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9" name="Host Control  158">
          <a:extLst>
            <a:ext uri="{FF2B5EF4-FFF2-40B4-BE49-F238E27FC236}">
              <a16:creationId xmlns:a16="http://schemas.microsoft.com/office/drawing/2014/main" id="{538DC134-A9DF-436E-A83B-5588BF8DE8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0" name="Host Control  159">
          <a:extLst>
            <a:ext uri="{FF2B5EF4-FFF2-40B4-BE49-F238E27FC236}">
              <a16:creationId xmlns:a16="http://schemas.microsoft.com/office/drawing/2014/main" id="{6D33B6D7-9507-445C-A2DF-A6A6053ED0A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1" name="Host Control  160">
          <a:extLst>
            <a:ext uri="{FF2B5EF4-FFF2-40B4-BE49-F238E27FC236}">
              <a16:creationId xmlns:a16="http://schemas.microsoft.com/office/drawing/2014/main" id="{EBD83070-7513-4FB6-BA77-5BAE810E3E1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2" name="Host Control  161">
          <a:extLst>
            <a:ext uri="{FF2B5EF4-FFF2-40B4-BE49-F238E27FC236}">
              <a16:creationId xmlns:a16="http://schemas.microsoft.com/office/drawing/2014/main" id="{EF2B7538-CB5E-4F3C-9D7A-3CD291D4482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3" name="Host Control  162">
          <a:extLst>
            <a:ext uri="{FF2B5EF4-FFF2-40B4-BE49-F238E27FC236}">
              <a16:creationId xmlns:a16="http://schemas.microsoft.com/office/drawing/2014/main" id="{81015D88-8C79-457C-B4A3-98EA9EF7CE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4" name="Host Control  163">
          <a:extLst>
            <a:ext uri="{FF2B5EF4-FFF2-40B4-BE49-F238E27FC236}">
              <a16:creationId xmlns:a16="http://schemas.microsoft.com/office/drawing/2014/main" id="{7B2B9F7C-BEBA-4A53-B4B7-3BF3D98B670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5" name="Host Control  164">
          <a:extLst>
            <a:ext uri="{FF2B5EF4-FFF2-40B4-BE49-F238E27FC236}">
              <a16:creationId xmlns:a16="http://schemas.microsoft.com/office/drawing/2014/main" id="{03C0DB8D-CED5-4390-8A65-14A334FECB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6" name="Host Control  168">
          <a:extLst>
            <a:ext uri="{FF2B5EF4-FFF2-40B4-BE49-F238E27FC236}">
              <a16:creationId xmlns:a16="http://schemas.microsoft.com/office/drawing/2014/main" id="{17BA46D2-6465-4019-9013-0F7BBFB669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7" name="Host Control  169">
          <a:extLst>
            <a:ext uri="{FF2B5EF4-FFF2-40B4-BE49-F238E27FC236}">
              <a16:creationId xmlns:a16="http://schemas.microsoft.com/office/drawing/2014/main" id="{1DF6644F-E4EF-40C0-A352-044E40A6830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8" name="Host Control  170">
          <a:extLst>
            <a:ext uri="{FF2B5EF4-FFF2-40B4-BE49-F238E27FC236}">
              <a16:creationId xmlns:a16="http://schemas.microsoft.com/office/drawing/2014/main" id="{3BF49F5C-E9FA-45EE-8126-F95EDD74F72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9" name="Host Control  171">
          <a:extLst>
            <a:ext uri="{FF2B5EF4-FFF2-40B4-BE49-F238E27FC236}">
              <a16:creationId xmlns:a16="http://schemas.microsoft.com/office/drawing/2014/main" id="{00FE2C4D-D0FE-4C5E-AEBE-1134920A83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0" name="Host Control  172">
          <a:extLst>
            <a:ext uri="{FF2B5EF4-FFF2-40B4-BE49-F238E27FC236}">
              <a16:creationId xmlns:a16="http://schemas.microsoft.com/office/drawing/2014/main" id="{EAD76E2A-9269-4436-A667-FB6B55335A4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1" name="Host Control  173">
          <a:extLst>
            <a:ext uri="{FF2B5EF4-FFF2-40B4-BE49-F238E27FC236}">
              <a16:creationId xmlns:a16="http://schemas.microsoft.com/office/drawing/2014/main" id="{B4979F73-B9F4-4DD6-A383-4A266320A2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2" name="Host Control  174">
          <a:extLst>
            <a:ext uri="{FF2B5EF4-FFF2-40B4-BE49-F238E27FC236}">
              <a16:creationId xmlns:a16="http://schemas.microsoft.com/office/drawing/2014/main" id="{5E8F9924-46B5-49E2-9C72-E01C0924335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3" name="Host Control  175">
          <a:extLst>
            <a:ext uri="{FF2B5EF4-FFF2-40B4-BE49-F238E27FC236}">
              <a16:creationId xmlns:a16="http://schemas.microsoft.com/office/drawing/2014/main" id="{7E94CD86-906F-4881-8959-1F1CE0FB4B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4" name="Host Control  176">
          <a:extLst>
            <a:ext uri="{FF2B5EF4-FFF2-40B4-BE49-F238E27FC236}">
              <a16:creationId xmlns:a16="http://schemas.microsoft.com/office/drawing/2014/main" id="{D35BA8BC-BBD6-43FA-805F-D5DB67B3270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5" name="Host Control  177">
          <a:extLst>
            <a:ext uri="{FF2B5EF4-FFF2-40B4-BE49-F238E27FC236}">
              <a16:creationId xmlns:a16="http://schemas.microsoft.com/office/drawing/2014/main" id="{E64B7C1F-9AA2-4A56-8447-CB18BE2D884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6" name="Host Control  178">
          <a:extLst>
            <a:ext uri="{FF2B5EF4-FFF2-40B4-BE49-F238E27FC236}">
              <a16:creationId xmlns:a16="http://schemas.microsoft.com/office/drawing/2014/main" id="{CA4EF323-184B-4229-BC69-17002A584E4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7" name="Host Control  179">
          <a:extLst>
            <a:ext uri="{FF2B5EF4-FFF2-40B4-BE49-F238E27FC236}">
              <a16:creationId xmlns:a16="http://schemas.microsoft.com/office/drawing/2014/main" id="{7A7C8D99-E4BC-4F68-AB2A-E83E953332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8" name="Host Control  180">
          <a:extLst>
            <a:ext uri="{FF2B5EF4-FFF2-40B4-BE49-F238E27FC236}">
              <a16:creationId xmlns:a16="http://schemas.microsoft.com/office/drawing/2014/main" id="{5FA5AD7F-FB26-4033-ADBA-29967B838E1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9" name="Host Control  181">
          <a:extLst>
            <a:ext uri="{FF2B5EF4-FFF2-40B4-BE49-F238E27FC236}">
              <a16:creationId xmlns:a16="http://schemas.microsoft.com/office/drawing/2014/main" id="{FF17588D-57C6-4D71-8A0A-E2EEB94F02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0" name="Host Control  182">
          <a:extLst>
            <a:ext uri="{FF2B5EF4-FFF2-40B4-BE49-F238E27FC236}">
              <a16:creationId xmlns:a16="http://schemas.microsoft.com/office/drawing/2014/main" id="{146BEE25-AC86-4A3C-A7DA-EEA1FC572A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1" name="Host Control  183">
          <a:extLst>
            <a:ext uri="{FF2B5EF4-FFF2-40B4-BE49-F238E27FC236}">
              <a16:creationId xmlns:a16="http://schemas.microsoft.com/office/drawing/2014/main" id="{E173DD0B-79EC-423E-BF9D-E21E546F9CB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2" name="Host Control  184">
          <a:extLst>
            <a:ext uri="{FF2B5EF4-FFF2-40B4-BE49-F238E27FC236}">
              <a16:creationId xmlns:a16="http://schemas.microsoft.com/office/drawing/2014/main" id="{13FE7A63-6BDD-4701-850E-4FFBEDE50D1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3" name="Host Control  185">
          <a:extLst>
            <a:ext uri="{FF2B5EF4-FFF2-40B4-BE49-F238E27FC236}">
              <a16:creationId xmlns:a16="http://schemas.microsoft.com/office/drawing/2014/main" id="{A7CDA2A1-24F4-4EB5-AA44-573CA987D89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4" name="Host Control  186">
          <a:extLst>
            <a:ext uri="{FF2B5EF4-FFF2-40B4-BE49-F238E27FC236}">
              <a16:creationId xmlns:a16="http://schemas.microsoft.com/office/drawing/2014/main" id="{17FA8EED-F278-442B-AC3D-4452B80A51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5" name="Host Control  187">
          <a:extLst>
            <a:ext uri="{FF2B5EF4-FFF2-40B4-BE49-F238E27FC236}">
              <a16:creationId xmlns:a16="http://schemas.microsoft.com/office/drawing/2014/main" id="{38008304-D09B-4A9A-80FC-2F4CF25663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6" name="Host Control  188">
          <a:extLst>
            <a:ext uri="{FF2B5EF4-FFF2-40B4-BE49-F238E27FC236}">
              <a16:creationId xmlns:a16="http://schemas.microsoft.com/office/drawing/2014/main" id="{977DFF92-2950-40F0-901F-9EB650DDD6B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7" name="Host Control  189">
          <a:extLst>
            <a:ext uri="{FF2B5EF4-FFF2-40B4-BE49-F238E27FC236}">
              <a16:creationId xmlns:a16="http://schemas.microsoft.com/office/drawing/2014/main" id="{E2FC3CD8-6A1A-4220-96E5-528E8478A0E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8" name="Host Control  190">
          <a:extLst>
            <a:ext uri="{FF2B5EF4-FFF2-40B4-BE49-F238E27FC236}">
              <a16:creationId xmlns:a16="http://schemas.microsoft.com/office/drawing/2014/main" id="{6EEF8A30-3E98-43A3-9AD2-F547DCD3E0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9" name="Host Control  191">
          <a:extLst>
            <a:ext uri="{FF2B5EF4-FFF2-40B4-BE49-F238E27FC236}">
              <a16:creationId xmlns:a16="http://schemas.microsoft.com/office/drawing/2014/main" id="{7D0F2FA5-7D7F-4B1C-B4F2-E1941FF607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0" name="Host Control  192">
          <a:extLst>
            <a:ext uri="{FF2B5EF4-FFF2-40B4-BE49-F238E27FC236}">
              <a16:creationId xmlns:a16="http://schemas.microsoft.com/office/drawing/2014/main" id="{6060340F-613C-4340-A89F-04F4583C48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1" name="Host Control  193">
          <a:extLst>
            <a:ext uri="{FF2B5EF4-FFF2-40B4-BE49-F238E27FC236}">
              <a16:creationId xmlns:a16="http://schemas.microsoft.com/office/drawing/2014/main" id="{87694BC7-3ABB-4B9C-BC02-B9D240669A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2" name="Host Control  194">
          <a:extLst>
            <a:ext uri="{FF2B5EF4-FFF2-40B4-BE49-F238E27FC236}">
              <a16:creationId xmlns:a16="http://schemas.microsoft.com/office/drawing/2014/main" id="{00E313E9-F0F8-4A4E-8E31-B58139D36E4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3" name="Host Control  195">
          <a:extLst>
            <a:ext uri="{FF2B5EF4-FFF2-40B4-BE49-F238E27FC236}">
              <a16:creationId xmlns:a16="http://schemas.microsoft.com/office/drawing/2014/main" id="{8639046C-F2F4-41D3-9605-48895ACD831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4" name="Host Control  196">
          <a:extLst>
            <a:ext uri="{FF2B5EF4-FFF2-40B4-BE49-F238E27FC236}">
              <a16:creationId xmlns:a16="http://schemas.microsoft.com/office/drawing/2014/main" id="{80F14EE5-139A-4299-832D-EC009A1E718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5" name="Host Control  197">
          <a:extLst>
            <a:ext uri="{FF2B5EF4-FFF2-40B4-BE49-F238E27FC236}">
              <a16:creationId xmlns:a16="http://schemas.microsoft.com/office/drawing/2014/main" id="{5FEB7A82-C307-4963-BE01-E987569DE1A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6" name="Host Control  201" hidden="1">
          <a:extLst>
            <a:ext uri="{FF2B5EF4-FFF2-40B4-BE49-F238E27FC236}">
              <a16:creationId xmlns:a16="http://schemas.microsoft.com/office/drawing/2014/main" id="{5074C0EF-843E-45AE-BF92-A6A1025801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7" name="Host Control  202" hidden="1">
          <a:extLst>
            <a:ext uri="{FF2B5EF4-FFF2-40B4-BE49-F238E27FC236}">
              <a16:creationId xmlns:a16="http://schemas.microsoft.com/office/drawing/2014/main" id="{2913E1BA-C0D0-4061-B8B9-73F0736B94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8" name="Host Control  203" hidden="1">
          <a:extLst>
            <a:ext uri="{FF2B5EF4-FFF2-40B4-BE49-F238E27FC236}">
              <a16:creationId xmlns:a16="http://schemas.microsoft.com/office/drawing/2014/main" id="{DDA8DC7A-E0A1-4AEF-834E-D9C7FE5084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9" name="Host Control  204" hidden="1">
          <a:extLst>
            <a:ext uri="{FF2B5EF4-FFF2-40B4-BE49-F238E27FC236}">
              <a16:creationId xmlns:a16="http://schemas.microsoft.com/office/drawing/2014/main" id="{8A45DA0D-E492-455C-BAAC-413D687790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0" name="Host Control  205" hidden="1">
          <a:extLst>
            <a:ext uri="{FF2B5EF4-FFF2-40B4-BE49-F238E27FC236}">
              <a16:creationId xmlns:a16="http://schemas.microsoft.com/office/drawing/2014/main" id="{0B80D20A-5C24-422A-A35B-227759DD58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1" name="Host Control  206" hidden="1">
          <a:extLst>
            <a:ext uri="{FF2B5EF4-FFF2-40B4-BE49-F238E27FC236}">
              <a16:creationId xmlns:a16="http://schemas.microsoft.com/office/drawing/2014/main" id="{1D8F123B-DF94-4969-8874-475A0DA213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2" name="Host Control  207" hidden="1">
          <a:extLst>
            <a:ext uri="{FF2B5EF4-FFF2-40B4-BE49-F238E27FC236}">
              <a16:creationId xmlns:a16="http://schemas.microsoft.com/office/drawing/2014/main" id="{0785BFAB-40F7-48D8-8713-114206B6AB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3" name="Host Control  208" hidden="1">
          <a:extLst>
            <a:ext uri="{FF2B5EF4-FFF2-40B4-BE49-F238E27FC236}">
              <a16:creationId xmlns:a16="http://schemas.microsoft.com/office/drawing/2014/main" id="{2C4FB4BA-EC37-43A7-B268-4F31088930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4" name="Host Control  209" hidden="1">
          <a:extLst>
            <a:ext uri="{FF2B5EF4-FFF2-40B4-BE49-F238E27FC236}">
              <a16:creationId xmlns:a16="http://schemas.microsoft.com/office/drawing/2014/main" id="{A3938246-9BCD-455A-A081-DD47475107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5" name="Host Control  210" hidden="1">
          <a:extLst>
            <a:ext uri="{FF2B5EF4-FFF2-40B4-BE49-F238E27FC236}">
              <a16:creationId xmlns:a16="http://schemas.microsoft.com/office/drawing/2014/main" id="{7FEA8D62-BAEC-442C-845A-F954AE60062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6" name="Host Control  211" hidden="1">
          <a:extLst>
            <a:ext uri="{FF2B5EF4-FFF2-40B4-BE49-F238E27FC236}">
              <a16:creationId xmlns:a16="http://schemas.microsoft.com/office/drawing/2014/main" id="{EA779145-91F9-4852-AC37-2365F16E91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7" name="Host Control  212" hidden="1">
          <a:extLst>
            <a:ext uri="{FF2B5EF4-FFF2-40B4-BE49-F238E27FC236}">
              <a16:creationId xmlns:a16="http://schemas.microsoft.com/office/drawing/2014/main" id="{1A6CD909-913D-4BD2-A22A-D3E5C476B3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8" name="Host Control  213" hidden="1">
          <a:extLst>
            <a:ext uri="{FF2B5EF4-FFF2-40B4-BE49-F238E27FC236}">
              <a16:creationId xmlns:a16="http://schemas.microsoft.com/office/drawing/2014/main" id="{DB001440-23E1-41FD-ABF2-0C7BE90A949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9" name="Host Control  214" hidden="1">
          <a:extLst>
            <a:ext uri="{FF2B5EF4-FFF2-40B4-BE49-F238E27FC236}">
              <a16:creationId xmlns:a16="http://schemas.microsoft.com/office/drawing/2014/main" id="{052EB8CC-2C03-430A-B3BE-4069C7251E3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0" name="Host Control  215" hidden="1">
          <a:extLst>
            <a:ext uri="{FF2B5EF4-FFF2-40B4-BE49-F238E27FC236}">
              <a16:creationId xmlns:a16="http://schemas.microsoft.com/office/drawing/2014/main" id="{3D7B0EFD-299E-418F-AAB0-D0BDCC139D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1" name="Host Control  216" hidden="1">
          <a:extLst>
            <a:ext uri="{FF2B5EF4-FFF2-40B4-BE49-F238E27FC236}">
              <a16:creationId xmlns:a16="http://schemas.microsoft.com/office/drawing/2014/main" id="{926F6C7F-8C80-48DE-BF20-12E2963405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2" name="Host Control  217" hidden="1">
          <a:extLst>
            <a:ext uri="{FF2B5EF4-FFF2-40B4-BE49-F238E27FC236}">
              <a16:creationId xmlns:a16="http://schemas.microsoft.com/office/drawing/2014/main" id="{703DD52F-0722-47D1-8F71-4417B2328A6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3" name="Host Control  218" hidden="1">
          <a:extLst>
            <a:ext uri="{FF2B5EF4-FFF2-40B4-BE49-F238E27FC236}">
              <a16:creationId xmlns:a16="http://schemas.microsoft.com/office/drawing/2014/main" id="{0CF034D9-9FBB-4BE6-A1AC-C27AEABA23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4" name="Host Control  219" hidden="1">
          <a:extLst>
            <a:ext uri="{FF2B5EF4-FFF2-40B4-BE49-F238E27FC236}">
              <a16:creationId xmlns:a16="http://schemas.microsoft.com/office/drawing/2014/main" id="{DB80AB36-B07A-4070-AC58-EA3AAE9225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5" name="Host Control  220" hidden="1">
          <a:extLst>
            <a:ext uri="{FF2B5EF4-FFF2-40B4-BE49-F238E27FC236}">
              <a16:creationId xmlns:a16="http://schemas.microsoft.com/office/drawing/2014/main" id="{2FA0CCFD-82ED-42A2-8FCC-05442B3D1B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6" name="Host Control  221" hidden="1">
          <a:extLst>
            <a:ext uri="{FF2B5EF4-FFF2-40B4-BE49-F238E27FC236}">
              <a16:creationId xmlns:a16="http://schemas.microsoft.com/office/drawing/2014/main" id="{46C0B5C3-13B8-44FB-8A49-6C8A7144B8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7" name="Host Control  222" hidden="1">
          <a:extLst>
            <a:ext uri="{FF2B5EF4-FFF2-40B4-BE49-F238E27FC236}">
              <a16:creationId xmlns:a16="http://schemas.microsoft.com/office/drawing/2014/main" id="{9723F75E-1EEC-4165-8FCE-510E0E40FC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8" name="Host Control  223" hidden="1">
          <a:extLst>
            <a:ext uri="{FF2B5EF4-FFF2-40B4-BE49-F238E27FC236}">
              <a16:creationId xmlns:a16="http://schemas.microsoft.com/office/drawing/2014/main" id="{B8B6C7DC-B9BB-4263-967B-11EB9F6124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9" name="Host Control  224" hidden="1">
          <a:extLst>
            <a:ext uri="{FF2B5EF4-FFF2-40B4-BE49-F238E27FC236}">
              <a16:creationId xmlns:a16="http://schemas.microsoft.com/office/drawing/2014/main" id="{EDAAD235-E62A-4EAB-AFCD-CDFCF6EFEF5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0" name="Host Control  225" hidden="1">
          <a:extLst>
            <a:ext uri="{FF2B5EF4-FFF2-40B4-BE49-F238E27FC236}">
              <a16:creationId xmlns:a16="http://schemas.microsoft.com/office/drawing/2014/main" id="{2754A886-745C-4F17-BCBB-6963627DA99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1" name="Host Control  226" hidden="1">
          <a:extLst>
            <a:ext uri="{FF2B5EF4-FFF2-40B4-BE49-F238E27FC236}">
              <a16:creationId xmlns:a16="http://schemas.microsoft.com/office/drawing/2014/main" id="{6969C0DD-9557-408A-B127-C6170F91D3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2" name="Host Control  227" hidden="1">
          <a:extLst>
            <a:ext uri="{FF2B5EF4-FFF2-40B4-BE49-F238E27FC236}">
              <a16:creationId xmlns:a16="http://schemas.microsoft.com/office/drawing/2014/main" id="{59924413-5439-4505-A0CC-59DEDB7E71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3" name="Host Control  228" hidden="1">
          <a:extLst>
            <a:ext uri="{FF2B5EF4-FFF2-40B4-BE49-F238E27FC236}">
              <a16:creationId xmlns:a16="http://schemas.microsoft.com/office/drawing/2014/main" id="{14F0B29C-C755-4C3A-89DC-0B1FA616287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4" name="Host Control  229" hidden="1">
          <a:extLst>
            <a:ext uri="{FF2B5EF4-FFF2-40B4-BE49-F238E27FC236}">
              <a16:creationId xmlns:a16="http://schemas.microsoft.com/office/drawing/2014/main" id="{FA008CE3-D223-4AC8-A069-8015D83831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5" name="Host Control  230" hidden="1">
          <a:extLst>
            <a:ext uri="{FF2B5EF4-FFF2-40B4-BE49-F238E27FC236}">
              <a16:creationId xmlns:a16="http://schemas.microsoft.com/office/drawing/2014/main" id="{377EB3C1-DEED-4826-982B-8E1A7327B77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6" name="Host Control  234" hidden="1">
          <a:extLst>
            <a:ext uri="{FF2B5EF4-FFF2-40B4-BE49-F238E27FC236}">
              <a16:creationId xmlns:a16="http://schemas.microsoft.com/office/drawing/2014/main" id="{C0F359A7-5006-488D-8318-661FC00A04E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7" name="Host Control  235" hidden="1">
          <a:extLst>
            <a:ext uri="{FF2B5EF4-FFF2-40B4-BE49-F238E27FC236}">
              <a16:creationId xmlns:a16="http://schemas.microsoft.com/office/drawing/2014/main" id="{BAF1B88B-0319-42BA-ADC3-E6F10FF1FB4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8" name="Host Control  236" hidden="1">
          <a:extLst>
            <a:ext uri="{FF2B5EF4-FFF2-40B4-BE49-F238E27FC236}">
              <a16:creationId xmlns:a16="http://schemas.microsoft.com/office/drawing/2014/main" id="{C7FC2B2A-1021-4D6E-853F-B6FA079F4DA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9" name="Host Control  237" hidden="1">
          <a:extLst>
            <a:ext uri="{FF2B5EF4-FFF2-40B4-BE49-F238E27FC236}">
              <a16:creationId xmlns:a16="http://schemas.microsoft.com/office/drawing/2014/main" id="{CDB8F8B7-C938-4548-9282-12DD862CA2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0" name="Host Control  238" hidden="1">
          <a:extLst>
            <a:ext uri="{FF2B5EF4-FFF2-40B4-BE49-F238E27FC236}">
              <a16:creationId xmlns:a16="http://schemas.microsoft.com/office/drawing/2014/main" id="{C9F87D95-B3BC-40E1-B967-C96A40DC1E9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1" name="Host Control  239" hidden="1">
          <a:extLst>
            <a:ext uri="{FF2B5EF4-FFF2-40B4-BE49-F238E27FC236}">
              <a16:creationId xmlns:a16="http://schemas.microsoft.com/office/drawing/2014/main" id="{65CAFE02-757F-4229-A1F0-46D7F3538C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2" name="Host Control  240" hidden="1">
          <a:extLst>
            <a:ext uri="{FF2B5EF4-FFF2-40B4-BE49-F238E27FC236}">
              <a16:creationId xmlns:a16="http://schemas.microsoft.com/office/drawing/2014/main" id="{A5133A6A-160B-4A63-9A4B-E98C7F4771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3" name="Host Control  241" hidden="1">
          <a:extLst>
            <a:ext uri="{FF2B5EF4-FFF2-40B4-BE49-F238E27FC236}">
              <a16:creationId xmlns:a16="http://schemas.microsoft.com/office/drawing/2014/main" id="{31A62089-F131-4A2F-808C-4E1B65C0EFE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4" name="Host Control  242" hidden="1">
          <a:extLst>
            <a:ext uri="{FF2B5EF4-FFF2-40B4-BE49-F238E27FC236}">
              <a16:creationId xmlns:a16="http://schemas.microsoft.com/office/drawing/2014/main" id="{922876F8-A53B-43F2-B568-0362A802B1B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5" name="Host Control  243" hidden="1">
          <a:extLst>
            <a:ext uri="{FF2B5EF4-FFF2-40B4-BE49-F238E27FC236}">
              <a16:creationId xmlns:a16="http://schemas.microsoft.com/office/drawing/2014/main" id="{E6DB4C1B-7BB1-453A-B8E1-29003539F5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6" name="Host Control  244" hidden="1">
          <a:extLst>
            <a:ext uri="{FF2B5EF4-FFF2-40B4-BE49-F238E27FC236}">
              <a16:creationId xmlns:a16="http://schemas.microsoft.com/office/drawing/2014/main" id="{D7E37ADF-2B8C-4F01-A7EF-BC8063B4364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7" name="Host Control  245" hidden="1">
          <a:extLst>
            <a:ext uri="{FF2B5EF4-FFF2-40B4-BE49-F238E27FC236}">
              <a16:creationId xmlns:a16="http://schemas.microsoft.com/office/drawing/2014/main" id="{E238B39B-0E2F-403A-93F0-F90ADAC4F6F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8" name="Host Control  246" hidden="1">
          <a:extLst>
            <a:ext uri="{FF2B5EF4-FFF2-40B4-BE49-F238E27FC236}">
              <a16:creationId xmlns:a16="http://schemas.microsoft.com/office/drawing/2014/main" id="{51B08B84-3C32-4C40-BA54-3D2B84FBDAA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9" name="Host Control  247" hidden="1">
          <a:extLst>
            <a:ext uri="{FF2B5EF4-FFF2-40B4-BE49-F238E27FC236}">
              <a16:creationId xmlns:a16="http://schemas.microsoft.com/office/drawing/2014/main" id="{F45384E4-9144-4DFF-BECB-66C9496A01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0" name="Host Control  248" hidden="1">
          <a:extLst>
            <a:ext uri="{FF2B5EF4-FFF2-40B4-BE49-F238E27FC236}">
              <a16:creationId xmlns:a16="http://schemas.microsoft.com/office/drawing/2014/main" id="{CC80C04C-A498-4E3B-854D-DBE43D48E19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1" name="Host Control  249" hidden="1">
          <a:extLst>
            <a:ext uri="{FF2B5EF4-FFF2-40B4-BE49-F238E27FC236}">
              <a16:creationId xmlns:a16="http://schemas.microsoft.com/office/drawing/2014/main" id="{7BC4CA83-6CD9-44C4-A387-30CED58922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2" name="Host Control  250" hidden="1">
          <a:extLst>
            <a:ext uri="{FF2B5EF4-FFF2-40B4-BE49-F238E27FC236}">
              <a16:creationId xmlns:a16="http://schemas.microsoft.com/office/drawing/2014/main" id="{023731D6-6450-4FCE-8F74-A29BB1B78D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3" name="Host Control  251" hidden="1">
          <a:extLst>
            <a:ext uri="{FF2B5EF4-FFF2-40B4-BE49-F238E27FC236}">
              <a16:creationId xmlns:a16="http://schemas.microsoft.com/office/drawing/2014/main" id="{CFD5AEF7-F944-446B-BC3A-2DC34AC464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4" name="Host Control  252" hidden="1">
          <a:extLst>
            <a:ext uri="{FF2B5EF4-FFF2-40B4-BE49-F238E27FC236}">
              <a16:creationId xmlns:a16="http://schemas.microsoft.com/office/drawing/2014/main" id="{C0BC94DE-9C4D-4793-8B05-96B049D7C7E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5" name="Host Control  253" hidden="1">
          <a:extLst>
            <a:ext uri="{FF2B5EF4-FFF2-40B4-BE49-F238E27FC236}">
              <a16:creationId xmlns:a16="http://schemas.microsoft.com/office/drawing/2014/main" id="{DBD46B8B-9926-409A-AC55-450205F828E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6" name="Host Control  254" hidden="1">
          <a:extLst>
            <a:ext uri="{FF2B5EF4-FFF2-40B4-BE49-F238E27FC236}">
              <a16:creationId xmlns:a16="http://schemas.microsoft.com/office/drawing/2014/main" id="{21631FE7-C505-4972-9961-2E13216E7B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7" name="Host Control  255" hidden="1">
          <a:extLst>
            <a:ext uri="{FF2B5EF4-FFF2-40B4-BE49-F238E27FC236}">
              <a16:creationId xmlns:a16="http://schemas.microsoft.com/office/drawing/2014/main" id="{4521AF2E-7141-4883-913F-6510F08515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8" name="Host Control  256" hidden="1">
          <a:extLst>
            <a:ext uri="{FF2B5EF4-FFF2-40B4-BE49-F238E27FC236}">
              <a16:creationId xmlns:a16="http://schemas.microsoft.com/office/drawing/2014/main" id="{29F15374-2891-431A-825F-D975F22CB8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9" name="Host Control  257" hidden="1">
          <a:extLst>
            <a:ext uri="{FF2B5EF4-FFF2-40B4-BE49-F238E27FC236}">
              <a16:creationId xmlns:a16="http://schemas.microsoft.com/office/drawing/2014/main" id="{5DAD3DE2-7C7B-464C-98DC-ABDCAB1CEE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0" name="Host Control  258" hidden="1">
          <a:extLst>
            <a:ext uri="{FF2B5EF4-FFF2-40B4-BE49-F238E27FC236}">
              <a16:creationId xmlns:a16="http://schemas.microsoft.com/office/drawing/2014/main" id="{6EC72C20-5B2C-4F7A-B245-D44F47D0DBE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1" name="Host Control  259" hidden="1">
          <a:extLst>
            <a:ext uri="{FF2B5EF4-FFF2-40B4-BE49-F238E27FC236}">
              <a16:creationId xmlns:a16="http://schemas.microsoft.com/office/drawing/2014/main" id="{3D3E9919-616E-417F-BA6C-8BE7A2DD85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2" name="Host Control  260" hidden="1">
          <a:extLst>
            <a:ext uri="{FF2B5EF4-FFF2-40B4-BE49-F238E27FC236}">
              <a16:creationId xmlns:a16="http://schemas.microsoft.com/office/drawing/2014/main" id="{C3165242-D242-49FB-9AD3-4E82783E3F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3" name="Host Control  261" hidden="1">
          <a:extLst>
            <a:ext uri="{FF2B5EF4-FFF2-40B4-BE49-F238E27FC236}">
              <a16:creationId xmlns:a16="http://schemas.microsoft.com/office/drawing/2014/main" id="{4BB86A60-DC67-4D66-9927-31A918689C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4" name="Host Control  262" hidden="1">
          <a:extLst>
            <a:ext uri="{FF2B5EF4-FFF2-40B4-BE49-F238E27FC236}">
              <a16:creationId xmlns:a16="http://schemas.microsoft.com/office/drawing/2014/main" id="{8C9E12F9-DDDE-4E30-8BED-88934A6DAB2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5" name="Host Control  263" hidden="1">
          <a:extLst>
            <a:ext uri="{FF2B5EF4-FFF2-40B4-BE49-F238E27FC236}">
              <a16:creationId xmlns:a16="http://schemas.microsoft.com/office/drawing/2014/main" id="{3A099349-704B-488B-8E96-C3877C53B1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6" name="Host Control  267" hidden="1">
          <a:extLst>
            <a:ext uri="{FF2B5EF4-FFF2-40B4-BE49-F238E27FC236}">
              <a16:creationId xmlns:a16="http://schemas.microsoft.com/office/drawing/2014/main" id="{7B6B0145-5FD2-4CC5-99C8-92DA1A2738C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7" name="Host Control  268" hidden="1">
          <a:extLst>
            <a:ext uri="{FF2B5EF4-FFF2-40B4-BE49-F238E27FC236}">
              <a16:creationId xmlns:a16="http://schemas.microsoft.com/office/drawing/2014/main" id="{C0C0D1CB-A8A1-4F74-B34F-A617E53E80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8" name="Host Control  269" hidden="1">
          <a:extLst>
            <a:ext uri="{FF2B5EF4-FFF2-40B4-BE49-F238E27FC236}">
              <a16:creationId xmlns:a16="http://schemas.microsoft.com/office/drawing/2014/main" id="{4AD4CFCE-E4DF-4769-954E-A99552F623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9" name="Host Control  270" hidden="1">
          <a:extLst>
            <a:ext uri="{FF2B5EF4-FFF2-40B4-BE49-F238E27FC236}">
              <a16:creationId xmlns:a16="http://schemas.microsoft.com/office/drawing/2014/main" id="{F3B716BE-CD55-460F-B43A-8933CBCE4D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0" name="Host Control  271" hidden="1">
          <a:extLst>
            <a:ext uri="{FF2B5EF4-FFF2-40B4-BE49-F238E27FC236}">
              <a16:creationId xmlns:a16="http://schemas.microsoft.com/office/drawing/2014/main" id="{219B824B-ECC7-4279-80B2-78DAC5CD0D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1" name="Host Control  272" hidden="1">
          <a:extLst>
            <a:ext uri="{FF2B5EF4-FFF2-40B4-BE49-F238E27FC236}">
              <a16:creationId xmlns:a16="http://schemas.microsoft.com/office/drawing/2014/main" id="{F17C328C-6B74-4550-8209-6CF5175882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2" name="Host Control  273" hidden="1">
          <a:extLst>
            <a:ext uri="{FF2B5EF4-FFF2-40B4-BE49-F238E27FC236}">
              <a16:creationId xmlns:a16="http://schemas.microsoft.com/office/drawing/2014/main" id="{5AE83CE8-E4F3-4CF4-B85B-228FA6F4AB7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3" name="Host Control  274" hidden="1">
          <a:extLst>
            <a:ext uri="{FF2B5EF4-FFF2-40B4-BE49-F238E27FC236}">
              <a16:creationId xmlns:a16="http://schemas.microsoft.com/office/drawing/2014/main" id="{26E5C0A9-2E30-4D01-9FFF-0A05F5DF13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4" name="Host Control  275" hidden="1">
          <a:extLst>
            <a:ext uri="{FF2B5EF4-FFF2-40B4-BE49-F238E27FC236}">
              <a16:creationId xmlns:a16="http://schemas.microsoft.com/office/drawing/2014/main" id="{16EA9325-36ED-4AFA-9822-EFDF731834A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5" name="Host Control  276" hidden="1">
          <a:extLst>
            <a:ext uri="{FF2B5EF4-FFF2-40B4-BE49-F238E27FC236}">
              <a16:creationId xmlns:a16="http://schemas.microsoft.com/office/drawing/2014/main" id="{3816D584-E4EC-4D56-977C-42F752BE00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6" name="Host Control  277" hidden="1">
          <a:extLst>
            <a:ext uri="{FF2B5EF4-FFF2-40B4-BE49-F238E27FC236}">
              <a16:creationId xmlns:a16="http://schemas.microsoft.com/office/drawing/2014/main" id="{3B3D18FA-14CA-48A1-B66F-CAAB6A06C3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7" name="Host Control  278" hidden="1">
          <a:extLst>
            <a:ext uri="{FF2B5EF4-FFF2-40B4-BE49-F238E27FC236}">
              <a16:creationId xmlns:a16="http://schemas.microsoft.com/office/drawing/2014/main" id="{9B134858-56B8-430D-9B1C-5779971356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8" name="Host Control  279" hidden="1">
          <a:extLst>
            <a:ext uri="{FF2B5EF4-FFF2-40B4-BE49-F238E27FC236}">
              <a16:creationId xmlns:a16="http://schemas.microsoft.com/office/drawing/2014/main" id="{CC04154F-21B9-4FF9-8CDF-CEC84DCA3C6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9" name="Host Control  280" hidden="1">
          <a:extLst>
            <a:ext uri="{FF2B5EF4-FFF2-40B4-BE49-F238E27FC236}">
              <a16:creationId xmlns:a16="http://schemas.microsoft.com/office/drawing/2014/main" id="{1F10F8D5-57CE-4D58-8ACA-8B2B5C1E427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0" name="Host Control  281" hidden="1">
          <a:extLst>
            <a:ext uri="{FF2B5EF4-FFF2-40B4-BE49-F238E27FC236}">
              <a16:creationId xmlns:a16="http://schemas.microsoft.com/office/drawing/2014/main" id="{0FBAD3ED-04EA-4AA5-8B9D-C92EB1EC9C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1" name="Host Control  282" hidden="1">
          <a:extLst>
            <a:ext uri="{FF2B5EF4-FFF2-40B4-BE49-F238E27FC236}">
              <a16:creationId xmlns:a16="http://schemas.microsoft.com/office/drawing/2014/main" id="{E667240E-FB17-40F4-829E-B3252EDBC1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2" name="Host Control  283" hidden="1">
          <a:extLst>
            <a:ext uri="{FF2B5EF4-FFF2-40B4-BE49-F238E27FC236}">
              <a16:creationId xmlns:a16="http://schemas.microsoft.com/office/drawing/2014/main" id="{7A67FE28-193E-4038-900E-8E5F130E4C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3" name="Host Control  284" hidden="1">
          <a:extLst>
            <a:ext uri="{FF2B5EF4-FFF2-40B4-BE49-F238E27FC236}">
              <a16:creationId xmlns:a16="http://schemas.microsoft.com/office/drawing/2014/main" id="{1CFD5218-0F93-45DC-A62B-0F96FDA613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4" name="Host Control  285" hidden="1">
          <a:extLst>
            <a:ext uri="{FF2B5EF4-FFF2-40B4-BE49-F238E27FC236}">
              <a16:creationId xmlns:a16="http://schemas.microsoft.com/office/drawing/2014/main" id="{CC51B05E-C99E-411B-9212-37983663AE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5" name="Host Control  286" hidden="1">
          <a:extLst>
            <a:ext uri="{FF2B5EF4-FFF2-40B4-BE49-F238E27FC236}">
              <a16:creationId xmlns:a16="http://schemas.microsoft.com/office/drawing/2014/main" id="{8125E4F0-099F-475A-A13C-E5D1A80B30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6" name="Host Control  287" hidden="1">
          <a:extLst>
            <a:ext uri="{FF2B5EF4-FFF2-40B4-BE49-F238E27FC236}">
              <a16:creationId xmlns:a16="http://schemas.microsoft.com/office/drawing/2014/main" id="{D6E0D4E7-B2BF-433D-8BE7-D22624B06A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7" name="Host Control  288" hidden="1">
          <a:extLst>
            <a:ext uri="{FF2B5EF4-FFF2-40B4-BE49-F238E27FC236}">
              <a16:creationId xmlns:a16="http://schemas.microsoft.com/office/drawing/2014/main" id="{98E56BF1-FC2A-432E-9490-6EFBDA3EEB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8" name="Host Control  289" hidden="1">
          <a:extLst>
            <a:ext uri="{FF2B5EF4-FFF2-40B4-BE49-F238E27FC236}">
              <a16:creationId xmlns:a16="http://schemas.microsoft.com/office/drawing/2014/main" id="{1B87D357-EF6D-4930-AE84-810647434B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9" name="Host Control  290" hidden="1">
          <a:extLst>
            <a:ext uri="{FF2B5EF4-FFF2-40B4-BE49-F238E27FC236}">
              <a16:creationId xmlns:a16="http://schemas.microsoft.com/office/drawing/2014/main" id="{5833C758-CDC0-4586-B64B-DD2149E6AE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0" name="Host Control  291" hidden="1">
          <a:extLst>
            <a:ext uri="{FF2B5EF4-FFF2-40B4-BE49-F238E27FC236}">
              <a16:creationId xmlns:a16="http://schemas.microsoft.com/office/drawing/2014/main" id="{3E9D0EB1-AC57-48C7-8BE9-189FAC72C4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1" name="Host Control  292" hidden="1">
          <a:extLst>
            <a:ext uri="{FF2B5EF4-FFF2-40B4-BE49-F238E27FC236}">
              <a16:creationId xmlns:a16="http://schemas.microsoft.com/office/drawing/2014/main" id="{DC090E2D-B76C-4846-96EA-0C825ED02D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2" name="Host Control  293" hidden="1">
          <a:extLst>
            <a:ext uri="{FF2B5EF4-FFF2-40B4-BE49-F238E27FC236}">
              <a16:creationId xmlns:a16="http://schemas.microsoft.com/office/drawing/2014/main" id="{F59C2A1C-A24B-4637-AFCD-51723707D07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3" name="Host Control  294" hidden="1">
          <a:extLst>
            <a:ext uri="{FF2B5EF4-FFF2-40B4-BE49-F238E27FC236}">
              <a16:creationId xmlns:a16="http://schemas.microsoft.com/office/drawing/2014/main" id="{0FAA219D-7B2B-46C2-AC65-8547142C31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4" name="Host Control  295" hidden="1">
          <a:extLst>
            <a:ext uri="{FF2B5EF4-FFF2-40B4-BE49-F238E27FC236}">
              <a16:creationId xmlns:a16="http://schemas.microsoft.com/office/drawing/2014/main" id="{0E37EE40-CE3B-4092-A764-BA730B278C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5" name="Host Control  296" hidden="1">
          <a:extLst>
            <a:ext uri="{FF2B5EF4-FFF2-40B4-BE49-F238E27FC236}">
              <a16:creationId xmlns:a16="http://schemas.microsoft.com/office/drawing/2014/main" id="{D0E7B973-AAD7-48B2-B1E6-D945F31CBC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6" name="Host Control  483" hidden="1">
          <a:extLst>
            <a:ext uri="{FF2B5EF4-FFF2-40B4-BE49-F238E27FC236}">
              <a16:creationId xmlns:a16="http://schemas.microsoft.com/office/drawing/2014/main" id="{12DF858D-1FE7-471F-8046-68908E98C45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7" name="Host Control  484" hidden="1">
          <a:extLst>
            <a:ext uri="{FF2B5EF4-FFF2-40B4-BE49-F238E27FC236}">
              <a16:creationId xmlns:a16="http://schemas.microsoft.com/office/drawing/2014/main" id="{8649C48F-298D-4622-983A-8C2E052491A5}"/>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8" name="Host Control  485" hidden="1">
          <a:extLst>
            <a:ext uri="{FF2B5EF4-FFF2-40B4-BE49-F238E27FC236}">
              <a16:creationId xmlns:a16="http://schemas.microsoft.com/office/drawing/2014/main" id="{1F2084E8-5660-499C-B1BE-B8410974154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9" name="Host Control  486" hidden="1">
          <a:extLst>
            <a:ext uri="{FF2B5EF4-FFF2-40B4-BE49-F238E27FC236}">
              <a16:creationId xmlns:a16="http://schemas.microsoft.com/office/drawing/2014/main" id="{1ED01ABD-B67B-4FB6-B649-29A8CE00EF2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0" name="Host Control  487" hidden="1">
          <a:extLst>
            <a:ext uri="{FF2B5EF4-FFF2-40B4-BE49-F238E27FC236}">
              <a16:creationId xmlns:a16="http://schemas.microsoft.com/office/drawing/2014/main" id="{70AA9555-4D0E-4B53-8BD5-44B6AC6B46AF}"/>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1" name="Host Control  488" hidden="1">
          <a:extLst>
            <a:ext uri="{FF2B5EF4-FFF2-40B4-BE49-F238E27FC236}">
              <a16:creationId xmlns:a16="http://schemas.microsoft.com/office/drawing/2014/main" id="{02C62A3F-EE25-4D24-B214-88220535570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2" name="Host Control  489" hidden="1">
          <a:extLst>
            <a:ext uri="{FF2B5EF4-FFF2-40B4-BE49-F238E27FC236}">
              <a16:creationId xmlns:a16="http://schemas.microsoft.com/office/drawing/2014/main" id="{C81B9EFE-A45F-4EBD-966B-80C7A935DB9B}"/>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3" name="Host Control  490" hidden="1">
          <a:extLst>
            <a:ext uri="{FF2B5EF4-FFF2-40B4-BE49-F238E27FC236}">
              <a16:creationId xmlns:a16="http://schemas.microsoft.com/office/drawing/2014/main" id="{D26CB44A-2189-42C7-B39F-A37D566FAD6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4" name="Host Control  491" hidden="1">
          <a:extLst>
            <a:ext uri="{FF2B5EF4-FFF2-40B4-BE49-F238E27FC236}">
              <a16:creationId xmlns:a16="http://schemas.microsoft.com/office/drawing/2014/main" id="{244AA3A3-87FE-4DA8-9711-04D7ED95724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5" name="Host Control  492" hidden="1">
          <a:extLst>
            <a:ext uri="{FF2B5EF4-FFF2-40B4-BE49-F238E27FC236}">
              <a16:creationId xmlns:a16="http://schemas.microsoft.com/office/drawing/2014/main" id="{2FDF00AF-457A-4DB9-8A5E-938B930BCF6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6" name="Host Control  493" hidden="1">
          <a:extLst>
            <a:ext uri="{FF2B5EF4-FFF2-40B4-BE49-F238E27FC236}">
              <a16:creationId xmlns:a16="http://schemas.microsoft.com/office/drawing/2014/main" id="{0C63B4C2-4E7A-44FE-B01D-EECF06BAA41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7" name="Host Control  494" hidden="1">
          <a:extLst>
            <a:ext uri="{FF2B5EF4-FFF2-40B4-BE49-F238E27FC236}">
              <a16:creationId xmlns:a16="http://schemas.microsoft.com/office/drawing/2014/main" id="{BFAB78C1-A9A1-4D6C-88EB-4A5D3A785F6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8" name="Host Control  495" hidden="1">
          <a:extLst>
            <a:ext uri="{FF2B5EF4-FFF2-40B4-BE49-F238E27FC236}">
              <a16:creationId xmlns:a16="http://schemas.microsoft.com/office/drawing/2014/main" id="{74752528-F6A6-4E64-861A-2360B97A5F4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9" name="Host Control  496" hidden="1">
          <a:extLst>
            <a:ext uri="{FF2B5EF4-FFF2-40B4-BE49-F238E27FC236}">
              <a16:creationId xmlns:a16="http://schemas.microsoft.com/office/drawing/2014/main" id="{447A26E2-4409-4E47-9C93-03CEF575022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0" name="Host Control  497" hidden="1">
          <a:extLst>
            <a:ext uri="{FF2B5EF4-FFF2-40B4-BE49-F238E27FC236}">
              <a16:creationId xmlns:a16="http://schemas.microsoft.com/office/drawing/2014/main" id="{CA1E1B64-DC7C-42B7-8B49-0DA6CF65E78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1" name="Host Control  498" hidden="1">
          <a:extLst>
            <a:ext uri="{FF2B5EF4-FFF2-40B4-BE49-F238E27FC236}">
              <a16:creationId xmlns:a16="http://schemas.microsoft.com/office/drawing/2014/main" id="{FA6DB3FA-A878-4DFB-87D6-E4C9C825F0D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2" name="Host Control  499" hidden="1">
          <a:extLst>
            <a:ext uri="{FF2B5EF4-FFF2-40B4-BE49-F238E27FC236}">
              <a16:creationId xmlns:a16="http://schemas.microsoft.com/office/drawing/2014/main" id="{6AF840DB-7514-46AD-893E-7C1A3F715A4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3" name="Host Control  500" hidden="1">
          <a:extLst>
            <a:ext uri="{FF2B5EF4-FFF2-40B4-BE49-F238E27FC236}">
              <a16:creationId xmlns:a16="http://schemas.microsoft.com/office/drawing/2014/main" id="{17C99D85-94AA-4B6C-9751-CCF705C15AF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4" name="Host Control  501" hidden="1">
          <a:extLst>
            <a:ext uri="{FF2B5EF4-FFF2-40B4-BE49-F238E27FC236}">
              <a16:creationId xmlns:a16="http://schemas.microsoft.com/office/drawing/2014/main" id="{5B9FD25A-9043-4DC5-9820-799717273AB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5" name="Host Control  502" hidden="1">
          <a:extLst>
            <a:ext uri="{FF2B5EF4-FFF2-40B4-BE49-F238E27FC236}">
              <a16:creationId xmlns:a16="http://schemas.microsoft.com/office/drawing/2014/main" id="{144191F8-17F7-4EDE-8ACF-E76D1A17B83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6" name="Host Control  503" hidden="1">
          <a:extLst>
            <a:ext uri="{FF2B5EF4-FFF2-40B4-BE49-F238E27FC236}">
              <a16:creationId xmlns:a16="http://schemas.microsoft.com/office/drawing/2014/main" id="{0FFFD9D6-E394-413D-8C1B-2CD5E2E8467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7" name="Host Control  504" hidden="1">
          <a:extLst>
            <a:ext uri="{FF2B5EF4-FFF2-40B4-BE49-F238E27FC236}">
              <a16:creationId xmlns:a16="http://schemas.microsoft.com/office/drawing/2014/main" id="{00AA764E-49D2-44C4-AB11-7907C9D0109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8" name="Host Control  505" hidden="1">
          <a:extLst>
            <a:ext uri="{FF2B5EF4-FFF2-40B4-BE49-F238E27FC236}">
              <a16:creationId xmlns:a16="http://schemas.microsoft.com/office/drawing/2014/main" id="{D64F80D1-14CA-44E0-8805-434E68F88D7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9" name="Host Control  506" hidden="1">
          <a:extLst>
            <a:ext uri="{FF2B5EF4-FFF2-40B4-BE49-F238E27FC236}">
              <a16:creationId xmlns:a16="http://schemas.microsoft.com/office/drawing/2014/main" id="{5397C50E-419C-4C14-971F-22B3CC386C2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0" name="Host Control  507" hidden="1">
          <a:extLst>
            <a:ext uri="{FF2B5EF4-FFF2-40B4-BE49-F238E27FC236}">
              <a16:creationId xmlns:a16="http://schemas.microsoft.com/office/drawing/2014/main" id="{3E40B31F-2712-4AAD-B175-9076E857464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1" name="Host Control  508" hidden="1">
          <a:extLst>
            <a:ext uri="{FF2B5EF4-FFF2-40B4-BE49-F238E27FC236}">
              <a16:creationId xmlns:a16="http://schemas.microsoft.com/office/drawing/2014/main" id="{4296965E-4FD5-4AC0-BCC6-E7F2B737805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2" name="Host Control  509" hidden="1">
          <a:extLst>
            <a:ext uri="{FF2B5EF4-FFF2-40B4-BE49-F238E27FC236}">
              <a16:creationId xmlns:a16="http://schemas.microsoft.com/office/drawing/2014/main" id="{C48695E8-47F9-478A-8469-DD7997F494C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3" name="Host Control  510" hidden="1">
          <a:extLst>
            <a:ext uri="{FF2B5EF4-FFF2-40B4-BE49-F238E27FC236}">
              <a16:creationId xmlns:a16="http://schemas.microsoft.com/office/drawing/2014/main" id="{C290A601-9E1D-4DD4-A832-30BBA52E20A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4" name="Host Control  511" hidden="1">
          <a:extLst>
            <a:ext uri="{FF2B5EF4-FFF2-40B4-BE49-F238E27FC236}">
              <a16:creationId xmlns:a16="http://schemas.microsoft.com/office/drawing/2014/main" id="{C32753AB-50B4-46E4-AB0A-E9375D4EA51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5" name="Host Control  512" hidden="1">
          <a:extLst>
            <a:ext uri="{FF2B5EF4-FFF2-40B4-BE49-F238E27FC236}">
              <a16:creationId xmlns:a16="http://schemas.microsoft.com/office/drawing/2014/main" id="{06479578-2AFC-4F24-B47A-585E830D8C2B}"/>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2248535" cy="304800"/>
    <xdr:sp macro="" textlink="">
      <xdr:nvSpPr>
        <xdr:cNvPr id="3136" name="Host Control  517" hidden="1">
          <a:extLst>
            <a:ext uri="{FF2B5EF4-FFF2-40B4-BE49-F238E27FC236}">
              <a16:creationId xmlns:a16="http://schemas.microsoft.com/office/drawing/2014/main" id="{4E23F8F2-A917-47C2-BA0E-878CDE69F4C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7" name="Host Control  518" hidden="1">
          <a:extLst>
            <a:ext uri="{FF2B5EF4-FFF2-40B4-BE49-F238E27FC236}">
              <a16:creationId xmlns:a16="http://schemas.microsoft.com/office/drawing/2014/main" id="{5D3F0B1E-6DEA-4B28-9DDE-DC2BFBD4F76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8" name="Host Control  519" hidden="1">
          <a:extLst>
            <a:ext uri="{FF2B5EF4-FFF2-40B4-BE49-F238E27FC236}">
              <a16:creationId xmlns:a16="http://schemas.microsoft.com/office/drawing/2014/main" id="{5356DECB-EE8A-4687-A975-B2CC78D0AC4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9" name="Host Control  520" hidden="1">
          <a:extLst>
            <a:ext uri="{FF2B5EF4-FFF2-40B4-BE49-F238E27FC236}">
              <a16:creationId xmlns:a16="http://schemas.microsoft.com/office/drawing/2014/main" id="{D779D6BB-877A-4C45-8787-E98815FCC64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0" name="Host Control  521" hidden="1">
          <a:extLst>
            <a:ext uri="{FF2B5EF4-FFF2-40B4-BE49-F238E27FC236}">
              <a16:creationId xmlns:a16="http://schemas.microsoft.com/office/drawing/2014/main" id="{4F358661-8DCD-400A-8636-F7C88EF2B9D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1" name="Host Control  522" hidden="1">
          <a:extLst>
            <a:ext uri="{FF2B5EF4-FFF2-40B4-BE49-F238E27FC236}">
              <a16:creationId xmlns:a16="http://schemas.microsoft.com/office/drawing/2014/main" id="{7E5ED4C6-75C7-4F23-96E9-9B6CE48C28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2" name="Host Control  523" hidden="1">
          <a:extLst>
            <a:ext uri="{FF2B5EF4-FFF2-40B4-BE49-F238E27FC236}">
              <a16:creationId xmlns:a16="http://schemas.microsoft.com/office/drawing/2014/main" id="{9B1EBA3E-2ED1-48A1-8EE3-7823B508C5B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3" name="Host Control  524" hidden="1">
          <a:extLst>
            <a:ext uri="{FF2B5EF4-FFF2-40B4-BE49-F238E27FC236}">
              <a16:creationId xmlns:a16="http://schemas.microsoft.com/office/drawing/2014/main" id="{04AB2B4F-FB60-4BD6-A4A0-C709309A80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4" name="Host Control  525" hidden="1">
          <a:extLst>
            <a:ext uri="{FF2B5EF4-FFF2-40B4-BE49-F238E27FC236}">
              <a16:creationId xmlns:a16="http://schemas.microsoft.com/office/drawing/2014/main" id="{7410A663-B6F7-4B07-8199-C76B284E1D0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5" name="Host Control  526" hidden="1">
          <a:extLst>
            <a:ext uri="{FF2B5EF4-FFF2-40B4-BE49-F238E27FC236}">
              <a16:creationId xmlns:a16="http://schemas.microsoft.com/office/drawing/2014/main" id="{EE887B8C-AF29-47C4-890C-3042E31FE79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6" name="Host Control  527" hidden="1">
          <a:extLst>
            <a:ext uri="{FF2B5EF4-FFF2-40B4-BE49-F238E27FC236}">
              <a16:creationId xmlns:a16="http://schemas.microsoft.com/office/drawing/2014/main" id="{DD0F318C-7F30-4D7A-8C69-58D5B39F216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7" name="Host Control  528" hidden="1">
          <a:extLst>
            <a:ext uri="{FF2B5EF4-FFF2-40B4-BE49-F238E27FC236}">
              <a16:creationId xmlns:a16="http://schemas.microsoft.com/office/drawing/2014/main" id="{3B67667B-1076-4C92-A3CF-8EB71CB5C50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8" name="Host Control  529" hidden="1">
          <a:extLst>
            <a:ext uri="{FF2B5EF4-FFF2-40B4-BE49-F238E27FC236}">
              <a16:creationId xmlns:a16="http://schemas.microsoft.com/office/drawing/2014/main" id="{DF350174-3EE1-4765-B38A-787F8F6E126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9" name="Host Control  530" hidden="1">
          <a:extLst>
            <a:ext uri="{FF2B5EF4-FFF2-40B4-BE49-F238E27FC236}">
              <a16:creationId xmlns:a16="http://schemas.microsoft.com/office/drawing/2014/main" id="{D33DC1AE-2F01-402B-BE17-C61879F50EE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0" name="Host Control  531" hidden="1">
          <a:extLst>
            <a:ext uri="{FF2B5EF4-FFF2-40B4-BE49-F238E27FC236}">
              <a16:creationId xmlns:a16="http://schemas.microsoft.com/office/drawing/2014/main" id="{17574F30-2C25-4098-AD04-7AEE7100885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1" name="Host Control  532" hidden="1">
          <a:extLst>
            <a:ext uri="{FF2B5EF4-FFF2-40B4-BE49-F238E27FC236}">
              <a16:creationId xmlns:a16="http://schemas.microsoft.com/office/drawing/2014/main" id="{49FC0298-C1ED-47F8-8139-BBA8814E811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2" name="Host Control  533" hidden="1">
          <a:extLst>
            <a:ext uri="{FF2B5EF4-FFF2-40B4-BE49-F238E27FC236}">
              <a16:creationId xmlns:a16="http://schemas.microsoft.com/office/drawing/2014/main" id="{FE32A9CA-72D8-4CED-9C82-BB01713F65C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3" name="Host Control  534" hidden="1">
          <a:extLst>
            <a:ext uri="{FF2B5EF4-FFF2-40B4-BE49-F238E27FC236}">
              <a16:creationId xmlns:a16="http://schemas.microsoft.com/office/drawing/2014/main" id="{95021D7B-0615-4BE6-8B30-6C40FA05472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4" name="Host Control  535" hidden="1">
          <a:extLst>
            <a:ext uri="{FF2B5EF4-FFF2-40B4-BE49-F238E27FC236}">
              <a16:creationId xmlns:a16="http://schemas.microsoft.com/office/drawing/2014/main" id="{DC6A5955-F19A-49EE-B0EF-EF5052A3D83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5" name="Host Control  536" hidden="1">
          <a:extLst>
            <a:ext uri="{FF2B5EF4-FFF2-40B4-BE49-F238E27FC236}">
              <a16:creationId xmlns:a16="http://schemas.microsoft.com/office/drawing/2014/main" id="{577039E7-803F-4429-AB70-733738C1728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6" name="Host Control  537" hidden="1">
          <a:extLst>
            <a:ext uri="{FF2B5EF4-FFF2-40B4-BE49-F238E27FC236}">
              <a16:creationId xmlns:a16="http://schemas.microsoft.com/office/drawing/2014/main" id="{2F92C5A3-51F8-4AEB-800E-12E55765BAD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7" name="Host Control  538" hidden="1">
          <a:extLst>
            <a:ext uri="{FF2B5EF4-FFF2-40B4-BE49-F238E27FC236}">
              <a16:creationId xmlns:a16="http://schemas.microsoft.com/office/drawing/2014/main" id="{14BBE631-FAF2-4CF0-ABD6-39FD51D50C1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8" name="Host Control  539" hidden="1">
          <a:extLst>
            <a:ext uri="{FF2B5EF4-FFF2-40B4-BE49-F238E27FC236}">
              <a16:creationId xmlns:a16="http://schemas.microsoft.com/office/drawing/2014/main" id="{6FD6FE43-9968-4868-BD86-873AF7695A1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9" name="Host Control  540" hidden="1">
          <a:extLst>
            <a:ext uri="{FF2B5EF4-FFF2-40B4-BE49-F238E27FC236}">
              <a16:creationId xmlns:a16="http://schemas.microsoft.com/office/drawing/2014/main" id="{2025629B-99B0-4927-AC14-18D7A7F43E3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0" name="Host Control  541" hidden="1">
          <a:extLst>
            <a:ext uri="{FF2B5EF4-FFF2-40B4-BE49-F238E27FC236}">
              <a16:creationId xmlns:a16="http://schemas.microsoft.com/office/drawing/2014/main" id="{36C2204F-18E9-45EC-BDB2-F064BC60BE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1" name="Host Control  542" hidden="1">
          <a:extLst>
            <a:ext uri="{FF2B5EF4-FFF2-40B4-BE49-F238E27FC236}">
              <a16:creationId xmlns:a16="http://schemas.microsoft.com/office/drawing/2014/main" id="{83B74137-B9F0-4AB1-BC2A-07A72827596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2" name="Host Control  543" hidden="1">
          <a:extLst>
            <a:ext uri="{FF2B5EF4-FFF2-40B4-BE49-F238E27FC236}">
              <a16:creationId xmlns:a16="http://schemas.microsoft.com/office/drawing/2014/main" id="{236F9E52-86EE-47C7-AD6D-71DC952C916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3" name="Host Control  544" hidden="1">
          <a:extLst>
            <a:ext uri="{FF2B5EF4-FFF2-40B4-BE49-F238E27FC236}">
              <a16:creationId xmlns:a16="http://schemas.microsoft.com/office/drawing/2014/main" id="{58D0C699-919F-432D-BC14-836031C661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4" name="Host Control  545" hidden="1">
          <a:extLst>
            <a:ext uri="{FF2B5EF4-FFF2-40B4-BE49-F238E27FC236}">
              <a16:creationId xmlns:a16="http://schemas.microsoft.com/office/drawing/2014/main" id="{AB9BAD02-3EBE-400C-9EEA-AEDEB773C7F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5" name="Host Control  583" hidden="1">
          <a:extLst>
            <a:ext uri="{FF2B5EF4-FFF2-40B4-BE49-F238E27FC236}">
              <a16:creationId xmlns:a16="http://schemas.microsoft.com/office/drawing/2014/main" id="{78D352DC-1B63-418D-B237-730219BE78D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6" name="Host Control  584" hidden="1">
          <a:extLst>
            <a:ext uri="{FF2B5EF4-FFF2-40B4-BE49-F238E27FC236}">
              <a16:creationId xmlns:a16="http://schemas.microsoft.com/office/drawing/2014/main" id="{E264148E-8D37-4965-8CD4-54F4C72BA05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7" name="Host Control  585" hidden="1">
          <a:extLst>
            <a:ext uri="{FF2B5EF4-FFF2-40B4-BE49-F238E27FC236}">
              <a16:creationId xmlns:a16="http://schemas.microsoft.com/office/drawing/2014/main" id="{272A1C09-E872-4F52-9CEF-7B8EA5D8F2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8" name="Host Control  586" hidden="1">
          <a:extLst>
            <a:ext uri="{FF2B5EF4-FFF2-40B4-BE49-F238E27FC236}">
              <a16:creationId xmlns:a16="http://schemas.microsoft.com/office/drawing/2014/main" id="{090FE62A-B39D-4E8E-AAB0-DC62E59FE83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9" name="Host Control  587" hidden="1">
          <a:extLst>
            <a:ext uri="{FF2B5EF4-FFF2-40B4-BE49-F238E27FC236}">
              <a16:creationId xmlns:a16="http://schemas.microsoft.com/office/drawing/2014/main" id="{37433F8B-AE83-4F7A-8161-00F179B5522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0" name="Host Control  588" hidden="1">
          <a:extLst>
            <a:ext uri="{FF2B5EF4-FFF2-40B4-BE49-F238E27FC236}">
              <a16:creationId xmlns:a16="http://schemas.microsoft.com/office/drawing/2014/main" id="{DC486C2C-F536-45C5-B540-7C05C1B6A69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1" name="Host Control  589" hidden="1">
          <a:extLst>
            <a:ext uri="{FF2B5EF4-FFF2-40B4-BE49-F238E27FC236}">
              <a16:creationId xmlns:a16="http://schemas.microsoft.com/office/drawing/2014/main" id="{4F026251-F241-4853-B666-D1AED41C1B1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2" name="Host Control  590" hidden="1">
          <a:extLst>
            <a:ext uri="{FF2B5EF4-FFF2-40B4-BE49-F238E27FC236}">
              <a16:creationId xmlns:a16="http://schemas.microsoft.com/office/drawing/2014/main" id="{5E606B0D-8571-449E-9D46-669564328FC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3" name="Host Control  591" hidden="1">
          <a:extLst>
            <a:ext uri="{FF2B5EF4-FFF2-40B4-BE49-F238E27FC236}">
              <a16:creationId xmlns:a16="http://schemas.microsoft.com/office/drawing/2014/main" id="{A538640E-588F-407C-96B8-0F3B74ACCAD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4" name="Host Control  592" hidden="1">
          <a:extLst>
            <a:ext uri="{FF2B5EF4-FFF2-40B4-BE49-F238E27FC236}">
              <a16:creationId xmlns:a16="http://schemas.microsoft.com/office/drawing/2014/main" id="{D40D2F7D-5815-4187-B5AD-DA0D33B05F5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5" name="Host Control  593" hidden="1">
          <a:extLst>
            <a:ext uri="{FF2B5EF4-FFF2-40B4-BE49-F238E27FC236}">
              <a16:creationId xmlns:a16="http://schemas.microsoft.com/office/drawing/2014/main" id="{015935AE-C726-4BA5-B54A-7E8CD00B0E1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6" name="Host Control  594" hidden="1">
          <a:extLst>
            <a:ext uri="{FF2B5EF4-FFF2-40B4-BE49-F238E27FC236}">
              <a16:creationId xmlns:a16="http://schemas.microsoft.com/office/drawing/2014/main" id="{50A330FE-3F92-45D1-A60D-395B413A6E0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7" name="Host Control  595" hidden="1">
          <a:extLst>
            <a:ext uri="{FF2B5EF4-FFF2-40B4-BE49-F238E27FC236}">
              <a16:creationId xmlns:a16="http://schemas.microsoft.com/office/drawing/2014/main" id="{DE774068-6E57-49F2-BE8F-B132331EA8A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8" name="Host Control  596" hidden="1">
          <a:extLst>
            <a:ext uri="{FF2B5EF4-FFF2-40B4-BE49-F238E27FC236}">
              <a16:creationId xmlns:a16="http://schemas.microsoft.com/office/drawing/2014/main" id="{BAD0EE25-C121-474C-A5A5-01B166CBD6F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9" name="Host Control  597" hidden="1">
          <a:extLst>
            <a:ext uri="{FF2B5EF4-FFF2-40B4-BE49-F238E27FC236}">
              <a16:creationId xmlns:a16="http://schemas.microsoft.com/office/drawing/2014/main" id="{45EE32DC-9FED-4BCD-83E2-89CC803E3AC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0" name="Host Control  598" hidden="1">
          <a:extLst>
            <a:ext uri="{FF2B5EF4-FFF2-40B4-BE49-F238E27FC236}">
              <a16:creationId xmlns:a16="http://schemas.microsoft.com/office/drawing/2014/main" id="{69F3AFA1-9DE4-4B9C-B525-5C53E98A912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1" name="Host Control  599" hidden="1">
          <a:extLst>
            <a:ext uri="{FF2B5EF4-FFF2-40B4-BE49-F238E27FC236}">
              <a16:creationId xmlns:a16="http://schemas.microsoft.com/office/drawing/2014/main" id="{5F60170A-1F2F-499E-88E1-24EE004990B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2" name="Host Control  600" hidden="1">
          <a:extLst>
            <a:ext uri="{FF2B5EF4-FFF2-40B4-BE49-F238E27FC236}">
              <a16:creationId xmlns:a16="http://schemas.microsoft.com/office/drawing/2014/main" id="{33523EF4-9D98-4EFA-AD12-E334A13568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3" name="Host Control  601" hidden="1">
          <a:extLst>
            <a:ext uri="{FF2B5EF4-FFF2-40B4-BE49-F238E27FC236}">
              <a16:creationId xmlns:a16="http://schemas.microsoft.com/office/drawing/2014/main" id="{6BBF2660-AD06-4127-A560-8874C4A96F9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4" name="Host Control  602" hidden="1">
          <a:extLst>
            <a:ext uri="{FF2B5EF4-FFF2-40B4-BE49-F238E27FC236}">
              <a16:creationId xmlns:a16="http://schemas.microsoft.com/office/drawing/2014/main" id="{4827AD1D-9945-4B39-B9DA-497689B9FD8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5" name="Host Control  603" hidden="1">
          <a:extLst>
            <a:ext uri="{FF2B5EF4-FFF2-40B4-BE49-F238E27FC236}">
              <a16:creationId xmlns:a16="http://schemas.microsoft.com/office/drawing/2014/main" id="{2BD29976-557F-4B0D-A941-F8C0A26C015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6" name="Host Control  604" hidden="1">
          <a:extLst>
            <a:ext uri="{FF2B5EF4-FFF2-40B4-BE49-F238E27FC236}">
              <a16:creationId xmlns:a16="http://schemas.microsoft.com/office/drawing/2014/main" id="{32C2F194-81A4-4580-96C4-4B5B97218C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7" name="Host Control  605" hidden="1">
          <a:extLst>
            <a:ext uri="{FF2B5EF4-FFF2-40B4-BE49-F238E27FC236}">
              <a16:creationId xmlns:a16="http://schemas.microsoft.com/office/drawing/2014/main" id="{418A3A69-4750-42CF-A277-7B12FC4A5B3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8" name="Host Control  606" hidden="1">
          <a:extLst>
            <a:ext uri="{FF2B5EF4-FFF2-40B4-BE49-F238E27FC236}">
              <a16:creationId xmlns:a16="http://schemas.microsoft.com/office/drawing/2014/main" id="{18CD3C9C-5E68-4D1A-8DDF-721B7EFF27B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9" name="Host Control  607" hidden="1">
          <a:extLst>
            <a:ext uri="{FF2B5EF4-FFF2-40B4-BE49-F238E27FC236}">
              <a16:creationId xmlns:a16="http://schemas.microsoft.com/office/drawing/2014/main" id="{7DBB6CE1-463B-48F9-97F3-36CBDFABF4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0" name="Host Control  608" hidden="1">
          <a:extLst>
            <a:ext uri="{FF2B5EF4-FFF2-40B4-BE49-F238E27FC236}">
              <a16:creationId xmlns:a16="http://schemas.microsoft.com/office/drawing/2014/main" id="{66C7934F-9962-4549-A611-0187B865C57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1" name="Host Control  609" hidden="1">
          <a:extLst>
            <a:ext uri="{FF2B5EF4-FFF2-40B4-BE49-F238E27FC236}">
              <a16:creationId xmlns:a16="http://schemas.microsoft.com/office/drawing/2014/main" id="{F52CF2E2-223A-4E5C-90C5-DD1F2A93004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2" name="Host Control  610" hidden="1">
          <a:extLst>
            <a:ext uri="{FF2B5EF4-FFF2-40B4-BE49-F238E27FC236}">
              <a16:creationId xmlns:a16="http://schemas.microsoft.com/office/drawing/2014/main" id="{57870D15-D62F-41B8-AEFA-74950D71C48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3" name="Host Control  611" hidden="1">
          <a:extLst>
            <a:ext uri="{FF2B5EF4-FFF2-40B4-BE49-F238E27FC236}">
              <a16:creationId xmlns:a16="http://schemas.microsoft.com/office/drawing/2014/main" id="{B51BFE15-3EC6-4068-8101-2930716BC1E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1928495" cy="304800"/>
    <xdr:sp macro="" textlink="">
      <xdr:nvSpPr>
        <xdr:cNvPr id="3194" name="Host Control  483" hidden="1">
          <a:extLst>
            <a:ext uri="{FF2B5EF4-FFF2-40B4-BE49-F238E27FC236}">
              <a16:creationId xmlns:a16="http://schemas.microsoft.com/office/drawing/2014/main" id="{6F2FA8BB-BE43-456C-9C21-4AC821A922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5" name="Host Control  484" hidden="1">
          <a:extLst>
            <a:ext uri="{FF2B5EF4-FFF2-40B4-BE49-F238E27FC236}">
              <a16:creationId xmlns:a16="http://schemas.microsoft.com/office/drawing/2014/main" id="{8E5D458B-03E6-460B-A94B-3A354DAB8E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6" name="Host Control  485" hidden="1">
          <a:extLst>
            <a:ext uri="{FF2B5EF4-FFF2-40B4-BE49-F238E27FC236}">
              <a16:creationId xmlns:a16="http://schemas.microsoft.com/office/drawing/2014/main" id="{6F8E3D95-228A-451B-B8B6-866BF4E64B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7" name="Host Control  486" hidden="1">
          <a:extLst>
            <a:ext uri="{FF2B5EF4-FFF2-40B4-BE49-F238E27FC236}">
              <a16:creationId xmlns:a16="http://schemas.microsoft.com/office/drawing/2014/main" id="{A8CF294B-9B88-404D-BAF9-C292CD6B07F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8" name="Host Control  487" hidden="1">
          <a:extLst>
            <a:ext uri="{FF2B5EF4-FFF2-40B4-BE49-F238E27FC236}">
              <a16:creationId xmlns:a16="http://schemas.microsoft.com/office/drawing/2014/main" id="{179E0350-DFC5-473F-A3B0-405A338CB18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9" name="Host Control  488" hidden="1">
          <a:extLst>
            <a:ext uri="{FF2B5EF4-FFF2-40B4-BE49-F238E27FC236}">
              <a16:creationId xmlns:a16="http://schemas.microsoft.com/office/drawing/2014/main" id="{BC4107C6-130B-40F6-AFF1-228C935402B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0" name="Host Control  489" hidden="1">
          <a:extLst>
            <a:ext uri="{FF2B5EF4-FFF2-40B4-BE49-F238E27FC236}">
              <a16:creationId xmlns:a16="http://schemas.microsoft.com/office/drawing/2014/main" id="{41219D75-3375-4438-A48F-A585A7D950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1" name="Host Control  490" hidden="1">
          <a:extLst>
            <a:ext uri="{FF2B5EF4-FFF2-40B4-BE49-F238E27FC236}">
              <a16:creationId xmlns:a16="http://schemas.microsoft.com/office/drawing/2014/main" id="{A6029E58-ED6B-47CD-9AC3-DCA1D982648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2" name="Host Control  491" hidden="1">
          <a:extLst>
            <a:ext uri="{FF2B5EF4-FFF2-40B4-BE49-F238E27FC236}">
              <a16:creationId xmlns:a16="http://schemas.microsoft.com/office/drawing/2014/main" id="{B38A1E81-AD9D-4BED-8601-F13C354B1C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3" name="Host Control  492" hidden="1">
          <a:extLst>
            <a:ext uri="{FF2B5EF4-FFF2-40B4-BE49-F238E27FC236}">
              <a16:creationId xmlns:a16="http://schemas.microsoft.com/office/drawing/2014/main" id="{5F69228D-FE87-4694-A978-8064A2C1071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4" name="Host Control  493" hidden="1">
          <a:extLst>
            <a:ext uri="{FF2B5EF4-FFF2-40B4-BE49-F238E27FC236}">
              <a16:creationId xmlns:a16="http://schemas.microsoft.com/office/drawing/2014/main" id="{2872EBE1-F343-44B5-A623-27915C0F8C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5" name="Host Control  494" hidden="1">
          <a:extLst>
            <a:ext uri="{FF2B5EF4-FFF2-40B4-BE49-F238E27FC236}">
              <a16:creationId xmlns:a16="http://schemas.microsoft.com/office/drawing/2014/main" id="{AE17697E-CBD9-4FDE-BD77-A341D6C803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6" name="Host Control  495" hidden="1">
          <a:extLst>
            <a:ext uri="{FF2B5EF4-FFF2-40B4-BE49-F238E27FC236}">
              <a16:creationId xmlns:a16="http://schemas.microsoft.com/office/drawing/2014/main" id="{9349F038-7FC7-479C-AB0A-2B5231FE44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7" name="Host Control  496" hidden="1">
          <a:extLst>
            <a:ext uri="{FF2B5EF4-FFF2-40B4-BE49-F238E27FC236}">
              <a16:creationId xmlns:a16="http://schemas.microsoft.com/office/drawing/2014/main" id="{74FFE182-6670-4B4B-BE07-73AC32826E9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8" name="Host Control  497" hidden="1">
          <a:extLst>
            <a:ext uri="{FF2B5EF4-FFF2-40B4-BE49-F238E27FC236}">
              <a16:creationId xmlns:a16="http://schemas.microsoft.com/office/drawing/2014/main" id="{47343308-E9DA-4D1B-A7D3-AA173CD0E93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9" name="Host Control  498" hidden="1">
          <a:extLst>
            <a:ext uri="{FF2B5EF4-FFF2-40B4-BE49-F238E27FC236}">
              <a16:creationId xmlns:a16="http://schemas.microsoft.com/office/drawing/2014/main" id="{FA8D2E49-4246-450B-BFE2-92A8B5F454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0" name="Host Control  499" hidden="1">
          <a:extLst>
            <a:ext uri="{FF2B5EF4-FFF2-40B4-BE49-F238E27FC236}">
              <a16:creationId xmlns:a16="http://schemas.microsoft.com/office/drawing/2014/main" id="{4F3F35DF-F202-47D1-928C-D2E8D7D3A8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1" name="Host Control  500" hidden="1">
          <a:extLst>
            <a:ext uri="{FF2B5EF4-FFF2-40B4-BE49-F238E27FC236}">
              <a16:creationId xmlns:a16="http://schemas.microsoft.com/office/drawing/2014/main" id="{D798B8BA-5873-4FE7-9042-6BD55698A9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2" name="Host Control  501" hidden="1">
          <a:extLst>
            <a:ext uri="{FF2B5EF4-FFF2-40B4-BE49-F238E27FC236}">
              <a16:creationId xmlns:a16="http://schemas.microsoft.com/office/drawing/2014/main" id="{E65818F7-0534-4AD8-B513-BABB1BBFB2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3" name="Host Control  502" hidden="1">
          <a:extLst>
            <a:ext uri="{FF2B5EF4-FFF2-40B4-BE49-F238E27FC236}">
              <a16:creationId xmlns:a16="http://schemas.microsoft.com/office/drawing/2014/main" id="{F8E1B828-F344-4086-9D16-BC23702209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4" name="Host Control  503" hidden="1">
          <a:extLst>
            <a:ext uri="{FF2B5EF4-FFF2-40B4-BE49-F238E27FC236}">
              <a16:creationId xmlns:a16="http://schemas.microsoft.com/office/drawing/2014/main" id="{DBFCAA87-8720-4489-9980-DCF2588735A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5" name="Host Control  504" hidden="1">
          <a:extLst>
            <a:ext uri="{FF2B5EF4-FFF2-40B4-BE49-F238E27FC236}">
              <a16:creationId xmlns:a16="http://schemas.microsoft.com/office/drawing/2014/main" id="{BFBE4339-8F2F-4829-9BA0-98FF04FDAD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6" name="Host Control  505" hidden="1">
          <a:extLst>
            <a:ext uri="{FF2B5EF4-FFF2-40B4-BE49-F238E27FC236}">
              <a16:creationId xmlns:a16="http://schemas.microsoft.com/office/drawing/2014/main" id="{1D5F57DE-525B-416F-B8A0-C2C956E0F9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7" name="Host Control  506" hidden="1">
          <a:extLst>
            <a:ext uri="{FF2B5EF4-FFF2-40B4-BE49-F238E27FC236}">
              <a16:creationId xmlns:a16="http://schemas.microsoft.com/office/drawing/2014/main" id="{2C7D2D6C-5CFE-4712-9741-9B1F413F481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8" name="Host Control  507" hidden="1">
          <a:extLst>
            <a:ext uri="{FF2B5EF4-FFF2-40B4-BE49-F238E27FC236}">
              <a16:creationId xmlns:a16="http://schemas.microsoft.com/office/drawing/2014/main" id="{8389E3A3-530F-4825-92C6-8C7A01AC69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9" name="Host Control  508" hidden="1">
          <a:extLst>
            <a:ext uri="{FF2B5EF4-FFF2-40B4-BE49-F238E27FC236}">
              <a16:creationId xmlns:a16="http://schemas.microsoft.com/office/drawing/2014/main" id="{D6165D41-8819-430C-B89F-7F2C63FFDA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0" name="Host Control  509" hidden="1">
          <a:extLst>
            <a:ext uri="{FF2B5EF4-FFF2-40B4-BE49-F238E27FC236}">
              <a16:creationId xmlns:a16="http://schemas.microsoft.com/office/drawing/2014/main" id="{9E9F5BD0-3908-4702-8E7B-D3639EC3285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1" name="Host Control  510" hidden="1">
          <a:extLst>
            <a:ext uri="{FF2B5EF4-FFF2-40B4-BE49-F238E27FC236}">
              <a16:creationId xmlns:a16="http://schemas.microsoft.com/office/drawing/2014/main" id="{A0DBD1CA-5CFC-4A1F-A32A-C6FBE22400B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2" name="Host Control  511" hidden="1">
          <a:extLst>
            <a:ext uri="{FF2B5EF4-FFF2-40B4-BE49-F238E27FC236}">
              <a16:creationId xmlns:a16="http://schemas.microsoft.com/office/drawing/2014/main" id="{A26D24CD-28B0-48BD-86ED-996B5DEA66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3" name="Host Control  512" hidden="1">
          <a:extLst>
            <a:ext uri="{FF2B5EF4-FFF2-40B4-BE49-F238E27FC236}">
              <a16:creationId xmlns:a16="http://schemas.microsoft.com/office/drawing/2014/main" id="{B70168E6-1BC3-4DF7-98F5-920E02D439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4" name="Host Control  517" hidden="1">
          <a:extLst>
            <a:ext uri="{FF2B5EF4-FFF2-40B4-BE49-F238E27FC236}">
              <a16:creationId xmlns:a16="http://schemas.microsoft.com/office/drawing/2014/main" id="{2D8375BB-8ED5-477C-892F-22BB1515E07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5" name="Host Control  518" hidden="1">
          <a:extLst>
            <a:ext uri="{FF2B5EF4-FFF2-40B4-BE49-F238E27FC236}">
              <a16:creationId xmlns:a16="http://schemas.microsoft.com/office/drawing/2014/main" id="{499EDC99-AB5C-4719-BBEB-3A411CD4126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6" name="Host Control  519" hidden="1">
          <a:extLst>
            <a:ext uri="{FF2B5EF4-FFF2-40B4-BE49-F238E27FC236}">
              <a16:creationId xmlns:a16="http://schemas.microsoft.com/office/drawing/2014/main" id="{3E13A99D-CDB5-4DB9-9ECE-032E9CB5716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7" name="Host Control  520" hidden="1">
          <a:extLst>
            <a:ext uri="{FF2B5EF4-FFF2-40B4-BE49-F238E27FC236}">
              <a16:creationId xmlns:a16="http://schemas.microsoft.com/office/drawing/2014/main" id="{E788BC6B-1A10-4E8D-8926-4252C2E91BA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8" name="Host Control  521" hidden="1">
          <a:extLst>
            <a:ext uri="{FF2B5EF4-FFF2-40B4-BE49-F238E27FC236}">
              <a16:creationId xmlns:a16="http://schemas.microsoft.com/office/drawing/2014/main" id="{BA877071-CF09-469B-838A-31A626C974E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9" name="Host Control  522" hidden="1">
          <a:extLst>
            <a:ext uri="{FF2B5EF4-FFF2-40B4-BE49-F238E27FC236}">
              <a16:creationId xmlns:a16="http://schemas.microsoft.com/office/drawing/2014/main" id="{4852FEC8-95F9-4D96-B0AF-A625F31B0CC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0" name="Host Control  523" hidden="1">
          <a:extLst>
            <a:ext uri="{FF2B5EF4-FFF2-40B4-BE49-F238E27FC236}">
              <a16:creationId xmlns:a16="http://schemas.microsoft.com/office/drawing/2014/main" id="{9BC67E62-FBAB-498B-AF8B-8F3A0757938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1" name="Host Control  524" hidden="1">
          <a:extLst>
            <a:ext uri="{FF2B5EF4-FFF2-40B4-BE49-F238E27FC236}">
              <a16:creationId xmlns:a16="http://schemas.microsoft.com/office/drawing/2014/main" id="{C3EEA40C-BDA9-435A-BF20-3F418742CD9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2" name="Host Control  525" hidden="1">
          <a:extLst>
            <a:ext uri="{FF2B5EF4-FFF2-40B4-BE49-F238E27FC236}">
              <a16:creationId xmlns:a16="http://schemas.microsoft.com/office/drawing/2014/main" id="{690C6AB2-E5FD-43A2-927C-645196FD5AA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3" name="Host Control  526" hidden="1">
          <a:extLst>
            <a:ext uri="{FF2B5EF4-FFF2-40B4-BE49-F238E27FC236}">
              <a16:creationId xmlns:a16="http://schemas.microsoft.com/office/drawing/2014/main" id="{8A8CD170-6F02-41A2-82AA-CCBD844C55E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4" name="Host Control  527" hidden="1">
          <a:extLst>
            <a:ext uri="{FF2B5EF4-FFF2-40B4-BE49-F238E27FC236}">
              <a16:creationId xmlns:a16="http://schemas.microsoft.com/office/drawing/2014/main" id="{D398D0C3-E0DE-40D0-9131-52306059A3E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5" name="Host Control  528" hidden="1">
          <a:extLst>
            <a:ext uri="{FF2B5EF4-FFF2-40B4-BE49-F238E27FC236}">
              <a16:creationId xmlns:a16="http://schemas.microsoft.com/office/drawing/2014/main" id="{D74F7CD0-ED3A-4B1F-9DBF-5A970332128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6" name="Host Control  529" hidden="1">
          <a:extLst>
            <a:ext uri="{FF2B5EF4-FFF2-40B4-BE49-F238E27FC236}">
              <a16:creationId xmlns:a16="http://schemas.microsoft.com/office/drawing/2014/main" id="{A04CB188-975A-456C-A336-87853353B9A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7" name="Host Control  530" hidden="1">
          <a:extLst>
            <a:ext uri="{FF2B5EF4-FFF2-40B4-BE49-F238E27FC236}">
              <a16:creationId xmlns:a16="http://schemas.microsoft.com/office/drawing/2014/main" id="{4385D8F3-5049-40C2-BAC8-F0C74E6E0E2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8" name="Host Control  531" hidden="1">
          <a:extLst>
            <a:ext uri="{FF2B5EF4-FFF2-40B4-BE49-F238E27FC236}">
              <a16:creationId xmlns:a16="http://schemas.microsoft.com/office/drawing/2014/main" id="{CEE57AA6-5F79-4B94-B20B-B962F17A74E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9" name="Host Control  532" hidden="1">
          <a:extLst>
            <a:ext uri="{FF2B5EF4-FFF2-40B4-BE49-F238E27FC236}">
              <a16:creationId xmlns:a16="http://schemas.microsoft.com/office/drawing/2014/main" id="{5062EDDF-D2E0-4D3C-B359-0BEA2845F7D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0" name="Host Control  533" hidden="1">
          <a:extLst>
            <a:ext uri="{FF2B5EF4-FFF2-40B4-BE49-F238E27FC236}">
              <a16:creationId xmlns:a16="http://schemas.microsoft.com/office/drawing/2014/main" id="{95F77C71-66BB-4107-8D4D-154C400E260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1" name="Host Control  534" hidden="1">
          <a:extLst>
            <a:ext uri="{FF2B5EF4-FFF2-40B4-BE49-F238E27FC236}">
              <a16:creationId xmlns:a16="http://schemas.microsoft.com/office/drawing/2014/main" id="{6E25A485-FCE8-4234-9863-CE7828B759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2" name="Host Control  535" hidden="1">
          <a:extLst>
            <a:ext uri="{FF2B5EF4-FFF2-40B4-BE49-F238E27FC236}">
              <a16:creationId xmlns:a16="http://schemas.microsoft.com/office/drawing/2014/main" id="{3486CB58-2422-4DB7-8C81-FA5BF0CCE71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3" name="Host Control  536" hidden="1">
          <a:extLst>
            <a:ext uri="{FF2B5EF4-FFF2-40B4-BE49-F238E27FC236}">
              <a16:creationId xmlns:a16="http://schemas.microsoft.com/office/drawing/2014/main" id="{0DFD7F81-FEC4-4FFD-8591-A1E0263F096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4" name="Host Control  537" hidden="1">
          <a:extLst>
            <a:ext uri="{FF2B5EF4-FFF2-40B4-BE49-F238E27FC236}">
              <a16:creationId xmlns:a16="http://schemas.microsoft.com/office/drawing/2014/main" id="{946A9303-4D1D-43FF-A574-C9A270E4025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5" name="Host Control  538" hidden="1">
          <a:extLst>
            <a:ext uri="{FF2B5EF4-FFF2-40B4-BE49-F238E27FC236}">
              <a16:creationId xmlns:a16="http://schemas.microsoft.com/office/drawing/2014/main" id="{13930504-1FF0-4BA2-9E81-AC33A17F36F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6" name="Host Control  539" hidden="1">
          <a:extLst>
            <a:ext uri="{FF2B5EF4-FFF2-40B4-BE49-F238E27FC236}">
              <a16:creationId xmlns:a16="http://schemas.microsoft.com/office/drawing/2014/main" id="{6C298F10-FFA1-47FE-A36E-FA3508744D3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7" name="Host Control  540" hidden="1">
          <a:extLst>
            <a:ext uri="{FF2B5EF4-FFF2-40B4-BE49-F238E27FC236}">
              <a16:creationId xmlns:a16="http://schemas.microsoft.com/office/drawing/2014/main" id="{563FBC88-28B2-4A88-A324-A92C7147BAD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8" name="Host Control  541" hidden="1">
          <a:extLst>
            <a:ext uri="{FF2B5EF4-FFF2-40B4-BE49-F238E27FC236}">
              <a16:creationId xmlns:a16="http://schemas.microsoft.com/office/drawing/2014/main" id="{0DA773BB-F327-4F36-BEA0-B930466225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9" name="Host Control  542" hidden="1">
          <a:extLst>
            <a:ext uri="{FF2B5EF4-FFF2-40B4-BE49-F238E27FC236}">
              <a16:creationId xmlns:a16="http://schemas.microsoft.com/office/drawing/2014/main" id="{68F0B380-0C5E-41E5-BB50-89D3A46703B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0" name="Host Control  543" hidden="1">
          <a:extLst>
            <a:ext uri="{FF2B5EF4-FFF2-40B4-BE49-F238E27FC236}">
              <a16:creationId xmlns:a16="http://schemas.microsoft.com/office/drawing/2014/main" id="{5037009A-D2B5-4F66-AEAA-EC47270724E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1" name="Host Control  544" hidden="1">
          <a:extLst>
            <a:ext uri="{FF2B5EF4-FFF2-40B4-BE49-F238E27FC236}">
              <a16:creationId xmlns:a16="http://schemas.microsoft.com/office/drawing/2014/main" id="{92DE310A-A92B-4407-AF30-5D0ED4B0EFE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2" name="Host Control  545" hidden="1">
          <a:extLst>
            <a:ext uri="{FF2B5EF4-FFF2-40B4-BE49-F238E27FC236}">
              <a16:creationId xmlns:a16="http://schemas.microsoft.com/office/drawing/2014/main" id="{0B25FB2B-5F3B-4D24-8DCA-15F82A14193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3" name="Host Control  583" hidden="1">
          <a:extLst>
            <a:ext uri="{FF2B5EF4-FFF2-40B4-BE49-F238E27FC236}">
              <a16:creationId xmlns:a16="http://schemas.microsoft.com/office/drawing/2014/main" id="{3C9D00AE-7633-46E0-8FF1-243CD381E37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4" name="Host Control  584" hidden="1">
          <a:extLst>
            <a:ext uri="{FF2B5EF4-FFF2-40B4-BE49-F238E27FC236}">
              <a16:creationId xmlns:a16="http://schemas.microsoft.com/office/drawing/2014/main" id="{0DCF2603-D87E-4082-9F00-9D13F027405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5" name="Host Control  585" hidden="1">
          <a:extLst>
            <a:ext uri="{FF2B5EF4-FFF2-40B4-BE49-F238E27FC236}">
              <a16:creationId xmlns:a16="http://schemas.microsoft.com/office/drawing/2014/main" id="{6D085985-E622-4923-93E4-758F836F413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6" name="Host Control  586" hidden="1">
          <a:extLst>
            <a:ext uri="{FF2B5EF4-FFF2-40B4-BE49-F238E27FC236}">
              <a16:creationId xmlns:a16="http://schemas.microsoft.com/office/drawing/2014/main" id="{DE1DF255-05F2-40CC-B263-3261E540A0B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7" name="Host Control  587" hidden="1">
          <a:extLst>
            <a:ext uri="{FF2B5EF4-FFF2-40B4-BE49-F238E27FC236}">
              <a16:creationId xmlns:a16="http://schemas.microsoft.com/office/drawing/2014/main" id="{EC678D44-EE04-42FB-87D6-4F894C60252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8" name="Host Control  588" hidden="1">
          <a:extLst>
            <a:ext uri="{FF2B5EF4-FFF2-40B4-BE49-F238E27FC236}">
              <a16:creationId xmlns:a16="http://schemas.microsoft.com/office/drawing/2014/main" id="{ECEA6D7E-1629-48F7-9CF0-FFCA3C626B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9" name="Host Control  589" hidden="1">
          <a:extLst>
            <a:ext uri="{FF2B5EF4-FFF2-40B4-BE49-F238E27FC236}">
              <a16:creationId xmlns:a16="http://schemas.microsoft.com/office/drawing/2014/main" id="{9FA7CAA7-9D5E-422E-865F-2A25FFBD98E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0" name="Host Control  590" hidden="1">
          <a:extLst>
            <a:ext uri="{FF2B5EF4-FFF2-40B4-BE49-F238E27FC236}">
              <a16:creationId xmlns:a16="http://schemas.microsoft.com/office/drawing/2014/main" id="{5D432E7F-91EA-4001-AE40-F240D5CAA87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1" name="Host Control  591" hidden="1">
          <a:extLst>
            <a:ext uri="{FF2B5EF4-FFF2-40B4-BE49-F238E27FC236}">
              <a16:creationId xmlns:a16="http://schemas.microsoft.com/office/drawing/2014/main" id="{51225A64-B17F-48FB-9A99-488948C2320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2" name="Host Control  592" hidden="1">
          <a:extLst>
            <a:ext uri="{FF2B5EF4-FFF2-40B4-BE49-F238E27FC236}">
              <a16:creationId xmlns:a16="http://schemas.microsoft.com/office/drawing/2014/main" id="{F7117D07-6364-43C0-985A-B2008DEE4DA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3" name="Host Control  593" hidden="1">
          <a:extLst>
            <a:ext uri="{FF2B5EF4-FFF2-40B4-BE49-F238E27FC236}">
              <a16:creationId xmlns:a16="http://schemas.microsoft.com/office/drawing/2014/main" id="{C4654D51-FEFD-4490-93EC-8EB0F40DD39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4" name="Host Control  594" hidden="1">
          <a:extLst>
            <a:ext uri="{FF2B5EF4-FFF2-40B4-BE49-F238E27FC236}">
              <a16:creationId xmlns:a16="http://schemas.microsoft.com/office/drawing/2014/main" id="{CD1D5676-7EE2-42A6-9A48-901E94B13C6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5" name="Host Control  595" hidden="1">
          <a:extLst>
            <a:ext uri="{FF2B5EF4-FFF2-40B4-BE49-F238E27FC236}">
              <a16:creationId xmlns:a16="http://schemas.microsoft.com/office/drawing/2014/main" id="{F6E611D9-B536-4D65-A2C0-1432A45274C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6" name="Host Control  596" hidden="1">
          <a:extLst>
            <a:ext uri="{FF2B5EF4-FFF2-40B4-BE49-F238E27FC236}">
              <a16:creationId xmlns:a16="http://schemas.microsoft.com/office/drawing/2014/main" id="{14D03E74-17F2-4D67-9347-93C31E90AE2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7" name="Host Control  597" hidden="1">
          <a:extLst>
            <a:ext uri="{FF2B5EF4-FFF2-40B4-BE49-F238E27FC236}">
              <a16:creationId xmlns:a16="http://schemas.microsoft.com/office/drawing/2014/main" id="{DAEBE3FD-8E1D-4BAB-8DBF-7A6F16E252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8" name="Host Control  598" hidden="1">
          <a:extLst>
            <a:ext uri="{FF2B5EF4-FFF2-40B4-BE49-F238E27FC236}">
              <a16:creationId xmlns:a16="http://schemas.microsoft.com/office/drawing/2014/main" id="{CA73C606-780D-46AD-A0B4-56308D2E800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9" name="Host Control  599" hidden="1">
          <a:extLst>
            <a:ext uri="{FF2B5EF4-FFF2-40B4-BE49-F238E27FC236}">
              <a16:creationId xmlns:a16="http://schemas.microsoft.com/office/drawing/2014/main" id="{583BEF4B-3D3E-4472-9104-DB94353917E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0" name="Host Control  600" hidden="1">
          <a:extLst>
            <a:ext uri="{FF2B5EF4-FFF2-40B4-BE49-F238E27FC236}">
              <a16:creationId xmlns:a16="http://schemas.microsoft.com/office/drawing/2014/main" id="{D605DC58-3444-4BAA-BF53-3496D4F20FF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1" name="Host Control  601" hidden="1">
          <a:extLst>
            <a:ext uri="{FF2B5EF4-FFF2-40B4-BE49-F238E27FC236}">
              <a16:creationId xmlns:a16="http://schemas.microsoft.com/office/drawing/2014/main" id="{557E6C0D-8193-4B48-9553-503DA9D4333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2" name="Host Control  602" hidden="1">
          <a:extLst>
            <a:ext uri="{FF2B5EF4-FFF2-40B4-BE49-F238E27FC236}">
              <a16:creationId xmlns:a16="http://schemas.microsoft.com/office/drawing/2014/main" id="{59C320B8-497E-43D7-957C-D43133A1034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3" name="Host Control  603" hidden="1">
          <a:extLst>
            <a:ext uri="{FF2B5EF4-FFF2-40B4-BE49-F238E27FC236}">
              <a16:creationId xmlns:a16="http://schemas.microsoft.com/office/drawing/2014/main" id="{D9EEDCDB-9BE8-4862-8136-97E1832949C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4" name="Host Control  604" hidden="1">
          <a:extLst>
            <a:ext uri="{FF2B5EF4-FFF2-40B4-BE49-F238E27FC236}">
              <a16:creationId xmlns:a16="http://schemas.microsoft.com/office/drawing/2014/main" id="{08F58865-4912-4087-A100-B3602BF38F0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5" name="Host Control  605" hidden="1">
          <a:extLst>
            <a:ext uri="{FF2B5EF4-FFF2-40B4-BE49-F238E27FC236}">
              <a16:creationId xmlns:a16="http://schemas.microsoft.com/office/drawing/2014/main" id="{84D612D1-28B1-4359-B78C-372884D937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6" name="Host Control  606" hidden="1">
          <a:extLst>
            <a:ext uri="{FF2B5EF4-FFF2-40B4-BE49-F238E27FC236}">
              <a16:creationId xmlns:a16="http://schemas.microsoft.com/office/drawing/2014/main" id="{71F9CC27-3273-41A4-8FED-3819302264A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7" name="Host Control  607" hidden="1">
          <a:extLst>
            <a:ext uri="{FF2B5EF4-FFF2-40B4-BE49-F238E27FC236}">
              <a16:creationId xmlns:a16="http://schemas.microsoft.com/office/drawing/2014/main" id="{18F7C0C6-8E91-41DA-A4C7-D19D7207E6C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8" name="Host Control  608" hidden="1">
          <a:extLst>
            <a:ext uri="{FF2B5EF4-FFF2-40B4-BE49-F238E27FC236}">
              <a16:creationId xmlns:a16="http://schemas.microsoft.com/office/drawing/2014/main" id="{08E27FFA-28EA-4947-B420-CC9FB7A7098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9" name="Host Control  609" hidden="1">
          <a:extLst>
            <a:ext uri="{FF2B5EF4-FFF2-40B4-BE49-F238E27FC236}">
              <a16:creationId xmlns:a16="http://schemas.microsoft.com/office/drawing/2014/main" id="{AD9CF80D-A94C-4D90-A1D5-7AEC040EC1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80" name="Host Control  610" hidden="1">
          <a:extLst>
            <a:ext uri="{FF2B5EF4-FFF2-40B4-BE49-F238E27FC236}">
              <a16:creationId xmlns:a16="http://schemas.microsoft.com/office/drawing/2014/main" id="{B4A4C8CF-D295-4833-8613-D1CA50831CD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81" name="Host Control  611" hidden="1">
          <a:extLst>
            <a:ext uri="{FF2B5EF4-FFF2-40B4-BE49-F238E27FC236}">
              <a16:creationId xmlns:a16="http://schemas.microsoft.com/office/drawing/2014/main" id="{C7F9036F-74E2-4CEB-91B3-94CC9603F6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32305" cy="304800"/>
    <xdr:sp macro="" textlink="">
      <xdr:nvSpPr>
        <xdr:cNvPr id="3282" name="Host Control  32" hidden="1">
          <a:extLst>
            <a:ext uri="{FF2B5EF4-FFF2-40B4-BE49-F238E27FC236}">
              <a16:creationId xmlns:a16="http://schemas.microsoft.com/office/drawing/2014/main" id="{6ED795DF-B19C-4839-AE1C-BFB032A8905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3" name="Host Control  33" hidden="1">
          <a:extLst>
            <a:ext uri="{FF2B5EF4-FFF2-40B4-BE49-F238E27FC236}">
              <a16:creationId xmlns:a16="http://schemas.microsoft.com/office/drawing/2014/main" id="{8B8AAE21-66AB-41F3-88A1-7390048977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4" name="Host Control  34" hidden="1">
          <a:extLst>
            <a:ext uri="{FF2B5EF4-FFF2-40B4-BE49-F238E27FC236}">
              <a16:creationId xmlns:a16="http://schemas.microsoft.com/office/drawing/2014/main" id="{A0BAD4EA-D683-4B55-9D33-4CD18D51EE6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5" name="Host Control  35" hidden="1">
          <a:extLst>
            <a:ext uri="{FF2B5EF4-FFF2-40B4-BE49-F238E27FC236}">
              <a16:creationId xmlns:a16="http://schemas.microsoft.com/office/drawing/2014/main" id="{F4AA72EB-D63C-4B5A-8CB3-B60D618E18D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6" name="Host Control  36" hidden="1">
          <a:extLst>
            <a:ext uri="{FF2B5EF4-FFF2-40B4-BE49-F238E27FC236}">
              <a16:creationId xmlns:a16="http://schemas.microsoft.com/office/drawing/2014/main" id="{FA959576-4159-40A2-A28B-7217AE83A61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7" name="Host Control  37" hidden="1">
          <a:extLst>
            <a:ext uri="{FF2B5EF4-FFF2-40B4-BE49-F238E27FC236}">
              <a16:creationId xmlns:a16="http://schemas.microsoft.com/office/drawing/2014/main" id="{93C201F6-EAD5-46C8-8543-02FB49654DB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8" name="Host Control  38" hidden="1">
          <a:extLst>
            <a:ext uri="{FF2B5EF4-FFF2-40B4-BE49-F238E27FC236}">
              <a16:creationId xmlns:a16="http://schemas.microsoft.com/office/drawing/2014/main" id="{24AB7F89-13C0-4A89-A7FB-C6190837E0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9" name="Host Control  39" hidden="1">
          <a:extLst>
            <a:ext uri="{FF2B5EF4-FFF2-40B4-BE49-F238E27FC236}">
              <a16:creationId xmlns:a16="http://schemas.microsoft.com/office/drawing/2014/main" id="{1EBDB493-785D-4F7A-ADFA-9D05D53A2B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0" name="Host Control  40" hidden="1">
          <a:extLst>
            <a:ext uri="{FF2B5EF4-FFF2-40B4-BE49-F238E27FC236}">
              <a16:creationId xmlns:a16="http://schemas.microsoft.com/office/drawing/2014/main" id="{2C7B163C-0415-4606-99BA-9931BA8BB3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1" name="Host Control  41" hidden="1">
          <a:extLst>
            <a:ext uri="{FF2B5EF4-FFF2-40B4-BE49-F238E27FC236}">
              <a16:creationId xmlns:a16="http://schemas.microsoft.com/office/drawing/2014/main" id="{AC7B11E0-BFB1-448C-B3D6-C2533C56260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2" name="Host Control  42" hidden="1">
          <a:extLst>
            <a:ext uri="{FF2B5EF4-FFF2-40B4-BE49-F238E27FC236}">
              <a16:creationId xmlns:a16="http://schemas.microsoft.com/office/drawing/2014/main" id="{AA5E3BFF-9549-458B-95ED-115D567F84E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3" name="Host Control  43" hidden="1">
          <a:extLst>
            <a:ext uri="{FF2B5EF4-FFF2-40B4-BE49-F238E27FC236}">
              <a16:creationId xmlns:a16="http://schemas.microsoft.com/office/drawing/2014/main" id="{8CE0D97E-F025-4EF5-8C91-3FC4F771903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4" name="Host Control  44" hidden="1">
          <a:extLst>
            <a:ext uri="{FF2B5EF4-FFF2-40B4-BE49-F238E27FC236}">
              <a16:creationId xmlns:a16="http://schemas.microsoft.com/office/drawing/2014/main" id="{DB405FE3-79AB-4693-9E3A-7A2475DFC9D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5" name="Host Control  45" hidden="1">
          <a:extLst>
            <a:ext uri="{FF2B5EF4-FFF2-40B4-BE49-F238E27FC236}">
              <a16:creationId xmlns:a16="http://schemas.microsoft.com/office/drawing/2014/main" id="{36FC856E-338C-469A-803E-2036D06F7E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6" name="Host Control  46" hidden="1">
          <a:extLst>
            <a:ext uri="{FF2B5EF4-FFF2-40B4-BE49-F238E27FC236}">
              <a16:creationId xmlns:a16="http://schemas.microsoft.com/office/drawing/2014/main" id="{F0FB06E5-9D46-41E4-8234-580847317FF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7" name="Host Control  47" hidden="1">
          <a:extLst>
            <a:ext uri="{FF2B5EF4-FFF2-40B4-BE49-F238E27FC236}">
              <a16:creationId xmlns:a16="http://schemas.microsoft.com/office/drawing/2014/main" id="{1D2AFEB0-D2DC-4488-A845-E489DB7D99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8" name="Host Control  48" hidden="1">
          <a:extLst>
            <a:ext uri="{FF2B5EF4-FFF2-40B4-BE49-F238E27FC236}">
              <a16:creationId xmlns:a16="http://schemas.microsoft.com/office/drawing/2014/main" id="{8524C8BC-0054-4FDA-BAD9-24C1BBA916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9" name="Host Control  49" hidden="1">
          <a:extLst>
            <a:ext uri="{FF2B5EF4-FFF2-40B4-BE49-F238E27FC236}">
              <a16:creationId xmlns:a16="http://schemas.microsoft.com/office/drawing/2014/main" id="{7DEB3F27-8C3F-47C5-9DC7-C8554EC69B9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0" name="Host Control  50" hidden="1">
          <a:extLst>
            <a:ext uri="{FF2B5EF4-FFF2-40B4-BE49-F238E27FC236}">
              <a16:creationId xmlns:a16="http://schemas.microsoft.com/office/drawing/2014/main" id="{8CF2B00B-F206-4678-9CEC-72EA755360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1" name="Host Control  51" hidden="1">
          <a:extLst>
            <a:ext uri="{FF2B5EF4-FFF2-40B4-BE49-F238E27FC236}">
              <a16:creationId xmlns:a16="http://schemas.microsoft.com/office/drawing/2014/main" id="{1E1DC8E4-CED6-4FB5-928C-E3B59E1F41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2" name="Host Control  52" hidden="1">
          <a:extLst>
            <a:ext uri="{FF2B5EF4-FFF2-40B4-BE49-F238E27FC236}">
              <a16:creationId xmlns:a16="http://schemas.microsoft.com/office/drawing/2014/main" id="{DFC97FA9-0E27-46EE-8826-3E33020557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3" name="Host Control  53" hidden="1">
          <a:extLst>
            <a:ext uri="{FF2B5EF4-FFF2-40B4-BE49-F238E27FC236}">
              <a16:creationId xmlns:a16="http://schemas.microsoft.com/office/drawing/2014/main" id="{8DE68BF8-6A2C-406F-8FF6-1EFD7238D6E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4" name="Host Control  54" hidden="1">
          <a:extLst>
            <a:ext uri="{FF2B5EF4-FFF2-40B4-BE49-F238E27FC236}">
              <a16:creationId xmlns:a16="http://schemas.microsoft.com/office/drawing/2014/main" id="{96764576-D879-4F7B-B109-29D89C2817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5" name="Host Control  55" hidden="1">
          <a:extLst>
            <a:ext uri="{FF2B5EF4-FFF2-40B4-BE49-F238E27FC236}">
              <a16:creationId xmlns:a16="http://schemas.microsoft.com/office/drawing/2014/main" id="{F4BFEA65-E0D9-4427-A363-CA93A60DA32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6" name="Host Control  56" hidden="1">
          <a:extLst>
            <a:ext uri="{FF2B5EF4-FFF2-40B4-BE49-F238E27FC236}">
              <a16:creationId xmlns:a16="http://schemas.microsoft.com/office/drawing/2014/main" id="{70827E0E-E129-4039-A4A4-823AF453D2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7" name="Host Control  57" hidden="1">
          <a:extLst>
            <a:ext uri="{FF2B5EF4-FFF2-40B4-BE49-F238E27FC236}">
              <a16:creationId xmlns:a16="http://schemas.microsoft.com/office/drawing/2014/main" id="{6A23B1B2-1341-44BC-BE74-9E74075CE28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8" name="Host Control  58" hidden="1">
          <a:extLst>
            <a:ext uri="{FF2B5EF4-FFF2-40B4-BE49-F238E27FC236}">
              <a16:creationId xmlns:a16="http://schemas.microsoft.com/office/drawing/2014/main" id="{C72C13CD-D30F-4AD8-82F1-86B06CC2C32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9" name="Host Control  59" hidden="1">
          <a:extLst>
            <a:ext uri="{FF2B5EF4-FFF2-40B4-BE49-F238E27FC236}">
              <a16:creationId xmlns:a16="http://schemas.microsoft.com/office/drawing/2014/main" id="{462E83E2-B40D-4B2B-BA4D-38E2FBE3052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0" name="Host Control  60" hidden="1">
          <a:extLst>
            <a:ext uri="{FF2B5EF4-FFF2-40B4-BE49-F238E27FC236}">
              <a16:creationId xmlns:a16="http://schemas.microsoft.com/office/drawing/2014/main" id="{074F355C-5971-4ACD-B632-56E9AE0BCD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1" name="Host Control  61" hidden="1">
          <a:extLst>
            <a:ext uri="{FF2B5EF4-FFF2-40B4-BE49-F238E27FC236}">
              <a16:creationId xmlns:a16="http://schemas.microsoft.com/office/drawing/2014/main" id="{8D11BEB0-6C02-4CC1-9119-46386138C5A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2" name="Host Control  65" hidden="1">
          <a:extLst>
            <a:ext uri="{FF2B5EF4-FFF2-40B4-BE49-F238E27FC236}">
              <a16:creationId xmlns:a16="http://schemas.microsoft.com/office/drawing/2014/main" id="{05882469-4C0E-426E-A6A9-CD4FD0C64B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3" name="Host Control  66" hidden="1">
          <a:extLst>
            <a:ext uri="{FF2B5EF4-FFF2-40B4-BE49-F238E27FC236}">
              <a16:creationId xmlns:a16="http://schemas.microsoft.com/office/drawing/2014/main" id="{792D7519-BA53-482D-AFDF-9249BEB0595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4" name="Host Control  67" hidden="1">
          <a:extLst>
            <a:ext uri="{FF2B5EF4-FFF2-40B4-BE49-F238E27FC236}">
              <a16:creationId xmlns:a16="http://schemas.microsoft.com/office/drawing/2014/main" id="{876DFDFD-4C58-48B0-86A2-55D874A1C9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5" name="Host Control  68" hidden="1">
          <a:extLst>
            <a:ext uri="{FF2B5EF4-FFF2-40B4-BE49-F238E27FC236}">
              <a16:creationId xmlns:a16="http://schemas.microsoft.com/office/drawing/2014/main" id="{F64360DB-B59E-4B5A-A4C0-AA6B08E33CF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6" name="Host Control  69" hidden="1">
          <a:extLst>
            <a:ext uri="{FF2B5EF4-FFF2-40B4-BE49-F238E27FC236}">
              <a16:creationId xmlns:a16="http://schemas.microsoft.com/office/drawing/2014/main" id="{5C8CADB7-8528-48C1-9D31-2BCAFE6FAB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7" name="Host Control  70" hidden="1">
          <a:extLst>
            <a:ext uri="{FF2B5EF4-FFF2-40B4-BE49-F238E27FC236}">
              <a16:creationId xmlns:a16="http://schemas.microsoft.com/office/drawing/2014/main" id="{A5B0A3C5-2515-4CFC-B151-63C120FD70F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8" name="Host Control  71" hidden="1">
          <a:extLst>
            <a:ext uri="{FF2B5EF4-FFF2-40B4-BE49-F238E27FC236}">
              <a16:creationId xmlns:a16="http://schemas.microsoft.com/office/drawing/2014/main" id="{D6CCEB8B-4F2B-45C7-AD6E-6017D44BF04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9" name="Host Control  72" hidden="1">
          <a:extLst>
            <a:ext uri="{FF2B5EF4-FFF2-40B4-BE49-F238E27FC236}">
              <a16:creationId xmlns:a16="http://schemas.microsoft.com/office/drawing/2014/main" id="{D521954D-4A8B-494A-BFA6-B5E7CB076A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0" name="Host Control  73" hidden="1">
          <a:extLst>
            <a:ext uri="{FF2B5EF4-FFF2-40B4-BE49-F238E27FC236}">
              <a16:creationId xmlns:a16="http://schemas.microsoft.com/office/drawing/2014/main" id="{EDFDA4E1-DD17-4BD7-80C2-1ACBBFB1F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1" name="Host Control  74" hidden="1">
          <a:extLst>
            <a:ext uri="{FF2B5EF4-FFF2-40B4-BE49-F238E27FC236}">
              <a16:creationId xmlns:a16="http://schemas.microsoft.com/office/drawing/2014/main" id="{712C53FC-078E-40BF-8427-0601518533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2" name="Host Control  75" hidden="1">
          <a:extLst>
            <a:ext uri="{FF2B5EF4-FFF2-40B4-BE49-F238E27FC236}">
              <a16:creationId xmlns:a16="http://schemas.microsoft.com/office/drawing/2014/main" id="{E7D374F6-14B2-4780-B894-94025A41AF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3" name="Host Control  76" hidden="1">
          <a:extLst>
            <a:ext uri="{FF2B5EF4-FFF2-40B4-BE49-F238E27FC236}">
              <a16:creationId xmlns:a16="http://schemas.microsoft.com/office/drawing/2014/main" id="{AF530EBD-A65C-42FB-B729-C641F45EDA6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4" name="Host Control  77" hidden="1">
          <a:extLst>
            <a:ext uri="{FF2B5EF4-FFF2-40B4-BE49-F238E27FC236}">
              <a16:creationId xmlns:a16="http://schemas.microsoft.com/office/drawing/2014/main" id="{DD1FCFCC-0889-491C-8FD6-84A1D1324B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5" name="Host Control  78" hidden="1">
          <a:extLst>
            <a:ext uri="{FF2B5EF4-FFF2-40B4-BE49-F238E27FC236}">
              <a16:creationId xmlns:a16="http://schemas.microsoft.com/office/drawing/2014/main" id="{6EE70ED7-9466-4CBE-BE9F-7E7C3DC40C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6" name="Host Control  79" hidden="1">
          <a:extLst>
            <a:ext uri="{FF2B5EF4-FFF2-40B4-BE49-F238E27FC236}">
              <a16:creationId xmlns:a16="http://schemas.microsoft.com/office/drawing/2014/main" id="{FD7EE07F-38FE-4652-95EE-AD0DD103047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7" name="Host Control  80" hidden="1">
          <a:extLst>
            <a:ext uri="{FF2B5EF4-FFF2-40B4-BE49-F238E27FC236}">
              <a16:creationId xmlns:a16="http://schemas.microsoft.com/office/drawing/2014/main" id="{234A7996-3559-48DA-959C-3EB07D9F8B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8" name="Host Control  81" hidden="1">
          <a:extLst>
            <a:ext uri="{FF2B5EF4-FFF2-40B4-BE49-F238E27FC236}">
              <a16:creationId xmlns:a16="http://schemas.microsoft.com/office/drawing/2014/main" id="{EE1E7DF5-938F-4A7F-ABEC-1C880CB8F9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9" name="Host Control  82" hidden="1">
          <a:extLst>
            <a:ext uri="{FF2B5EF4-FFF2-40B4-BE49-F238E27FC236}">
              <a16:creationId xmlns:a16="http://schemas.microsoft.com/office/drawing/2014/main" id="{C8103F7F-3330-4A7F-8700-A9442E744D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0" name="Host Control  83" hidden="1">
          <a:extLst>
            <a:ext uri="{FF2B5EF4-FFF2-40B4-BE49-F238E27FC236}">
              <a16:creationId xmlns:a16="http://schemas.microsoft.com/office/drawing/2014/main" id="{B0D8C8C7-4576-4390-A432-32E4A3A2AC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1" name="Host Control  84" hidden="1">
          <a:extLst>
            <a:ext uri="{FF2B5EF4-FFF2-40B4-BE49-F238E27FC236}">
              <a16:creationId xmlns:a16="http://schemas.microsoft.com/office/drawing/2014/main" id="{B18F17F4-F9F6-442D-9B20-A918DB910F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2" name="Host Control  85" hidden="1">
          <a:extLst>
            <a:ext uri="{FF2B5EF4-FFF2-40B4-BE49-F238E27FC236}">
              <a16:creationId xmlns:a16="http://schemas.microsoft.com/office/drawing/2014/main" id="{5483F748-4F9F-4D81-99DB-69BE06EF3B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3" name="Host Control  86" hidden="1">
          <a:extLst>
            <a:ext uri="{FF2B5EF4-FFF2-40B4-BE49-F238E27FC236}">
              <a16:creationId xmlns:a16="http://schemas.microsoft.com/office/drawing/2014/main" id="{8EC81061-6252-454D-B54A-ADB8011C8F0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4" name="Host Control  87" hidden="1">
          <a:extLst>
            <a:ext uri="{FF2B5EF4-FFF2-40B4-BE49-F238E27FC236}">
              <a16:creationId xmlns:a16="http://schemas.microsoft.com/office/drawing/2014/main" id="{0EBF7AA6-6ABD-4E04-965F-A2BCF2AD016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5" name="Host Control  88" hidden="1">
          <a:extLst>
            <a:ext uri="{FF2B5EF4-FFF2-40B4-BE49-F238E27FC236}">
              <a16:creationId xmlns:a16="http://schemas.microsoft.com/office/drawing/2014/main" id="{808AF7CB-F1E4-49A9-9D78-A8E296C6F3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6" name="Host Control  89" hidden="1">
          <a:extLst>
            <a:ext uri="{FF2B5EF4-FFF2-40B4-BE49-F238E27FC236}">
              <a16:creationId xmlns:a16="http://schemas.microsoft.com/office/drawing/2014/main" id="{B2C7E03F-61E2-4A44-A4F8-2061D311962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7" name="Host Control  90" hidden="1">
          <a:extLst>
            <a:ext uri="{FF2B5EF4-FFF2-40B4-BE49-F238E27FC236}">
              <a16:creationId xmlns:a16="http://schemas.microsoft.com/office/drawing/2014/main" id="{2F57FD10-E9D8-4C99-9841-0E1EC2DC35A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8" name="Host Control  91" hidden="1">
          <a:extLst>
            <a:ext uri="{FF2B5EF4-FFF2-40B4-BE49-F238E27FC236}">
              <a16:creationId xmlns:a16="http://schemas.microsoft.com/office/drawing/2014/main" id="{7DC00F8F-A470-4751-9F7A-7519DD51FCA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9" name="Host Control  92" hidden="1">
          <a:extLst>
            <a:ext uri="{FF2B5EF4-FFF2-40B4-BE49-F238E27FC236}">
              <a16:creationId xmlns:a16="http://schemas.microsoft.com/office/drawing/2014/main" id="{C67A2A60-3586-4DD3-BDB7-139B12842B4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0" name="Host Control  93" hidden="1">
          <a:extLst>
            <a:ext uri="{FF2B5EF4-FFF2-40B4-BE49-F238E27FC236}">
              <a16:creationId xmlns:a16="http://schemas.microsoft.com/office/drawing/2014/main" id="{2BE3F6B2-1CB7-46B9-A303-D08EB3411A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1" name="Host Control  94" hidden="1">
          <a:extLst>
            <a:ext uri="{FF2B5EF4-FFF2-40B4-BE49-F238E27FC236}">
              <a16:creationId xmlns:a16="http://schemas.microsoft.com/office/drawing/2014/main" id="{8C4B0256-C3B4-4CCC-BF56-75AE8B0CE8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2" name="Host Control  98" hidden="1">
          <a:extLst>
            <a:ext uri="{FF2B5EF4-FFF2-40B4-BE49-F238E27FC236}">
              <a16:creationId xmlns:a16="http://schemas.microsoft.com/office/drawing/2014/main" id="{07B1E023-C29D-4949-B205-03011E5F2B1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3" name="Host Control  99" hidden="1">
          <a:extLst>
            <a:ext uri="{FF2B5EF4-FFF2-40B4-BE49-F238E27FC236}">
              <a16:creationId xmlns:a16="http://schemas.microsoft.com/office/drawing/2014/main" id="{8DDC9380-FA6B-4231-9BBD-18A781A3A1F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4" name="Host Control  100" hidden="1">
          <a:extLst>
            <a:ext uri="{FF2B5EF4-FFF2-40B4-BE49-F238E27FC236}">
              <a16:creationId xmlns:a16="http://schemas.microsoft.com/office/drawing/2014/main" id="{2AFD8EE8-E0B7-4B1E-86D1-5E53F406D8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5" name="Host Control  101" hidden="1">
          <a:extLst>
            <a:ext uri="{FF2B5EF4-FFF2-40B4-BE49-F238E27FC236}">
              <a16:creationId xmlns:a16="http://schemas.microsoft.com/office/drawing/2014/main" id="{E0BBAC7D-6442-44DC-BC5B-695DD43121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6" name="Host Control  102" hidden="1">
          <a:extLst>
            <a:ext uri="{FF2B5EF4-FFF2-40B4-BE49-F238E27FC236}">
              <a16:creationId xmlns:a16="http://schemas.microsoft.com/office/drawing/2014/main" id="{34AB9510-2B33-4F68-BBE2-12480535F0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7" name="Host Control  103" hidden="1">
          <a:extLst>
            <a:ext uri="{FF2B5EF4-FFF2-40B4-BE49-F238E27FC236}">
              <a16:creationId xmlns:a16="http://schemas.microsoft.com/office/drawing/2014/main" id="{CE330B5D-1099-4544-9ADD-7C98D2BAA2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8" name="Host Control  104" hidden="1">
          <a:extLst>
            <a:ext uri="{FF2B5EF4-FFF2-40B4-BE49-F238E27FC236}">
              <a16:creationId xmlns:a16="http://schemas.microsoft.com/office/drawing/2014/main" id="{F76EC329-658B-4829-B1D5-1CFBA5D5D60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9" name="Host Control  105" hidden="1">
          <a:extLst>
            <a:ext uri="{FF2B5EF4-FFF2-40B4-BE49-F238E27FC236}">
              <a16:creationId xmlns:a16="http://schemas.microsoft.com/office/drawing/2014/main" id="{749C2D2C-B4E3-4744-A289-982CD30AA2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0" name="Host Control  106" hidden="1">
          <a:extLst>
            <a:ext uri="{FF2B5EF4-FFF2-40B4-BE49-F238E27FC236}">
              <a16:creationId xmlns:a16="http://schemas.microsoft.com/office/drawing/2014/main" id="{D3E8D516-3CD8-432C-AF58-77A5C961D4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1" name="Host Control  107" hidden="1">
          <a:extLst>
            <a:ext uri="{FF2B5EF4-FFF2-40B4-BE49-F238E27FC236}">
              <a16:creationId xmlns:a16="http://schemas.microsoft.com/office/drawing/2014/main" id="{B50741C3-CF06-484F-9615-2B281DC9B15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2" name="Host Control  108" hidden="1">
          <a:extLst>
            <a:ext uri="{FF2B5EF4-FFF2-40B4-BE49-F238E27FC236}">
              <a16:creationId xmlns:a16="http://schemas.microsoft.com/office/drawing/2014/main" id="{A0624360-A670-4607-834A-F8307C681B4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3" name="Host Control  109" hidden="1">
          <a:extLst>
            <a:ext uri="{FF2B5EF4-FFF2-40B4-BE49-F238E27FC236}">
              <a16:creationId xmlns:a16="http://schemas.microsoft.com/office/drawing/2014/main" id="{023B4344-BEEF-46CC-A4FF-FCCCD3C628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4" name="Host Control  110" hidden="1">
          <a:extLst>
            <a:ext uri="{FF2B5EF4-FFF2-40B4-BE49-F238E27FC236}">
              <a16:creationId xmlns:a16="http://schemas.microsoft.com/office/drawing/2014/main" id="{7545D703-55B0-4001-AB0D-F42AE82A33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5" name="Host Control  111" hidden="1">
          <a:extLst>
            <a:ext uri="{FF2B5EF4-FFF2-40B4-BE49-F238E27FC236}">
              <a16:creationId xmlns:a16="http://schemas.microsoft.com/office/drawing/2014/main" id="{86DA87DF-E130-47F7-8520-12FE9A6358E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6" name="Host Control  112" hidden="1">
          <a:extLst>
            <a:ext uri="{FF2B5EF4-FFF2-40B4-BE49-F238E27FC236}">
              <a16:creationId xmlns:a16="http://schemas.microsoft.com/office/drawing/2014/main" id="{23DED6BB-9EC3-4912-A9CD-B949C4F33C8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7" name="Host Control  113" hidden="1">
          <a:extLst>
            <a:ext uri="{FF2B5EF4-FFF2-40B4-BE49-F238E27FC236}">
              <a16:creationId xmlns:a16="http://schemas.microsoft.com/office/drawing/2014/main" id="{9A79F82B-A6A7-47FE-8430-7CD367BB077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8" name="Host Control  114" hidden="1">
          <a:extLst>
            <a:ext uri="{FF2B5EF4-FFF2-40B4-BE49-F238E27FC236}">
              <a16:creationId xmlns:a16="http://schemas.microsoft.com/office/drawing/2014/main" id="{59AE946D-9731-469D-BB75-70EC580FF4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9" name="Host Control  115" hidden="1">
          <a:extLst>
            <a:ext uri="{FF2B5EF4-FFF2-40B4-BE49-F238E27FC236}">
              <a16:creationId xmlns:a16="http://schemas.microsoft.com/office/drawing/2014/main" id="{BB903865-3BAF-45C7-89DF-DCF02B1945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0" name="Host Control  116" hidden="1">
          <a:extLst>
            <a:ext uri="{FF2B5EF4-FFF2-40B4-BE49-F238E27FC236}">
              <a16:creationId xmlns:a16="http://schemas.microsoft.com/office/drawing/2014/main" id="{339613A8-4E70-4BB6-9EDF-2FC10D64B4B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1" name="Host Control  117" hidden="1">
          <a:extLst>
            <a:ext uri="{FF2B5EF4-FFF2-40B4-BE49-F238E27FC236}">
              <a16:creationId xmlns:a16="http://schemas.microsoft.com/office/drawing/2014/main" id="{5BEA9F4C-83F2-457E-B92B-5EFAA67B741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2" name="Host Control  118" hidden="1">
          <a:extLst>
            <a:ext uri="{FF2B5EF4-FFF2-40B4-BE49-F238E27FC236}">
              <a16:creationId xmlns:a16="http://schemas.microsoft.com/office/drawing/2014/main" id="{020E1A1F-A6D2-4836-AF95-7E750F03C76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3" name="Host Control  119" hidden="1">
          <a:extLst>
            <a:ext uri="{FF2B5EF4-FFF2-40B4-BE49-F238E27FC236}">
              <a16:creationId xmlns:a16="http://schemas.microsoft.com/office/drawing/2014/main" id="{95691D6F-91A7-4688-81B1-FAF70D4A91E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4" name="Host Control  120" hidden="1">
          <a:extLst>
            <a:ext uri="{FF2B5EF4-FFF2-40B4-BE49-F238E27FC236}">
              <a16:creationId xmlns:a16="http://schemas.microsoft.com/office/drawing/2014/main" id="{6FADA4CC-4A85-4A96-BD6F-009ED59C3C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5" name="Host Control  121" hidden="1">
          <a:extLst>
            <a:ext uri="{FF2B5EF4-FFF2-40B4-BE49-F238E27FC236}">
              <a16:creationId xmlns:a16="http://schemas.microsoft.com/office/drawing/2014/main" id="{FB856E1B-3256-43C9-9F9D-5D699915305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6" name="Host Control  122" hidden="1">
          <a:extLst>
            <a:ext uri="{FF2B5EF4-FFF2-40B4-BE49-F238E27FC236}">
              <a16:creationId xmlns:a16="http://schemas.microsoft.com/office/drawing/2014/main" id="{A7099AC4-537A-4F28-BA02-E17E617D7C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7" name="Host Control  123" hidden="1">
          <a:extLst>
            <a:ext uri="{FF2B5EF4-FFF2-40B4-BE49-F238E27FC236}">
              <a16:creationId xmlns:a16="http://schemas.microsoft.com/office/drawing/2014/main" id="{093E4074-D380-4301-A65B-2F72EBDDC7E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8" name="Host Control  124" hidden="1">
          <a:extLst>
            <a:ext uri="{FF2B5EF4-FFF2-40B4-BE49-F238E27FC236}">
              <a16:creationId xmlns:a16="http://schemas.microsoft.com/office/drawing/2014/main" id="{D34834F8-C2A6-4C40-AAD4-B13529199B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9" name="Host Control  125" hidden="1">
          <a:extLst>
            <a:ext uri="{FF2B5EF4-FFF2-40B4-BE49-F238E27FC236}">
              <a16:creationId xmlns:a16="http://schemas.microsoft.com/office/drawing/2014/main" id="{8D7D7261-DF5A-4A27-9952-2C3998F58DD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0" name="Host Control  126" hidden="1">
          <a:extLst>
            <a:ext uri="{FF2B5EF4-FFF2-40B4-BE49-F238E27FC236}">
              <a16:creationId xmlns:a16="http://schemas.microsoft.com/office/drawing/2014/main" id="{D9E7B8E3-3477-492C-B203-A10084C2E47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1" name="Host Control  127" hidden="1">
          <a:extLst>
            <a:ext uri="{FF2B5EF4-FFF2-40B4-BE49-F238E27FC236}">
              <a16:creationId xmlns:a16="http://schemas.microsoft.com/office/drawing/2014/main" id="{861C4D7F-6D4F-4C19-A20A-C17C05B6DE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2" name="Host Control  135" hidden="1">
          <a:extLst>
            <a:ext uri="{FF2B5EF4-FFF2-40B4-BE49-F238E27FC236}">
              <a16:creationId xmlns:a16="http://schemas.microsoft.com/office/drawing/2014/main" id="{CA7A24D4-807A-4F95-836E-DC7BAB2AA6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3" name="Host Control  136" hidden="1">
          <a:extLst>
            <a:ext uri="{FF2B5EF4-FFF2-40B4-BE49-F238E27FC236}">
              <a16:creationId xmlns:a16="http://schemas.microsoft.com/office/drawing/2014/main" id="{2D379B89-BA24-4511-8E61-B693FF923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4" name="Host Control  137" hidden="1">
          <a:extLst>
            <a:ext uri="{FF2B5EF4-FFF2-40B4-BE49-F238E27FC236}">
              <a16:creationId xmlns:a16="http://schemas.microsoft.com/office/drawing/2014/main" id="{73EA3DE5-A673-4BAA-8E5C-94917F8E8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5" name="Host Control  138" hidden="1">
          <a:extLst>
            <a:ext uri="{FF2B5EF4-FFF2-40B4-BE49-F238E27FC236}">
              <a16:creationId xmlns:a16="http://schemas.microsoft.com/office/drawing/2014/main" id="{2FAAE295-2624-4D50-82D0-023165FF078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6" name="Host Control  139" hidden="1">
          <a:extLst>
            <a:ext uri="{FF2B5EF4-FFF2-40B4-BE49-F238E27FC236}">
              <a16:creationId xmlns:a16="http://schemas.microsoft.com/office/drawing/2014/main" id="{3DB9DAFE-BE82-4C71-BC47-EB122A7581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7" name="Host Control  140" hidden="1">
          <a:extLst>
            <a:ext uri="{FF2B5EF4-FFF2-40B4-BE49-F238E27FC236}">
              <a16:creationId xmlns:a16="http://schemas.microsoft.com/office/drawing/2014/main" id="{64E93818-9784-454A-B53E-A80076E7FD2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8" name="Host Control  141" hidden="1">
          <a:extLst>
            <a:ext uri="{FF2B5EF4-FFF2-40B4-BE49-F238E27FC236}">
              <a16:creationId xmlns:a16="http://schemas.microsoft.com/office/drawing/2014/main" id="{A01DCED3-9B15-4479-8DA8-E065E399DB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9" name="Host Control  142" hidden="1">
          <a:extLst>
            <a:ext uri="{FF2B5EF4-FFF2-40B4-BE49-F238E27FC236}">
              <a16:creationId xmlns:a16="http://schemas.microsoft.com/office/drawing/2014/main" id="{C059FA11-3B82-4AE9-8815-271F5E0229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0" name="Host Control  143" hidden="1">
          <a:extLst>
            <a:ext uri="{FF2B5EF4-FFF2-40B4-BE49-F238E27FC236}">
              <a16:creationId xmlns:a16="http://schemas.microsoft.com/office/drawing/2014/main" id="{E38632D5-DDA4-4383-A1EA-DF11FEF09C4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1" name="Host Control  144" hidden="1">
          <a:extLst>
            <a:ext uri="{FF2B5EF4-FFF2-40B4-BE49-F238E27FC236}">
              <a16:creationId xmlns:a16="http://schemas.microsoft.com/office/drawing/2014/main" id="{49624F5A-1F8C-4C9B-AB32-524F7119EB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2" name="Host Control  145" hidden="1">
          <a:extLst>
            <a:ext uri="{FF2B5EF4-FFF2-40B4-BE49-F238E27FC236}">
              <a16:creationId xmlns:a16="http://schemas.microsoft.com/office/drawing/2014/main" id="{7D518729-AB1A-4276-AC0F-45E1E3A585C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3" name="Host Control  146" hidden="1">
          <a:extLst>
            <a:ext uri="{FF2B5EF4-FFF2-40B4-BE49-F238E27FC236}">
              <a16:creationId xmlns:a16="http://schemas.microsoft.com/office/drawing/2014/main" id="{95748570-A244-4169-9413-33DD8D6F8DA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4" name="Host Control  147" hidden="1">
          <a:extLst>
            <a:ext uri="{FF2B5EF4-FFF2-40B4-BE49-F238E27FC236}">
              <a16:creationId xmlns:a16="http://schemas.microsoft.com/office/drawing/2014/main" id="{160D4ADE-46D1-4F8B-A139-B3233A35AD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5" name="Host Control  148" hidden="1">
          <a:extLst>
            <a:ext uri="{FF2B5EF4-FFF2-40B4-BE49-F238E27FC236}">
              <a16:creationId xmlns:a16="http://schemas.microsoft.com/office/drawing/2014/main" id="{6F37D05B-7238-4BDD-A5F7-3DB5FBC008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6" name="Host Control  149" hidden="1">
          <a:extLst>
            <a:ext uri="{FF2B5EF4-FFF2-40B4-BE49-F238E27FC236}">
              <a16:creationId xmlns:a16="http://schemas.microsoft.com/office/drawing/2014/main" id="{BFA74DFB-F75F-4395-A286-370E6924044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7" name="Host Control  150" hidden="1">
          <a:extLst>
            <a:ext uri="{FF2B5EF4-FFF2-40B4-BE49-F238E27FC236}">
              <a16:creationId xmlns:a16="http://schemas.microsoft.com/office/drawing/2014/main" id="{8B22B37C-D540-4C2D-945A-B028E2FDE6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8" name="Host Control  151" hidden="1">
          <a:extLst>
            <a:ext uri="{FF2B5EF4-FFF2-40B4-BE49-F238E27FC236}">
              <a16:creationId xmlns:a16="http://schemas.microsoft.com/office/drawing/2014/main" id="{7E21E9ED-657B-4AB6-B981-A89B32AFAD3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9" name="Host Control  152" hidden="1">
          <a:extLst>
            <a:ext uri="{FF2B5EF4-FFF2-40B4-BE49-F238E27FC236}">
              <a16:creationId xmlns:a16="http://schemas.microsoft.com/office/drawing/2014/main" id="{CE97987C-CF74-45E3-A500-08F688B39E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0" name="Host Control  153" hidden="1">
          <a:extLst>
            <a:ext uri="{FF2B5EF4-FFF2-40B4-BE49-F238E27FC236}">
              <a16:creationId xmlns:a16="http://schemas.microsoft.com/office/drawing/2014/main" id="{18F9D553-74B4-4E8E-80D1-3732D9DA43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1" name="Host Control  154" hidden="1">
          <a:extLst>
            <a:ext uri="{FF2B5EF4-FFF2-40B4-BE49-F238E27FC236}">
              <a16:creationId xmlns:a16="http://schemas.microsoft.com/office/drawing/2014/main" id="{99FB9B11-8F37-4775-8FA3-8A415AF10B1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2" name="Host Control  155" hidden="1">
          <a:extLst>
            <a:ext uri="{FF2B5EF4-FFF2-40B4-BE49-F238E27FC236}">
              <a16:creationId xmlns:a16="http://schemas.microsoft.com/office/drawing/2014/main" id="{EE4F1D50-3A55-455B-9731-3A4876D0388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3" name="Host Control  156" hidden="1">
          <a:extLst>
            <a:ext uri="{FF2B5EF4-FFF2-40B4-BE49-F238E27FC236}">
              <a16:creationId xmlns:a16="http://schemas.microsoft.com/office/drawing/2014/main" id="{C64BB82F-A5F8-4488-ABF4-6F4083F677A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4" name="Host Control  157" hidden="1">
          <a:extLst>
            <a:ext uri="{FF2B5EF4-FFF2-40B4-BE49-F238E27FC236}">
              <a16:creationId xmlns:a16="http://schemas.microsoft.com/office/drawing/2014/main" id="{1DA88D93-D8C3-409A-A7ED-DDE9C13724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5" name="Host Control  158" hidden="1">
          <a:extLst>
            <a:ext uri="{FF2B5EF4-FFF2-40B4-BE49-F238E27FC236}">
              <a16:creationId xmlns:a16="http://schemas.microsoft.com/office/drawing/2014/main" id="{917991F3-87BC-492B-8BAA-575F804DE37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6" name="Host Control  159" hidden="1">
          <a:extLst>
            <a:ext uri="{FF2B5EF4-FFF2-40B4-BE49-F238E27FC236}">
              <a16:creationId xmlns:a16="http://schemas.microsoft.com/office/drawing/2014/main" id="{7273742F-0296-4576-9952-E94C48AF34D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7" name="Host Control  160" hidden="1">
          <a:extLst>
            <a:ext uri="{FF2B5EF4-FFF2-40B4-BE49-F238E27FC236}">
              <a16:creationId xmlns:a16="http://schemas.microsoft.com/office/drawing/2014/main" id="{CFBBB49F-309C-4B3E-A99A-265F9373696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8" name="Host Control  161" hidden="1">
          <a:extLst>
            <a:ext uri="{FF2B5EF4-FFF2-40B4-BE49-F238E27FC236}">
              <a16:creationId xmlns:a16="http://schemas.microsoft.com/office/drawing/2014/main" id="{5A57B035-BEF9-4E2A-AA9C-A0234020714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9" name="Host Control  162" hidden="1">
          <a:extLst>
            <a:ext uri="{FF2B5EF4-FFF2-40B4-BE49-F238E27FC236}">
              <a16:creationId xmlns:a16="http://schemas.microsoft.com/office/drawing/2014/main" id="{607AAD96-FD50-4417-A55B-6F1D7833CA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0" name="Host Control  163" hidden="1">
          <a:extLst>
            <a:ext uri="{FF2B5EF4-FFF2-40B4-BE49-F238E27FC236}">
              <a16:creationId xmlns:a16="http://schemas.microsoft.com/office/drawing/2014/main" id="{B9197F1D-9BC6-4DA8-BFF1-979AD534C8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1" name="Host Control  164" hidden="1">
          <a:extLst>
            <a:ext uri="{FF2B5EF4-FFF2-40B4-BE49-F238E27FC236}">
              <a16:creationId xmlns:a16="http://schemas.microsoft.com/office/drawing/2014/main" id="{F96B62E5-FE1D-4169-85F5-1709F6756C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2" name="Host Control  168" hidden="1">
          <a:extLst>
            <a:ext uri="{FF2B5EF4-FFF2-40B4-BE49-F238E27FC236}">
              <a16:creationId xmlns:a16="http://schemas.microsoft.com/office/drawing/2014/main" id="{C61A6589-B233-4B23-8B64-D2A26E25131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3" name="Host Control  169" hidden="1">
          <a:extLst>
            <a:ext uri="{FF2B5EF4-FFF2-40B4-BE49-F238E27FC236}">
              <a16:creationId xmlns:a16="http://schemas.microsoft.com/office/drawing/2014/main" id="{02F2DEDC-BFEB-4C20-B0E9-0AAC2D8B167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4" name="Host Control  170" hidden="1">
          <a:extLst>
            <a:ext uri="{FF2B5EF4-FFF2-40B4-BE49-F238E27FC236}">
              <a16:creationId xmlns:a16="http://schemas.microsoft.com/office/drawing/2014/main" id="{F49AF906-6484-4004-B58E-821662AD40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5" name="Host Control  171" hidden="1">
          <a:extLst>
            <a:ext uri="{FF2B5EF4-FFF2-40B4-BE49-F238E27FC236}">
              <a16:creationId xmlns:a16="http://schemas.microsoft.com/office/drawing/2014/main" id="{92ECC0E1-5D65-4071-927B-5EDC51B042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6" name="Host Control  172" hidden="1">
          <a:extLst>
            <a:ext uri="{FF2B5EF4-FFF2-40B4-BE49-F238E27FC236}">
              <a16:creationId xmlns:a16="http://schemas.microsoft.com/office/drawing/2014/main" id="{2DF75EE7-7C3C-4968-950C-8B60338320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7" name="Host Control  173" hidden="1">
          <a:extLst>
            <a:ext uri="{FF2B5EF4-FFF2-40B4-BE49-F238E27FC236}">
              <a16:creationId xmlns:a16="http://schemas.microsoft.com/office/drawing/2014/main" id="{502583B7-66ED-41F9-888E-DF17520F85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8" name="Host Control  174" hidden="1">
          <a:extLst>
            <a:ext uri="{FF2B5EF4-FFF2-40B4-BE49-F238E27FC236}">
              <a16:creationId xmlns:a16="http://schemas.microsoft.com/office/drawing/2014/main" id="{6A6A7B35-F22E-44A2-8D41-9ACA25DE4C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9" name="Host Control  175" hidden="1">
          <a:extLst>
            <a:ext uri="{FF2B5EF4-FFF2-40B4-BE49-F238E27FC236}">
              <a16:creationId xmlns:a16="http://schemas.microsoft.com/office/drawing/2014/main" id="{8796C431-67D9-47EA-B649-AE85E87ED7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0" name="Host Control  176" hidden="1">
          <a:extLst>
            <a:ext uri="{FF2B5EF4-FFF2-40B4-BE49-F238E27FC236}">
              <a16:creationId xmlns:a16="http://schemas.microsoft.com/office/drawing/2014/main" id="{99380060-5C0A-4467-BF12-53FE7B133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1" name="Host Control  177" hidden="1">
          <a:extLst>
            <a:ext uri="{FF2B5EF4-FFF2-40B4-BE49-F238E27FC236}">
              <a16:creationId xmlns:a16="http://schemas.microsoft.com/office/drawing/2014/main" id="{589A69DF-37B0-4FBD-A798-7DC59C15EA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2" name="Host Control  178" hidden="1">
          <a:extLst>
            <a:ext uri="{FF2B5EF4-FFF2-40B4-BE49-F238E27FC236}">
              <a16:creationId xmlns:a16="http://schemas.microsoft.com/office/drawing/2014/main" id="{8000DE23-BEE2-4D37-A687-12C2E0007A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3" name="Host Control  179" hidden="1">
          <a:extLst>
            <a:ext uri="{FF2B5EF4-FFF2-40B4-BE49-F238E27FC236}">
              <a16:creationId xmlns:a16="http://schemas.microsoft.com/office/drawing/2014/main" id="{523548F7-E092-4428-9D51-E388F65243A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4" name="Host Control  180" hidden="1">
          <a:extLst>
            <a:ext uri="{FF2B5EF4-FFF2-40B4-BE49-F238E27FC236}">
              <a16:creationId xmlns:a16="http://schemas.microsoft.com/office/drawing/2014/main" id="{98C6578F-B80D-4489-8F25-F83D641078D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5" name="Host Control  181" hidden="1">
          <a:extLst>
            <a:ext uri="{FF2B5EF4-FFF2-40B4-BE49-F238E27FC236}">
              <a16:creationId xmlns:a16="http://schemas.microsoft.com/office/drawing/2014/main" id="{94AFCBD2-2210-4CB6-AA01-62D07367F9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6" name="Host Control  182" hidden="1">
          <a:extLst>
            <a:ext uri="{FF2B5EF4-FFF2-40B4-BE49-F238E27FC236}">
              <a16:creationId xmlns:a16="http://schemas.microsoft.com/office/drawing/2014/main" id="{3BB94917-ED50-4FB9-91E3-7FBEA450880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7" name="Host Control  183" hidden="1">
          <a:extLst>
            <a:ext uri="{FF2B5EF4-FFF2-40B4-BE49-F238E27FC236}">
              <a16:creationId xmlns:a16="http://schemas.microsoft.com/office/drawing/2014/main" id="{2C3AC997-F0E6-409E-8836-B1AB3D4D04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8" name="Host Control  184" hidden="1">
          <a:extLst>
            <a:ext uri="{FF2B5EF4-FFF2-40B4-BE49-F238E27FC236}">
              <a16:creationId xmlns:a16="http://schemas.microsoft.com/office/drawing/2014/main" id="{213D3008-03C2-476B-AE67-B76FC8A2BEB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9" name="Host Control  185" hidden="1">
          <a:extLst>
            <a:ext uri="{FF2B5EF4-FFF2-40B4-BE49-F238E27FC236}">
              <a16:creationId xmlns:a16="http://schemas.microsoft.com/office/drawing/2014/main" id="{1C7AE54A-0C02-4F6F-B0B4-3BD15267E3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0" name="Host Control  186" hidden="1">
          <a:extLst>
            <a:ext uri="{FF2B5EF4-FFF2-40B4-BE49-F238E27FC236}">
              <a16:creationId xmlns:a16="http://schemas.microsoft.com/office/drawing/2014/main" id="{74E375D7-0483-45E0-811D-19A8E9FE8E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1" name="Host Control  187" hidden="1">
          <a:extLst>
            <a:ext uri="{FF2B5EF4-FFF2-40B4-BE49-F238E27FC236}">
              <a16:creationId xmlns:a16="http://schemas.microsoft.com/office/drawing/2014/main" id="{A333ACD3-6983-4458-9AA2-CE9E29DE7B9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2" name="Host Control  188" hidden="1">
          <a:extLst>
            <a:ext uri="{FF2B5EF4-FFF2-40B4-BE49-F238E27FC236}">
              <a16:creationId xmlns:a16="http://schemas.microsoft.com/office/drawing/2014/main" id="{A7E0F50F-2B89-4A69-BEF4-F42C01FEA2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3" name="Host Control  189" hidden="1">
          <a:extLst>
            <a:ext uri="{FF2B5EF4-FFF2-40B4-BE49-F238E27FC236}">
              <a16:creationId xmlns:a16="http://schemas.microsoft.com/office/drawing/2014/main" id="{013B1016-1A9E-4217-AA65-F932D09F870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4" name="Host Control  190" hidden="1">
          <a:extLst>
            <a:ext uri="{FF2B5EF4-FFF2-40B4-BE49-F238E27FC236}">
              <a16:creationId xmlns:a16="http://schemas.microsoft.com/office/drawing/2014/main" id="{0DC3C637-77D4-4E0A-997B-36E6A3F1904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5" name="Host Control  191" hidden="1">
          <a:extLst>
            <a:ext uri="{FF2B5EF4-FFF2-40B4-BE49-F238E27FC236}">
              <a16:creationId xmlns:a16="http://schemas.microsoft.com/office/drawing/2014/main" id="{49E72981-3ED3-40F5-BB46-FAF4C83281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6" name="Host Control  192" hidden="1">
          <a:extLst>
            <a:ext uri="{FF2B5EF4-FFF2-40B4-BE49-F238E27FC236}">
              <a16:creationId xmlns:a16="http://schemas.microsoft.com/office/drawing/2014/main" id="{AE855184-75C8-495C-B104-640F9C403D1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7" name="Host Control  193" hidden="1">
          <a:extLst>
            <a:ext uri="{FF2B5EF4-FFF2-40B4-BE49-F238E27FC236}">
              <a16:creationId xmlns:a16="http://schemas.microsoft.com/office/drawing/2014/main" id="{D7422A5D-3CAD-40DE-8D76-90D23A0C07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8" name="Host Control  194" hidden="1">
          <a:extLst>
            <a:ext uri="{FF2B5EF4-FFF2-40B4-BE49-F238E27FC236}">
              <a16:creationId xmlns:a16="http://schemas.microsoft.com/office/drawing/2014/main" id="{36354922-D807-438D-99C8-E19F6DAE8CB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9" name="Host Control  195" hidden="1">
          <a:extLst>
            <a:ext uri="{FF2B5EF4-FFF2-40B4-BE49-F238E27FC236}">
              <a16:creationId xmlns:a16="http://schemas.microsoft.com/office/drawing/2014/main" id="{F90144AA-D73C-4406-B41A-3016018D3D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0" name="Host Control  196" hidden="1">
          <a:extLst>
            <a:ext uri="{FF2B5EF4-FFF2-40B4-BE49-F238E27FC236}">
              <a16:creationId xmlns:a16="http://schemas.microsoft.com/office/drawing/2014/main" id="{F38A99E6-E2E9-4D4A-9559-A6071A6A4E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1" name="Host Control  197" hidden="1">
          <a:extLst>
            <a:ext uri="{FF2B5EF4-FFF2-40B4-BE49-F238E27FC236}">
              <a16:creationId xmlns:a16="http://schemas.microsoft.com/office/drawing/2014/main" id="{705AD441-244B-4F1D-AE41-A9C39296197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2" name="Host Control  201" hidden="1">
          <a:extLst>
            <a:ext uri="{FF2B5EF4-FFF2-40B4-BE49-F238E27FC236}">
              <a16:creationId xmlns:a16="http://schemas.microsoft.com/office/drawing/2014/main" id="{72EE79AB-6BB5-48AF-8C06-75946A6C97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3" name="Host Control  202" hidden="1">
          <a:extLst>
            <a:ext uri="{FF2B5EF4-FFF2-40B4-BE49-F238E27FC236}">
              <a16:creationId xmlns:a16="http://schemas.microsoft.com/office/drawing/2014/main" id="{8361F17F-F321-42BD-BD11-91CA4A27AE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4" name="Host Control  203" hidden="1">
          <a:extLst>
            <a:ext uri="{FF2B5EF4-FFF2-40B4-BE49-F238E27FC236}">
              <a16:creationId xmlns:a16="http://schemas.microsoft.com/office/drawing/2014/main" id="{EBD394F4-522F-48F1-B81F-9599924A95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5" name="Host Control  204" hidden="1">
          <a:extLst>
            <a:ext uri="{FF2B5EF4-FFF2-40B4-BE49-F238E27FC236}">
              <a16:creationId xmlns:a16="http://schemas.microsoft.com/office/drawing/2014/main" id="{3E3B4534-CCE9-463C-95FD-EC061162A0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6" name="Host Control  205" hidden="1">
          <a:extLst>
            <a:ext uri="{FF2B5EF4-FFF2-40B4-BE49-F238E27FC236}">
              <a16:creationId xmlns:a16="http://schemas.microsoft.com/office/drawing/2014/main" id="{6969098E-41CC-4339-873C-E6735C2DA9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7" name="Host Control  206" hidden="1">
          <a:extLst>
            <a:ext uri="{FF2B5EF4-FFF2-40B4-BE49-F238E27FC236}">
              <a16:creationId xmlns:a16="http://schemas.microsoft.com/office/drawing/2014/main" id="{373A3CC8-2D3A-46F6-A388-806DBE5061C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8" name="Host Control  207" hidden="1">
          <a:extLst>
            <a:ext uri="{FF2B5EF4-FFF2-40B4-BE49-F238E27FC236}">
              <a16:creationId xmlns:a16="http://schemas.microsoft.com/office/drawing/2014/main" id="{98F47033-90E7-4DBE-8017-587BF1B13E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9" name="Host Control  208" hidden="1">
          <a:extLst>
            <a:ext uri="{FF2B5EF4-FFF2-40B4-BE49-F238E27FC236}">
              <a16:creationId xmlns:a16="http://schemas.microsoft.com/office/drawing/2014/main" id="{7F57A2D4-20A9-486A-BF39-EC264F7BB5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0" name="Host Control  209" hidden="1">
          <a:extLst>
            <a:ext uri="{FF2B5EF4-FFF2-40B4-BE49-F238E27FC236}">
              <a16:creationId xmlns:a16="http://schemas.microsoft.com/office/drawing/2014/main" id="{E825FE1F-443F-4352-89EA-75118E2EC4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1" name="Host Control  210" hidden="1">
          <a:extLst>
            <a:ext uri="{FF2B5EF4-FFF2-40B4-BE49-F238E27FC236}">
              <a16:creationId xmlns:a16="http://schemas.microsoft.com/office/drawing/2014/main" id="{EA15CF31-BBE4-4F7B-AA53-587394B86B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2" name="Host Control  211" hidden="1">
          <a:extLst>
            <a:ext uri="{FF2B5EF4-FFF2-40B4-BE49-F238E27FC236}">
              <a16:creationId xmlns:a16="http://schemas.microsoft.com/office/drawing/2014/main" id="{05E85537-34E3-4A93-ACD7-98F69E50A0D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3" name="Host Control  212" hidden="1">
          <a:extLst>
            <a:ext uri="{FF2B5EF4-FFF2-40B4-BE49-F238E27FC236}">
              <a16:creationId xmlns:a16="http://schemas.microsoft.com/office/drawing/2014/main" id="{29990295-660A-42D1-B567-A43EF7BC3B9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4" name="Host Control  213" hidden="1">
          <a:extLst>
            <a:ext uri="{FF2B5EF4-FFF2-40B4-BE49-F238E27FC236}">
              <a16:creationId xmlns:a16="http://schemas.microsoft.com/office/drawing/2014/main" id="{EE8728EC-CA24-4731-9FB4-CD4CED7DC84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5" name="Host Control  214" hidden="1">
          <a:extLst>
            <a:ext uri="{FF2B5EF4-FFF2-40B4-BE49-F238E27FC236}">
              <a16:creationId xmlns:a16="http://schemas.microsoft.com/office/drawing/2014/main" id="{E53B09B2-3DCF-489A-8C21-497B5322EB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6" name="Host Control  215" hidden="1">
          <a:extLst>
            <a:ext uri="{FF2B5EF4-FFF2-40B4-BE49-F238E27FC236}">
              <a16:creationId xmlns:a16="http://schemas.microsoft.com/office/drawing/2014/main" id="{1C10DCA3-63F4-4320-85DC-C962D32BF70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7" name="Host Control  216" hidden="1">
          <a:extLst>
            <a:ext uri="{FF2B5EF4-FFF2-40B4-BE49-F238E27FC236}">
              <a16:creationId xmlns:a16="http://schemas.microsoft.com/office/drawing/2014/main" id="{93D007A9-D228-4811-9DC7-34B8898CEF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8" name="Host Control  217" hidden="1">
          <a:extLst>
            <a:ext uri="{FF2B5EF4-FFF2-40B4-BE49-F238E27FC236}">
              <a16:creationId xmlns:a16="http://schemas.microsoft.com/office/drawing/2014/main" id="{D537C5A3-0BEA-4638-BED0-2BEE503655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9" name="Host Control  218" hidden="1">
          <a:extLst>
            <a:ext uri="{FF2B5EF4-FFF2-40B4-BE49-F238E27FC236}">
              <a16:creationId xmlns:a16="http://schemas.microsoft.com/office/drawing/2014/main" id="{A4E6DC9A-0843-422B-8152-5F9CDF41B6C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0" name="Host Control  219" hidden="1">
          <a:extLst>
            <a:ext uri="{FF2B5EF4-FFF2-40B4-BE49-F238E27FC236}">
              <a16:creationId xmlns:a16="http://schemas.microsoft.com/office/drawing/2014/main" id="{4E36F9A8-3B71-425B-9704-16823D60BC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1" name="Host Control  220" hidden="1">
          <a:extLst>
            <a:ext uri="{FF2B5EF4-FFF2-40B4-BE49-F238E27FC236}">
              <a16:creationId xmlns:a16="http://schemas.microsoft.com/office/drawing/2014/main" id="{CA311BEC-6CE9-44F4-91AB-899007B21AF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2" name="Host Control  221" hidden="1">
          <a:extLst>
            <a:ext uri="{FF2B5EF4-FFF2-40B4-BE49-F238E27FC236}">
              <a16:creationId xmlns:a16="http://schemas.microsoft.com/office/drawing/2014/main" id="{3C8E8CE2-2B07-4F1C-83ED-2D80B32349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3" name="Host Control  222" hidden="1">
          <a:extLst>
            <a:ext uri="{FF2B5EF4-FFF2-40B4-BE49-F238E27FC236}">
              <a16:creationId xmlns:a16="http://schemas.microsoft.com/office/drawing/2014/main" id="{1614F541-828A-477D-B65D-ACF9504523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4" name="Host Control  223" hidden="1">
          <a:extLst>
            <a:ext uri="{FF2B5EF4-FFF2-40B4-BE49-F238E27FC236}">
              <a16:creationId xmlns:a16="http://schemas.microsoft.com/office/drawing/2014/main" id="{C948D688-16D5-4383-A220-209F721DBC6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5" name="Host Control  224" hidden="1">
          <a:extLst>
            <a:ext uri="{FF2B5EF4-FFF2-40B4-BE49-F238E27FC236}">
              <a16:creationId xmlns:a16="http://schemas.microsoft.com/office/drawing/2014/main" id="{45EE1EFA-8D35-4CAB-99FA-BDD8C41656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6" name="Host Control  225" hidden="1">
          <a:extLst>
            <a:ext uri="{FF2B5EF4-FFF2-40B4-BE49-F238E27FC236}">
              <a16:creationId xmlns:a16="http://schemas.microsoft.com/office/drawing/2014/main" id="{E18405A9-23DE-4081-8F14-4A298B57F06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7" name="Host Control  226" hidden="1">
          <a:extLst>
            <a:ext uri="{FF2B5EF4-FFF2-40B4-BE49-F238E27FC236}">
              <a16:creationId xmlns:a16="http://schemas.microsoft.com/office/drawing/2014/main" id="{F9A8F554-553D-44DE-8398-3F37A7B6D1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8" name="Host Control  227" hidden="1">
          <a:extLst>
            <a:ext uri="{FF2B5EF4-FFF2-40B4-BE49-F238E27FC236}">
              <a16:creationId xmlns:a16="http://schemas.microsoft.com/office/drawing/2014/main" id="{D92EEFC6-43C3-4676-8B08-4CE0B19DB38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9" name="Host Control  228" hidden="1">
          <a:extLst>
            <a:ext uri="{FF2B5EF4-FFF2-40B4-BE49-F238E27FC236}">
              <a16:creationId xmlns:a16="http://schemas.microsoft.com/office/drawing/2014/main" id="{3AF8888B-25B8-4CC0-B83E-F34D3ADA51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0" name="Host Control  229" hidden="1">
          <a:extLst>
            <a:ext uri="{FF2B5EF4-FFF2-40B4-BE49-F238E27FC236}">
              <a16:creationId xmlns:a16="http://schemas.microsoft.com/office/drawing/2014/main" id="{519B415D-A57F-45EE-8F37-5F6675DC0FB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1" name="Host Control  230" hidden="1">
          <a:extLst>
            <a:ext uri="{FF2B5EF4-FFF2-40B4-BE49-F238E27FC236}">
              <a16:creationId xmlns:a16="http://schemas.microsoft.com/office/drawing/2014/main" id="{E361EA50-1BAA-4D53-AF70-9B4B7A5D4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2" name="Host Control  234" hidden="1">
          <a:extLst>
            <a:ext uri="{FF2B5EF4-FFF2-40B4-BE49-F238E27FC236}">
              <a16:creationId xmlns:a16="http://schemas.microsoft.com/office/drawing/2014/main" id="{5BACB15F-101D-4C1C-B8AE-6198C78427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3" name="Host Control  235" hidden="1">
          <a:extLst>
            <a:ext uri="{FF2B5EF4-FFF2-40B4-BE49-F238E27FC236}">
              <a16:creationId xmlns:a16="http://schemas.microsoft.com/office/drawing/2014/main" id="{8E1769F3-6CC9-49B7-B542-0DDD5C3FD9C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4" name="Host Control  236" hidden="1">
          <a:extLst>
            <a:ext uri="{FF2B5EF4-FFF2-40B4-BE49-F238E27FC236}">
              <a16:creationId xmlns:a16="http://schemas.microsoft.com/office/drawing/2014/main" id="{8B4C55E9-2FAD-4256-89A8-0A14A173F20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5" name="Host Control  237" hidden="1">
          <a:extLst>
            <a:ext uri="{FF2B5EF4-FFF2-40B4-BE49-F238E27FC236}">
              <a16:creationId xmlns:a16="http://schemas.microsoft.com/office/drawing/2014/main" id="{ABBA6DD9-6E5D-421C-BC72-680EEAAFA8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6" name="Host Control  238" hidden="1">
          <a:extLst>
            <a:ext uri="{FF2B5EF4-FFF2-40B4-BE49-F238E27FC236}">
              <a16:creationId xmlns:a16="http://schemas.microsoft.com/office/drawing/2014/main" id="{E877C0CF-CBF1-410D-B6C0-8780DCCAC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7" name="Host Control  239" hidden="1">
          <a:extLst>
            <a:ext uri="{FF2B5EF4-FFF2-40B4-BE49-F238E27FC236}">
              <a16:creationId xmlns:a16="http://schemas.microsoft.com/office/drawing/2014/main" id="{B7DAFC97-80E4-4952-A72A-E3BF5FC2D0B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8" name="Host Control  240" hidden="1">
          <a:extLst>
            <a:ext uri="{FF2B5EF4-FFF2-40B4-BE49-F238E27FC236}">
              <a16:creationId xmlns:a16="http://schemas.microsoft.com/office/drawing/2014/main" id="{437437C0-1471-42FD-BA66-18C4A32191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9" name="Host Control  241" hidden="1">
          <a:extLst>
            <a:ext uri="{FF2B5EF4-FFF2-40B4-BE49-F238E27FC236}">
              <a16:creationId xmlns:a16="http://schemas.microsoft.com/office/drawing/2014/main" id="{1BEA6638-B092-40AF-85FA-C2A4333E67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0" name="Host Control  242" hidden="1">
          <a:extLst>
            <a:ext uri="{FF2B5EF4-FFF2-40B4-BE49-F238E27FC236}">
              <a16:creationId xmlns:a16="http://schemas.microsoft.com/office/drawing/2014/main" id="{EC224FA6-D0BF-4F60-B9DC-72B65769EE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1" name="Host Control  243" hidden="1">
          <a:extLst>
            <a:ext uri="{FF2B5EF4-FFF2-40B4-BE49-F238E27FC236}">
              <a16:creationId xmlns:a16="http://schemas.microsoft.com/office/drawing/2014/main" id="{7F5A5CB9-3477-4F48-AAF0-6BA3C3E8A8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2" name="Host Control  244" hidden="1">
          <a:extLst>
            <a:ext uri="{FF2B5EF4-FFF2-40B4-BE49-F238E27FC236}">
              <a16:creationId xmlns:a16="http://schemas.microsoft.com/office/drawing/2014/main" id="{0AE375D1-BB52-4C28-AC9F-8C44AF77B0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3" name="Host Control  245" hidden="1">
          <a:extLst>
            <a:ext uri="{FF2B5EF4-FFF2-40B4-BE49-F238E27FC236}">
              <a16:creationId xmlns:a16="http://schemas.microsoft.com/office/drawing/2014/main" id="{23A06065-F97F-4C8E-94A9-6F15456E05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4" name="Host Control  246" hidden="1">
          <a:extLst>
            <a:ext uri="{FF2B5EF4-FFF2-40B4-BE49-F238E27FC236}">
              <a16:creationId xmlns:a16="http://schemas.microsoft.com/office/drawing/2014/main" id="{FD900FEB-C031-4A99-B761-6BFA0F5062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5" name="Host Control  247" hidden="1">
          <a:extLst>
            <a:ext uri="{FF2B5EF4-FFF2-40B4-BE49-F238E27FC236}">
              <a16:creationId xmlns:a16="http://schemas.microsoft.com/office/drawing/2014/main" id="{E7EF4028-4441-49BD-AFB7-FBE015FB9C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6" name="Host Control  248" hidden="1">
          <a:extLst>
            <a:ext uri="{FF2B5EF4-FFF2-40B4-BE49-F238E27FC236}">
              <a16:creationId xmlns:a16="http://schemas.microsoft.com/office/drawing/2014/main" id="{FE928587-5B5B-4030-BD44-515DAAF6C88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7" name="Host Control  249" hidden="1">
          <a:extLst>
            <a:ext uri="{FF2B5EF4-FFF2-40B4-BE49-F238E27FC236}">
              <a16:creationId xmlns:a16="http://schemas.microsoft.com/office/drawing/2014/main" id="{1FA6557A-C5BA-4708-A717-012E3933D4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8" name="Host Control  250" hidden="1">
          <a:extLst>
            <a:ext uri="{FF2B5EF4-FFF2-40B4-BE49-F238E27FC236}">
              <a16:creationId xmlns:a16="http://schemas.microsoft.com/office/drawing/2014/main" id="{823087BE-3AC4-470D-B1AB-81AE4BFEC2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9" name="Host Control  251" hidden="1">
          <a:extLst>
            <a:ext uri="{FF2B5EF4-FFF2-40B4-BE49-F238E27FC236}">
              <a16:creationId xmlns:a16="http://schemas.microsoft.com/office/drawing/2014/main" id="{0AED623F-2B45-470B-AB04-052AFF059A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0" name="Host Control  252" hidden="1">
          <a:extLst>
            <a:ext uri="{FF2B5EF4-FFF2-40B4-BE49-F238E27FC236}">
              <a16:creationId xmlns:a16="http://schemas.microsoft.com/office/drawing/2014/main" id="{A754E50E-2579-4C8E-ADA7-E061EC080F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1" name="Host Control  253" hidden="1">
          <a:extLst>
            <a:ext uri="{FF2B5EF4-FFF2-40B4-BE49-F238E27FC236}">
              <a16:creationId xmlns:a16="http://schemas.microsoft.com/office/drawing/2014/main" id="{6E599096-638F-41BD-89BB-C28638A6F9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2" name="Host Control  254" hidden="1">
          <a:extLst>
            <a:ext uri="{FF2B5EF4-FFF2-40B4-BE49-F238E27FC236}">
              <a16:creationId xmlns:a16="http://schemas.microsoft.com/office/drawing/2014/main" id="{90FB8E3F-4CA8-4902-8810-40865E855ED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3" name="Host Control  255" hidden="1">
          <a:extLst>
            <a:ext uri="{FF2B5EF4-FFF2-40B4-BE49-F238E27FC236}">
              <a16:creationId xmlns:a16="http://schemas.microsoft.com/office/drawing/2014/main" id="{42244CAF-6E59-45FE-B31E-CE61D075EE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4" name="Host Control  256" hidden="1">
          <a:extLst>
            <a:ext uri="{FF2B5EF4-FFF2-40B4-BE49-F238E27FC236}">
              <a16:creationId xmlns:a16="http://schemas.microsoft.com/office/drawing/2014/main" id="{EC0E048A-79F2-4E91-B603-8C0D020647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5" name="Host Control  257" hidden="1">
          <a:extLst>
            <a:ext uri="{FF2B5EF4-FFF2-40B4-BE49-F238E27FC236}">
              <a16:creationId xmlns:a16="http://schemas.microsoft.com/office/drawing/2014/main" id="{74C3465A-FAFC-4FFD-B77F-79DB1B4890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6" name="Host Control  258" hidden="1">
          <a:extLst>
            <a:ext uri="{FF2B5EF4-FFF2-40B4-BE49-F238E27FC236}">
              <a16:creationId xmlns:a16="http://schemas.microsoft.com/office/drawing/2014/main" id="{125BCABF-98B1-4AD1-BF57-72D68ED2AAF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7" name="Host Control  259" hidden="1">
          <a:extLst>
            <a:ext uri="{FF2B5EF4-FFF2-40B4-BE49-F238E27FC236}">
              <a16:creationId xmlns:a16="http://schemas.microsoft.com/office/drawing/2014/main" id="{7DFD80A4-86E7-42AA-B911-A51E148E60F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8" name="Host Control  260" hidden="1">
          <a:extLst>
            <a:ext uri="{FF2B5EF4-FFF2-40B4-BE49-F238E27FC236}">
              <a16:creationId xmlns:a16="http://schemas.microsoft.com/office/drawing/2014/main" id="{9F43E7BB-2951-4C30-9322-03E2262C53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9" name="Host Control  261" hidden="1">
          <a:extLst>
            <a:ext uri="{FF2B5EF4-FFF2-40B4-BE49-F238E27FC236}">
              <a16:creationId xmlns:a16="http://schemas.microsoft.com/office/drawing/2014/main" id="{AF441D92-51F3-4462-B64B-21C3BA7DA7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0" name="Host Control  262" hidden="1">
          <a:extLst>
            <a:ext uri="{FF2B5EF4-FFF2-40B4-BE49-F238E27FC236}">
              <a16:creationId xmlns:a16="http://schemas.microsoft.com/office/drawing/2014/main" id="{835BBE8F-170C-4FDB-9D73-2FEB3BA84C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1" name="Host Control  263" hidden="1">
          <a:extLst>
            <a:ext uri="{FF2B5EF4-FFF2-40B4-BE49-F238E27FC236}">
              <a16:creationId xmlns:a16="http://schemas.microsoft.com/office/drawing/2014/main" id="{40D47C99-C1BE-49C0-AAA5-86D37A6450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2" name="Host Control  267" hidden="1">
          <a:extLst>
            <a:ext uri="{FF2B5EF4-FFF2-40B4-BE49-F238E27FC236}">
              <a16:creationId xmlns:a16="http://schemas.microsoft.com/office/drawing/2014/main" id="{D21D8E2D-138F-448D-9DAE-E8AA110254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3" name="Host Control  268" hidden="1">
          <a:extLst>
            <a:ext uri="{FF2B5EF4-FFF2-40B4-BE49-F238E27FC236}">
              <a16:creationId xmlns:a16="http://schemas.microsoft.com/office/drawing/2014/main" id="{C1E0E724-5F1D-46EC-806D-DC2B316E88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4" name="Host Control  269" hidden="1">
          <a:extLst>
            <a:ext uri="{FF2B5EF4-FFF2-40B4-BE49-F238E27FC236}">
              <a16:creationId xmlns:a16="http://schemas.microsoft.com/office/drawing/2014/main" id="{308A8AB1-DF42-4B11-A416-384D62F856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5" name="Host Control  270" hidden="1">
          <a:extLst>
            <a:ext uri="{FF2B5EF4-FFF2-40B4-BE49-F238E27FC236}">
              <a16:creationId xmlns:a16="http://schemas.microsoft.com/office/drawing/2014/main" id="{1D430291-EE6E-42AA-BF78-F64FFE36EF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6" name="Host Control  271" hidden="1">
          <a:extLst>
            <a:ext uri="{FF2B5EF4-FFF2-40B4-BE49-F238E27FC236}">
              <a16:creationId xmlns:a16="http://schemas.microsoft.com/office/drawing/2014/main" id="{7DD341A5-EF32-4084-A3C2-8AABA7015FE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7" name="Host Control  272" hidden="1">
          <a:extLst>
            <a:ext uri="{FF2B5EF4-FFF2-40B4-BE49-F238E27FC236}">
              <a16:creationId xmlns:a16="http://schemas.microsoft.com/office/drawing/2014/main" id="{231979D1-15ED-4270-AC26-AB749D0EE72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8" name="Host Control  273" hidden="1">
          <a:extLst>
            <a:ext uri="{FF2B5EF4-FFF2-40B4-BE49-F238E27FC236}">
              <a16:creationId xmlns:a16="http://schemas.microsoft.com/office/drawing/2014/main" id="{E5AFCFE0-25A5-4A92-A89B-44E6539506F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9" name="Host Control  274" hidden="1">
          <a:extLst>
            <a:ext uri="{FF2B5EF4-FFF2-40B4-BE49-F238E27FC236}">
              <a16:creationId xmlns:a16="http://schemas.microsoft.com/office/drawing/2014/main" id="{BAC8AA9F-568F-45DE-9FAE-E7B725BADE8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0" name="Host Control  275" hidden="1">
          <a:extLst>
            <a:ext uri="{FF2B5EF4-FFF2-40B4-BE49-F238E27FC236}">
              <a16:creationId xmlns:a16="http://schemas.microsoft.com/office/drawing/2014/main" id="{1CEE79E0-B05F-4503-9D1C-33A632190F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1" name="Host Control  276" hidden="1">
          <a:extLst>
            <a:ext uri="{FF2B5EF4-FFF2-40B4-BE49-F238E27FC236}">
              <a16:creationId xmlns:a16="http://schemas.microsoft.com/office/drawing/2014/main" id="{1E16C1AA-64DB-409A-81A4-C3A77D6F1E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2" name="Host Control  277" hidden="1">
          <a:extLst>
            <a:ext uri="{FF2B5EF4-FFF2-40B4-BE49-F238E27FC236}">
              <a16:creationId xmlns:a16="http://schemas.microsoft.com/office/drawing/2014/main" id="{329157D0-67BA-4B94-BFFD-6F8FA52E3A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3" name="Host Control  278" hidden="1">
          <a:extLst>
            <a:ext uri="{FF2B5EF4-FFF2-40B4-BE49-F238E27FC236}">
              <a16:creationId xmlns:a16="http://schemas.microsoft.com/office/drawing/2014/main" id="{70DD785D-DABD-40DB-A9B3-6BE294778A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4" name="Host Control  279" hidden="1">
          <a:extLst>
            <a:ext uri="{FF2B5EF4-FFF2-40B4-BE49-F238E27FC236}">
              <a16:creationId xmlns:a16="http://schemas.microsoft.com/office/drawing/2014/main" id="{2923BBCC-89FC-47D6-8D77-D76AA83398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5" name="Host Control  280" hidden="1">
          <a:extLst>
            <a:ext uri="{FF2B5EF4-FFF2-40B4-BE49-F238E27FC236}">
              <a16:creationId xmlns:a16="http://schemas.microsoft.com/office/drawing/2014/main" id="{8F895A1D-4048-47DB-B563-C2351EDBD7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6" name="Host Control  281" hidden="1">
          <a:extLst>
            <a:ext uri="{FF2B5EF4-FFF2-40B4-BE49-F238E27FC236}">
              <a16:creationId xmlns:a16="http://schemas.microsoft.com/office/drawing/2014/main" id="{45AF2A14-25C8-4362-98EA-D921F0F835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7" name="Host Control  282" hidden="1">
          <a:extLst>
            <a:ext uri="{FF2B5EF4-FFF2-40B4-BE49-F238E27FC236}">
              <a16:creationId xmlns:a16="http://schemas.microsoft.com/office/drawing/2014/main" id="{D468FBED-4F94-4716-AA27-EB77F4A411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8" name="Host Control  283" hidden="1">
          <a:extLst>
            <a:ext uri="{FF2B5EF4-FFF2-40B4-BE49-F238E27FC236}">
              <a16:creationId xmlns:a16="http://schemas.microsoft.com/office/drawing/2014/main" id="{50E03172-F457-4D5D-B5CA-7EC82A02809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9" name="Host Control  284" hidden="1">
          <a:extLst>
            <a:ext uri="{FF2B5EF4-FFF2-40B4-BE49-F238E27FC236}">
              <a16:creationId xmlns:a16="http://schemas.microsoft.com/office/drawing/2014/main" id="{32518C8B-C52D-4FE5-9CB1-EB0292F705E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0" name="Host Control  285" hidden="1">
          <a:extLst>
            <a:ext uri="{FF2B5EF4-FFF2-40B4-BE49-F238E27FC236}">
              <a16:creationId xmlns:a16="http://schemas.microsoft.com/office/drawing/2014/main" id="{FD000EBE-0EA8-40AD-8D1F-E8B59B37C7C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1" name="Host Control  286" hidden="1">
          <a:extLst>
            <a:ext uri="{FF2B5EF4-FFF2-40B4-BE49-F238E27FC236}">
              <a16:creationId xmlns:a16="http://schemas.microsoft.com/office/drawing/2014/main" id="{DD33E569-A514-45BF-B839-A5922A55DE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2" name="Host Control  287" hidden="1">
          <a:extLst>
            <a:ext uri="{FF2B5EF4-FFF2-40B4-BE49-F238E27FC236}">
              <a16:creationId xmlns:a16="http://schemas.microsoft.com/office/drawing/2014/main" id="{3993C2AF-37D5-4CEA-8845-C92E71A7EA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3" name="Host Control  288" hidden="1">
          <a:extLst>
            <a:ext uri="{FF2B5EF4-FFF2-40B4-BE49-F238E27FC236}">
              <a16:creationId xmlns:a16="http://schemas.microsoft.com/office/drawing/2014/main" id="{11FE786A-C8B9-4D5E-BD2B-255DA83DA08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4" name="Host Control  289" hidden="1">
          <a:extLst>
            <a:ext uri="{FF2B5EF4-FFF2-40B4-BE49-F238E27FC236}">
              <a16:creationId xmlns:a16="http://schemas.microsoft.com/office/drawing/2014/main" id="{DD95EB91-80A2-4994-8581-7363FA6C90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5" name="Host Control  290" hidden="1">
          <a:extLst>
            <a:ext uri="{FF2B5EF4-FFF2-40B4-BE49-F238E27FC236}">
              <a16:creationId xmlns:a16="http://schemas.microsoft.com/office/drawing/2014/main" id="{2DC99210-D74E-4BDC-BD5C-CA172AE30F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6" name="Host Control  291" hidden="1">
          <a:extLst>
            <a:ext uri="{FF2B5EF4-FFF2-40B4-BE49-F238E27FC236}">
              <a16:creationId xmlns:a16="http://schemas.microsoft.com/office/drawing/2014/main" id="{3F320705-5BA8-4413-BDE6-77805B2BE7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7" name="Host Control  292" hidden="1">
          <a:extLst>
            <a:ext uri="{FF2B5EF4-FFF2-40B4-BE49-F238E27FC236}">
              <a16:creationId xmlns:a16="http://schemas.microsoft.com/office/drawing/2014/main" id="{6ABBF749-6FD4-4FDE-80BA-EBED874AA13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8" name="Host Control  293" hidden="1">
          <a:extLst>
            <a:ext uri="{FF2B5EF4-FFF2-40B4-BE49-F238E27FC236}">
              <a16:creationId xmlns:a16="http://schemas.microsoft.com/office/drawing/2014/main" id="{B38906E8-4CEC-4BD7-9A1F-778E1058FB9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9" name="Host Control  294" hidden="1">
          <a:extLst>
            <a:ext uri="{FF2B5EF4-FFF2-40B4-BE49-F238E27FC236}">
              <a16:creationId xmlns:a16="http://schemas.microsoft.com/office/drawing/2014/main" id="{CD60A58B-C463-4DF4-9C3B-93C71FC2D6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20" name="Host Control  295" hidden="1">
          <a:extLst>
            <a:ext uri="{FF2B5EF4-FFF2-40B4-BE49-F238E27FC236}">
              <a16:creationId xmlns:a16="http://schemas.microsoft.com/office/drawing/2014/main" id="{AB7700AC-E75A-46F7-9354-5B961B7547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21" name="Host Control  296" hidden="1">
          <a:extLst>
            <a:ext uri="{FF2B5EF4-FFF2-40B4-BE49-F238E27FC236}">
              <a16:creationId xmlns:a16="http://schemas.microsoft.com/office/drawing/2014/main" id="{7011433B-57A1-483A-B40D-F218509976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28495" cy="304800"/>
    <xdr:sp macro="" textlink="">
      <xdr:nvSpPr>
        <xdr:cNvPr id="3522" name="Host Control  32">
          <a:extLst>
            <a:ext uri="{FF2B5EF4-FFF2-40B4-BE49-F238E27FC236}">
              <a16:creationId xmlns:a16="http://schemas.microsoft.com/office/drawing/2014/main" id="{BF038F03-7B06-4C64-98BA-9D857A4174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3" name="Host Control  33">
          <a:extLst>
            <a:ext uri="{FF2B5EF4-FFF2-40B4-BE49-F238E27FC236}">
              <a16:creationId xmlns:a16="http://schemas.microsoft.com/office/drawing/2014/main" id="{6EFC6CC1-62B0-4C5E-A718-8983EA7952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4" name="Host Control  34">
          <a:extLst>
            <a:ext uri="{FF2B5EF4-FFF2-40B4-BE49-F238E27FC236}">
              <a16:creationId xmlns:a16="http://schemas.microsoft.com/office/drawing/2014/main" id="{CBEDA93C-CE42-4EED-96CF-4814349BBC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5" name="Host Control  35">
          <a:extLst>
            <a:ext uri="{FF2B5EF4-FFF2-40B4-BE49-F238E27FC236}">
              <a16:creationId xmlns:a16="http://schemas.microsoft.com/office/drawing/2014/main" id="{39988817-1FCA-42D5-88E0-0F29DC170C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6" name="Host Control  36">
          <a:extLst>
            <a:ext uri="{FF2B5EF4-FFF2-40B4-BE49-F238E27FC236}">
              <a16:creationId xmlns:a16="http://schemas.microsoft.com/office/drawing/2014/main" id="{E18D5997-80F0-4129-B915-E754F7C612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7" name="Host Control  37">
          <a:extLst>
            <a:ext uri="{FF2B5EF4-FFF2-40B4-BE49-F238E27FC236}">
              <a16:creationId xmlns:a16="http://schemas.microsoft.com/office/drawing/2014/main" id="{445D0929-D18A-43C3-AD6F-254870AF2DC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8" name="Host Control  38">
          <a:extLst>
            <a:ext uri="{FF2B5EF4-FFF2-40B4-BE49-F238E27FC236}">
              <a16:creationId xmlns:a16="http://schemas.microsoft.com/office/drawing/2014/main" id="{873165F7-A798-435A-AA89-05DE2217EB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9" name="Host Control  39">
          <a:extLst>
            <a:ext uri="{FF2B5EF4-FFF2-40B4-BE49-F238E27FC236}">
              <a16:creationId xmlns:a16="http://schemas.microsoft.com/office/drawing/2014/main" id="{A7AE1BF8-55E8-48FB-9FFD-2DE919A86A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0" name="Host Control  40">
          <a:extLst>
            <a:ext uri="{FF2B5EF4-FFF2-40B4-BE49-F238E27FC236}">
              <a16:creationId xmlns:a16="http://schemas.microsoft.com/office/drawing/2014/main" id="{29330AB7-F81F-4107-A0D1-D3D8EB2B8E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1" name="Host Control  41">
          <a:extLst>
            <a:ext uri="{FF2B5EF4-FFF2-40B4-BE49-F238E27FC236}">
              <a16:creationId xmlns:a16="http://schemas.microsoft.com/office/drawing/2014/main" id="{17DF6AEF-955E-4387-A3E3-0199522BCD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2" name="Host Control  42">
          <a:extLst>
            <a:ext uri="{FF2B5EF4-FFF2-40B4-BE49-F238E27FC236}">
              <a16:creationId xmlns:a16="http://schemas.microsoft.com/office/drawing/2014/main" id="{86505FB0-8DE1-43A8-B7CF-79AA42F77CA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3" name="Host Control  43">
          <a:extLst>
            <a:ext uri="{FF2B5EF4-FFF2-40B4-BE49-F238E27FC236}">
              <a16:creationId xmlns:a16="http://schemas.microsoft.com/office/drawing/2014/main" id="{BAE38B19-41DF-4F1F-BCE3-483D6EEC9F1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4" name="Host Control  44">
          <a:extLst>
            <a:ext uri="{FF2B5EF4-FFF2-40B4-BE49-F238E27FC236}">
              <a16:creationId xmlns:a16="http://schemas.microsoft.com/office/drawing/2014/main" id="{AC87482B-88CF-46D2-9BAE-C9EEACB9A0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5" name="Host Control  45">
          <a:extLst>
            <a:ext uri="{FF2B5EF4-FFF2-40B4-BE49-F238E27FC236}">
              <a16:creationId xmlns:a16="http://schemas.microsoft.com/office/drawing/2014/main" id="{C64A3739-DD4C-411A-92AD-F61C6C0ADE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6" name="Host Control  46">
          <a:extLst>
            <a:ext uri="{FF2B5EF4-FFF2-40B4-BE49-F238E27FC236}">
              <a16:creationId xmlns:a16="http://schemas.microsoft.com/office/drawing/2014/main" id="{463C4550-ADEF-467C-8379-E485153B39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7" name="Host Control  47">
          <a:extLst>
            <a:ext uri="{FF2B5EF4-FFF2-40B4-BE49-F238E27FC236}">
              <a16:creationId xmlns:a16="http://schemas.microsoft.com/office/drawing/2014/main" id="{A476FFCB-D5C0-4661-8E65-C21B99047A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8" name="Host Control  48">
          <a:extLst>
            <a:ext uri="{FF2B5EF4-FFF2-40B4-BE49-F238E27FC236}">
              <a16:creationId xmlns:a16="http://schemas.microsoft.com/office/drawing/2014/main" id="{27980996-8F51-414D-B790-3D9E9C80836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9" name="Host Control  49">
          <a:extLst>
            <a:ext uri="{FF2B5EF4-FFF2-40B4-BE49-F238E27FC236}">
              <a16:creationId xmlns:a16="http://schemas.microsoft.com/office/drawing/2014/main" id="{1FF84351-B5EB-41B7-A66B-9362279FF3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0" name="Host Control  50">
          <a:extLst>
            <a:ext uri="{FF2B5EF4-FFF2-40B4-BE49-F238E27FC236}">
              <a16:creationId xmlns:a16="http://schemas.microsoft.com/office/drawing/2014/main" id="{4B39F879-F646-4BF2-8578-216A5A8BFB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1" name="Host Control  51">
          <a:extLst>
            <a:ext uri="{FF2B5EF4-FFF2-40B4-BE49-F238E27FC236}">
              <a16:creationId xmlns:a16="http://schemas.microsoft.com/office/drawing/2014/main" id="{4488FF5B-CC72-4954-B574-755E90EB29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2" name="Host Control  52">
          <a:extLst>
            <a:ext uri="{FF2B5EF4-FFF2-40B4-BE49-F238E27FC236}">
              <a16:creationId xmlns:a16="http://schemas.microsoft.com/office/drawing/2014/main" id="{ED97F5A6-E16E-4049-BE4B-BE9A1731694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3" name="Host Control  53">
          <a:extLst>
            <a:ext uri="{FF2B5EF4-FFF2-40B4-BE49-F238E27FC236}">
              <a16:creationId xmlns:a16="http://schemas.microsoft.com/office/drawing/2014/main" id="{43524FCB-BA2B-44E1-AB85-00060B175C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4" name="Host Control  54">
          <a:extLst>
            <a:ext uri="{FF2B5EF4-FFF2-40B4-BE49-F238E27FC236}">
              <a16:creationId xmlns:a16="http://schemas.microsoft.com/office/drawing/2014/main" id="{3AD40351-02A9-4D3E-A756-BB56042C4F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5" name="Host Control  55">
          <a:extLst>
            <a:ext uri="{FF2B5EF4-FFF2-40B4-BE49-F238E27FC236}">
              <a16:creationId xmlns:a16="http://schemas.microsoft.com/office/drawing/2014/main" id="{D2F3815E-F3E8-4DF5-9974-DD3A26D3527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6" name="Host Control  56">
          <a:extLst>
            <a:ext uri="{FF2B5EF4-FFF2-40B4-BE49-F238E27FC236}">
              <a16:creationId xmlns:a16="http://schemas.microsoft.com/office/drawing/2014/main" id="{A848AF48-5F28-4AC1-A8C1-EB6B1988633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7" name="Host Control  57">
          <a:extLst>
            <a:ext uri="{FF2B5EF4-FFF2-40B4-BE49-F238E27FC236}">
              <a16:creationId xmlns:a16="http://schemas.microsoft.com/office/drawing/2014/main" id="{644486C1-8908-465C-BC7A-03C28E3D144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8" name="Host Control  58">
          <a:extLst>
            <a:ext uri="{FF2B5EF4-FFF2-40B4-BE49-F238E27FC236}">
              <a16:creationId xmlns:a16="http://schemas.microsoft.com/office/drawing/2014/main" id="{101B4705-C2C9-4279-A9F7-EF3A522401F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9" name="Host Control  59">
          <a:extLst>
            <a:ext uri="{FF2B5EF4-FFF2-40B4-BE49-F238E27FC236}">
              <a16:creationId xmlns:a16="http://schemas.microsoft.com/office/drawing/2014/main" id="{E9B1115A-37AF-4799-9FD9-8605206CE8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0" name="Host Control  60">
          <a:extLst>
            <a:ext uri="{FF2B5EF4-FFF2-40B4-BE49-F238E27FC236}">
              <a16:creationId xmlns:a16="http://schemas.microsoft.com/office/drawing/2014/main" id="{0F96CCCE-05E8-40D1-AA2B-0413EE668B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1" name="Host Control  61">
          <a:extLst>
            <a:ext uri="{FF2B5EF4-FFF2-40B4-BE49-F238E27FC236}">
              <a16:creationId xmlns:a16="http://schemas.microsoft.com/office/drawing/2014/main" id="{94D67378-5CB7-41F5-A514-1B2A63AF83D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2" name="Host Control  65">
          <a:extLst>
            <a:ext uri="{FF2B5EF4-FFF2-40B4-BE49-F238E27FC236}">
              <a16:creationId xmlns:a16="http://schemas.microsoft.com/office/drawing/2014/main" id="{1825A958-B756-4157-B5A1-2F2A9F1EAF8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3" name="Host Control  66">
          <a:extLst>
            <a:ext uri="{FF2B5EF4-FFF2-40B4-BE49-F238E27FC236}">
              <a16:creationId xmlns:a16="http://schemas.microsoft.com/office/drawing/2014/main" id="{260D997B-057F-4B0D-9D1F-C402FFB4DF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4" name="Host Control  67">
          <a:extLst>
            <a:ext uri="{FF2B5EF4-FFF2-40B4-BE49-F238E27FC236}">
              <a16:creationId xmlns:a16="http://schemas.microsoft.com/office/drawing/2014/main" id="{948F0221-FF3F-471D-8E30-FC6C31DAA3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5" name="Host Control  68">
          <a:extLst>
            <a:ext uri="{FF2B5EF4-FFF2-40B4-BE49-F238E27FC236}">
              <a16:creationId xmlns:a16="http://schemas.microsoft.com/office/drawing/2014/main" id="{4806EB78-D574-4956-ADDB-6998D9C4E8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6" name="Host Control  69">
          <a:extLst>
            <a:ext uri="{FF2B5EF4-FFF2-40B4-BE49-F238E27FC236}">
              <a16:creationId xmlns:a16="http://schemas.microsoft.com/office/drawing/2014/main" id="{001D2D72-E446-41B1-89FE-1E8A8F606B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7" name="Host Control  70">
          <a:extLst>
            <a:ext uri="{FF2B5EF4-FFF2-40B4-BE49-F238E27FC236}">
              <a16:creationId xmlns:a16="http://schemas.microsoft.com/office/drawing/2014/main" id="{94EF950E-C171-4D3E-A6D1-D477E15710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8" name="Host Control  71">
          <a:extLst>
            <a:ext uri="{FF2B5EF4-FFF2-40B4-BE49-F238E27FC236}">
              <a16:creationId xmlns:a16="http://schemas.microsoft.com/office/drawing/2014/main" id="{CAD0E6A3-B0C0-4CC6-BB83-2AB469DD345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9" name="Host Control  72">
          <a:extLst>
            <a:ext uri="{FF2B5EF4-FFF2-40B4-BE49-F238E27FC236}">
              <a16:creationId xmlns:a16="http://schemas.microsoft.com/office/drawing/2014/main" id="{12950D40-0D6D-402A-A411-6E9567E043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0" name="Host Control  73">
          <a:extLst>
            <a:ext uri="{FF2B5EF4-FFF2-40B4-BE49-F238E27FC236}">
              <a16:creationId xmlns:a16="http://schemas.microsoft.com/office/drawing/2014/main" id="{83C3BD89-B8FB-4708-91A3-562D373E66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1" name="Host Control  74">
          <a:extLst>
            <a:ext uri="{FF2B5EF4-FFF2-40B4-BE49-F238E27FC236}">
              <a16:creationId xmlns:a16="http://schemas.microsoft.com/office/drawing/2014/main" id="{B2372839-E10C-40CF-8841-7F965A8EBA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2" name="Host Control  75">
          <a:extLst>
            <a:ext uri="{FF2B5EF4-FFF2-40B4-BE49-F238E27FC236}">
              <a16:creationId xmlns:a16="http://schemas.microsoft.com/office/drawing/2014/main" id="{B8934B23-EDE2-476D-8EDE-00D06116B2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3" name="Host Control  76">
          <a:extLst>
            <a:ext uri="{FF2B5EF4-FFF2-40B4-BE49-F238E27FC236}">
              <a16:creationId xmlns:a16="http://schemas.microsoft.com/office/drawing/2014/main" id="{769CB9D3-3BBA-45E0-85F8-CEB399825CC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4" name="Host Control  77">
          <a:extLst>
            <a:ext uri="{FF2B5EF4-FFF2-40B4-BE49-F238E27FC236}">
              <a16:creationId xmlns:a16="http://schemas.microsoft.com/office/drawing/2014/main" id="{9FDC3219-1506-402F-ACC5-697E53DA39D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5" name="Host Control  78">
          <a:extLst>
            <a:ext uri="{FF2B5EF4-FFF2-40B4-BE49-F238E27FC236}">
              <a16:creationId xmlns:a16="http://schemas.microsoft.com/office/drawing/2014/main" id="{CF18C365-2A13-4933-AEDE-BCA39F724EB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6" name="Host Control  79">
          <a:extLst>
            <a:ext uri="{FF2B5EF4-FFF2-40B4-BE49-F238E27FC236}">
              <a16:creationId xmlns:a16="http://schemas.microsoft.com/office/drawing/2014/main" id="{12A24C06-198C-47BA-9C88-3CCA34575F6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7" name="Host Control  80">
          <a:extLst>
            <a:ext uri="{FF2B5EF4-FFF2-40B4-BE49-F238E27FC236}">
              <a16:creationId xmlns:a16="http://schemas.microsoft.com/office/drawing/2014/main" id="{AEF93165-A2C3-4BE6-8D92-89F5F74B177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8" name="Host Control  81">
          <a:extLst>
            <a:ext uri="{FF2B5EF4-FFF2-40B4-BE49-F238E27FC236}">
              <a16:creationId xmlns:a16="http://schemas.microsoft.com/office/drawing/2014/main" id="{B213B79E-F613-4910-8625-2222AFCF01C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9" name="Host Control  82">
          <a:extLst>
            <a:ext uri="{FF2B5EF4-FFF2-40B4-BE49-F238E27FC236}">
              <a16:creationId xmlns:a16="http://schemas.microsoft.com/office/drawing/2014/main" id="{A6E8853F-ADB9-4F8B-B461-A7E85D4125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0" name="Host Control  83">
          <a:extLst>
            <a:ext uri="{FF2B5EF4-FFF2-40B4-BE49-F238E27FC236}">
              <a16:creationId xmlns:a16="http://schemas.microsoft.com/office/drawing/2014/main" id="{5C8B3282-298E-4450-AE5C-7269C21454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1" name="Host Control  84">
          <a:extLst>
            <a:ext uri="{FF2B5EF4-FFF2-40B4-BE49-F238E27FC236}">
              <a16:creationId xmlns:a16="http://schemas.microsoft.com/office/drawing/2014/main" id="{CB5066F8-83C3-44AD-BC30-0A22365955E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2" name="Host Control  85">
          <a:extLst>
            <a:ext uri="{FF2B5EF4-FFF2-40B4-BE49-F238E27FC236}">
              <a16:creationId xmlns:a16="http://schemas.microsoft.com/office/drawing/2014/main" id="{93C0B21F-83C3-48AC-B633-CCC008AB05D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3" name="Host Control  86">
          <a:extLst>
            <a:ext uri="{FF2B5EF4-FFF2-40B4-BE49-F238E27FC236}">
              <a16:creationId xmlns:a16="http://schemas.microsoft.com/office/drawing/2014/main" id="{5D8BA350-EA1A-4D26-84D5-C9A0D4AD41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4" name="Host Control  87">
          <a:extLst>
            <a:ext uri="{FF2B5EF4-FFF2-40B4-BE49-F238E27FC236}">
              <a16:creationId xmlns:a16="http://schemas.microsoft.com/office/drawing/2014/main" id="{9D15CE19-FF54-4E42-A830-160B086206E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5" name="Host Control  88">
          <a:extLst>
            <a:ext uri="{FF2B5EF4-FFF2-40B4-BE49-F238E27FC236}">
              <a16:creationId xmlns:a16="http://schemas.microsoft.com/office/drawing/2014/main" id="{7CED6A77-850B-48D9-BA79-DE9A9F87415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6" name="Host Control  89">
          <a:extLst>
            <a:ext uri="{FF2B5EF4-FFF2-40B4-BE49-F238E27FC236}">
              <a16:creationId xmlns:a16="http://schemas.microsoft.com/office/drawing/2014/main" id="{4B4F56F8-EB43-45C5-954D-CC87DEC732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7" name="Host Control  90">
          <a:extLst>
            <a:ext uri="{FF2B5EF4-FFF2-40B4-BE49-F238E27FC236}">
              <a16:creationId xmlns:a16="http://schemas.microsoft.com/office/drawing/2014/main" id="{9457418B-A332-4F64-9D88-C59394D70E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8" name="Host Control  91">
          <a:extLst>
            <a:ext uri="{FF2B5EF4-FFF2-40B4-BE49-F238E27FC236}">
              <a16:creationId xmlns:a16="http://schemas.microsoft.com/office/drawing/2014/main" id="{B2BA6959-0753-4882-8B3D-F17502BB4EB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9" name="Host Control  92">
          <a:extLst>
            <a:ext uri="{FF2B5EF4-FFF2-40B4-BE49-F238E27FC236}">
              <a16:creationId xmlns:a16="http://schemas.microsoft.com/office/drawing/2014/main" id="{5AC2E4B1-98DA-46D2-A6E1-8B899EF48D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0" name="Host Control  93">
          <a:extLst>
            <a:ext uri="{FF2B5EF4-FFF2-40B4-BE49-F238E27FC236}">
              <a16:creationId xmlns:a16="http://schemas.microsoft.com/office/drawing/2014/main" id="{1EDA8BA4-2554-4272-AAC4-2DB7140AEE5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1" name="Host Control  94">
          <a:extLst>
            <a:ext uri="{FF2B5EF4-FFF2-40B4-BE49-F238E27FC236}">
              <a16:creationId xmlns:a16="http://schemas.microsoft.com/office/drawing/2014/main" id="{757D442C-C719-4F69-B9C8-CE3B7D4823F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2" name="Host Control  98">
          <a:extLst>
            <a:ext uri="{FF2B5EF4-FFF2-40B4-BE49-F238E27FC236}">
              <a16:creationId xmlns:a16="http://schemas.microsoft.com/office/drawing/2014/main" id="{AF403220-5533-430E-A5C1-62D68D7774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3" name="Host Control  99">
          <a:extLst>
            <a:ext uri="{FF2B5EF4-FFF2-40B4-BE49-F238E27FC236}">
              <a16:creationId xmlns:a16="http://schemas.microsoft.com/office/drawing/2014/main" id="{DF0D8E5A-9464-44DD-906D-F6CC7B555AC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4" name="Host Control  100">
          <a:extLst>
            <a:ext uri="{FF2B5EF4-FFF2-40B4-BE49-F238E27FC236}">
              <a16:creationId xmlns:a16="http://schemas.microsoft.com/office/drawing/2014/main" id="{6050424E-ADD9-45F3-B9BD-974F5FCB23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5" name="Host Control  101">
          <a:extLst>
            <a:ext uri="{FF2B5EF4-FFF2-40B4-BE49-F238E27FC236}">
              <a16:creationId xmlns:a16="http://schemas.microsoft.com/office/drawing/2014/main" id="{EDB90B85-A2D4-4EF3-90F2-240048F3970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6" name="Host Control  102">
          <a:extLst>
            <a:ext uri="{FF2B5EF4-FFF2-40B4-BE49-F238E27FC236}">
              <a16:creationId xmlns:a16="http://schemas.microsoft.com/office/drawing/2014/main" id="{496A8B5B-A0DE-4042-80C4-E7BE985F86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7" name="Host Control  103">
          <a:extLst>
            <a:ext uri="{FF2B5EF4-FFF2-40B4-BE49-F238E27FC236}">
              <a16:creationId xmlns:a16="http://schemas.microsoft.com/office/drawing/2014/main" id="{121D3F61-DB8A-4CAC-BDE9-A52B5755FC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8" name="Host Control  104">
          <a:extLst>
            <a:ext uri="{FF2B5EF4-FFF2-40B4-BE49-F238E27FC236}">
              <a16:creationId xmlns:a16="http://schemas.microsoft.com/office/drawing/2014/main" id="{EED32839-C7F7-48A8-9751-F66247D044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9" name="Host Control  105">
          <a:extLst>
            <a:ext uri="{FF2B5EF4-FFF2-40B4-BE49-F238E27FC236}">
              <a16:creationId xmlns:a16="http://schemas.microsoft.com/office/drawing/2014/main" id="{9A61A125-B79C-404B-8B39-670D73771AF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0" name="Host Control  106">
          <a:extLst>
            <a:ext uri="{FF2B5EF4-FFF2-40B4-BE49-F238E27FC236}">
              <a16:creationId xmlns:a16="http://schemas.microsoft.com/office/drawing/2014/main" id="{2E3FF842-1FEF-423F-812F-9A22EEC8936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1" name="Host Control  107">
          <a:extLst>
            <a:ext uri="{FF2B5EF4-FFF2-40B4-BE49-F238E27FC236}">
              <a16:creationId xmlns:a16="http://schemas.microsoft.com/office/drawing/2014/main" id="{1257FC99-346F-460E-B56E-7C03F51A0C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2" name="Host Control  108">
          <a:extLst>
            <a:ext uri="{FF2B5EF4-FFF2-40B4-BE49-F238E27FC236}">
              <a16:creationId xmlns:a16="http://schemas.microsoft.com/office/drawing/2014/main" id="{75C8C641-BB31-4673-A19F-E0030DC492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3" name="Host Control  109">
          <a:extLst>
            <a:ext uri="{FF2B5EF4-FFF2-40B4-BE49-F238E27FC236}">
              <a16:creationId xmlns:a16="http://schemas.microsoft.com/office/drawing/2014/main" id="{2B7ED56C-B040-4608-BE6F-00642AB1813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4" name="Host Control  110">
          <a:extLst>
            <a:ext uri="{FF2B5EF4-FFF2-40B4-BE49-F238E27FC236}">
              <a16:creationId xmlns:a16="http://schemas.microsoft.com/office/drawing/2014/main" id="{0C2C92D8-52D3-4A71-AA2D-282DBCDD18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5" name="Host Control  111">
          <a:extLst>
            <a:ext uri="{FF2B5EF4-FFF2-40B4-BE49-F238E27FC236}">
              <a16:creationId xmlns:a16="http://schemas.microsoft.com/office/drawing/2014/main" id="{B721D78F-8CC8-427D-B8ED-D8A2D150AA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6" name="Host Control  112">
          <a:extLst>
            <a:ext uri="{FF2B5EF4-FFF2-40B4-BE49-F238E27FC236}">
              <a16:creationId xmlns:a16="http://schemas.microsoft.com/office/drawing/2014/main" id="{9CB5E795-7315-44C2-9B95-E96610C76F9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7" name="Host Control  113">
          <a:extLst>
            <a:ext uri="{FF2B5EF4-FFF2-40B4-BE49-F238E27FC236}">
              <a16:creationId xmlns:a16="http://schemas.microsoft.com/office/drawing/2014/main" id="{1610C168-6906-4159-8A9A-7B3DD06A52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8" name="Host Control  114">
          <a:extLst>
            <a:ext uri="{FF2B5EF4-FFF2-40B4-BE49-F238E27FC236}">
              <a16:creationId xmlns:a16="http://schemas.microsoft.com/office/drawing/2014/main" id="{4E3D53E6-2BD3-4556-8109-5647D03F2E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9" name="Host Control  115">
          <a:extLst>
            <a:ext uri="{FF2B5EF4-FFF2-40B4-BE49-F238E27FC236}">
              <a16:creationId xmlns:a16="http://schemas.microsoft.com/office/drawing/2014/main" id="{07547060-34A7-424C-B641-488F68FCBE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0" name="Host Control  116">
          <a:extLst>
            <a:ext uri="{FF2B5EF4-FFF2-40B4-BE49-F238E27FC236}">
              <a16:creationId xmlns:a16="http://schemas.microsoft.com/office/drawing/2014/main" id="{C601B92F-D847-4763-8AED-2134FC3A0A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1" name="Host Control  117">
          <a:extLst>
            <a:ext uri="{FF2B5EF4-FFF2-40B4-BE49-F238E27FC236}">
              <a16:creationId xmlns:a16="http://schemas.microsoft.com/office/drawing/2014/main" id="{20921209-6B36-441B-AA57-012E83D5C29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2" name="Host Control  118">
          <a:extLst>
            <a:ext uri="{FF2B5EF4-FFF2-40B4-BE49-F238E27FC236}">
              <a16:creationId xmlns:a16="http://schemas.microsoft.com/office/drawing/2014/main" id="{711BA7FA-CFCE-4B1B-AC27-0AD09079B80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3" name="Host Control  119">
          <a:extLst>
            <a:ext uri="{FF2B5EF4-FFF2-40B4-BE49-F238E27FC236}">
              <a16:creationId xmlns:a16="http://schemas.microsoft.com/office/drawing/2014/main" id="{D0358DD6-5728-4E57-BE3F-8DC1E54D83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4" name="Host Control  120">
          <a:extLst>
            <a:ext uri="{FF2B5EF4-FFF2-40B4-BE49-F238E27FC236}">
              <a16:creationId xmlns:a16="http://schemas.microsoft.com/office/drawing/2014/main" id="{18360707-9C51-4B73-BBB9-12BD0E35204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5" name="Host Control  121">
          <a:extLst>
            <a:ext uri="{FF2B5EF4-FFF2-40B4-BE49-F238E27FC236}">
              <a16:creationId xmlns:a16="http://schemas.microsoft.com/office/drawing/2014/main" id="{9BABDE41-AAA7-48AB-AC31-39E3F42DB4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6" name="Host Control  122">
          <a:extLst>
            <a:ext uri="{FF2B5EF4-FFF2-40B4-BE49-F238E27FC236}">
              <a16:creationId xmlns:a16="http://schemas.microsoft.com/office/drawing/2014/main" id="{BBFA0055-F3A3-4352-8BAF-F09C2F0B8D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7" name="Host Control  123">
          <a:extLst>
            <a:ext uri="{FF2B5EF4-FFF2-40B4-BE49-F238E27FC236}">
              <a16:creationId xmlns:a16="http://schemas.microsoft.com/office/drawing/2014/main" id="{2BC99748-085E-44E8-BE80-F6B68F57E6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8" name="Host Control  124">
          <a:extLst>
            <a:ext uri="{FF2B5EF4-FFF2-40B4-BE49-F238E27FC236}">
              <a16:creationId xmlns:a16="http://schemas.microsoft.com/office/drawing/2014/main" id="{41D772DA-FCB7-4D51-B0ED-D7B36C8853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9" name="Host Control  125">
          <a:extLst>
            <a:ext uri="{FF2B5EF4-FFF2-40B4-BE49-F238E27FC236}">
              <a16:creationId xmlns:a16="http://schemas.microsoft.com/office/drawing/2014/main" id="{CB15B7F2-9EF9-423E-8498-6F459D9EA82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0" name="Host Control  126">
          <a:extLst>
            <a:ext uri="{FF2B5EF4-FFF2-40B4-BE49-F238E27FC236}">
              <a16:creationId xmlns:a16="http://schemas.microsoft.com/office/drawing/2014/main" id="{5EA44105-25C3-4F0A-AB56-B5221EBA9E1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1" name="Host Control  127">
          <a:extLst>
            <a:ext uri="{FF2B5EF4-FFF2-40B4-BE49-F238E27FC236}">
              <a16:creationId xmlns:a16="http://schemas.microsoft.com/office/drawing/2014/main" id="{FD4BFBE8-343D-415E-913D-113217779AA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2" name="Host Control  135">
          <a:extLst>
            <a:ext uri="{FF2B5EF4-FFF2-40B4-BE49-F238E27FC236}">
              <a16:creationId xmlns:a16="http://schemas.microsoft.com/office/drawing/2014/main" id="{CAE48C33-2B01-46D8-B3E5-986614FE48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3" name="Host Control  136">
          <a:extLst>
            <a:ext uri="{FF2B5EF4-FFF2-40B4-BE49-F238E27FC236}">
              <a16:creationId xmlns:a16="http://schemas.microsoft.com/office/drawing/2014/main" id="{39365F85-3ACC-4A57-A6CB-5677F40B153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4" name="Host Control  137">
          <a:extLst>
            <a:ext uri="{FF2B5EF4-FFF2-40B4-BE49-F238E27FC236}">
              <a16:creationId xmlns:a16="http://schemas.microsoft.com/office/drawing/2014/main" id="{504A1DC6-4164-4082-82B7-F1B93F3C6DB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5" name="Host Control  138">
          <a:extLst>
            <a:ext uri="{FF2B5EF4-FFF2-40B4-BE49-F238E27FC236}">
              <a16:creationId xmlns:a16="http://schemas.microsoft.com/office/drawing/2014/main" id="{0CB6865E-4987-472B-806D-05512E6679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6" name="Host Control  139">
          <a:extLst>
            <a:ext uri="{FF2B5EF4-FFF2-40B4-BE49-F238E27FC236}">
              <a16:creationId xmlns:a16="http://schemas.microsoft.com/office/drawing/2014/main" id="{FE3FE0A7-B47A-4A2F-8AC0-830140A17F6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7" name="Host Control  140">
          <a:extLst>
            <a:ext uri="{FF2B5EF4-FFF2-40B4-BE49-F238E27FC236}">
              <a16:creationId xmlns:a16="http://schemas.microsoft.com/office/drawing/2014/main" id="{138764B4-680A-4A84-93B7-CD61BE0325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8" name="Host Control  141">
          <a:extLst>
            <a:ext uri="{FF2B5EF4-FFF2-40B4-BE49-F238E27FC236}">
              <a16:creationId xmlns:a16="http://schemas.microsoft.com/office/drawing/2014/main" id="{E3A70E30-DE32-436A-A579-2CCF2D4A30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9" name="Host Control  142">
          <a:extLst>
            <a:ext uri="{FF2B5EF4-FFF2-40B4-BE49-F238E27FC236}">
              <a16:creationId xmlns:a16="http://schemas.microsoft.com/office/drawing/2014/main" id="{5DDA0CCA-207D-4AAA-B07C-4890F22002A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0" name="Host Control  143">
          <a:extLst>
            <a:ext uri="{FF2B5EF4-FFF2-40B4-BE49-F238E27FC236}">
              <a16:creationId xmlns:a16="http://schemas.microsoft.com/office/drawing/2014/main" id="{35360222-D32D-4C2A-ACD0-5E428068D1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1" name="Host Control  144">
          <a:extLst>
            <a:ext uri="{FF2B5EF4-FFF2-40B4-BE49-F238E27FC236}">
              <a16:creationId xmlns:a16="http://schemas.microsoft.com/office/drawing/2014/main" id="{186EDE0E-ADB7-48A4-9B09-E4FA74162A1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2" name="Host Control  145">
          <a:extLst>
            <a:ext uri="{FF2B5EF4-FFF2-40B4-BE49-F238E27FC236}">
              <a16:creationId xmlns:a16="http://schemas.microsoft.com/office/drawing/2014/main" id="{EC08E3F9-42D1-4952-ADEB-BD2D2827EED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3" name="Host Control  146">
          <a:extLst>
            <a:ext uri="{FF2B5EF4-FFF2-40B4-BE49-F238E27FC236}">
              <a16:creationId xmlns:a16="http://schemas.microsoft.com/office/drawing/2014/main" id="{79F7D0C1-A9B7-484E-9051-2A8EC40ED5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4" name="Host Control  147">
          <a:extLst>
            <a:ext uri="{FF2B5EF4-FFF2-40B4-BE49-F238E27FC236}">
              <a16:creationId xmlns:a16="http://schemas.microsoft.com/office/drawing/2014/main" id="{CC54AE9B-7910-446C-AEA2-714CDA7E43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5" name="Host Control  148">
          <a:extLst>
            <a:ext uri="{FF2B5EF4-FFF2-40B4-BE49-F238E27FC236}">
              <a16:creationId xmlns:a16="http://schemas.microsoft.com/office/drawing/2014/main" id="{A168166B-8F69-4FAF-A6AB-DA95C14751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6" name="Host Control  149">
          <a:extLst>
            <a:ext uri="{FF2B5EF4-FFF2-40B4-BE49-F238E27FC236}">
              <a16:creationId xmlns:a16="http://schemas.microsoft.com/office/drawing/2014/main" id="{366FEA27-9555-4D01-B8A9-B8A50CDFED5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7" name="Host Control  150">
          <a:extLst>
            <a:ext uri="{FF2B5EF4-FFF2-40B4-BE49-F238E27FC236}">
              <a16:creationId xmlns:a16="http://schemas.microsoft.com/office/drawing/2014/main" id="{5CBCCEF6-68DC-43AB-9BD6-095E9E4FB3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8" name="Host Control  151">
          <a:extLst>
            <a:ext uri="{FF2B5EF4-FFF2-40B4-BE49-F238E27FC236}">
              <a16:creationId xmlns:a16="http://schemas.microsoft.com/office/drawing/2014/main" id="{78C60D97-B12E-4CDE-8F2E-527E6B0D4DA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9" name="Host Control  152">
          <a:extLst>
            <a:ext uri="{FF2B5EF4-FFF2-40B4-BE49-F238E27FC236}">
              <a16:creationId xmlns:a16="http://schemas.microsoft.com/office/drawing/2014/main" id="{01D045B0-56B6-414E-B83A-2868E5A002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0" name="Host Control  153">
          <a:extLst>
            <a:ext uri="{FF2B5EF4-FFF2-40B4-BE49-F238E27FC236}">
              <a16:creationId xmlns:a16="http://schemas.microsoft.com/office/drawing/2014/main" id="{BB1BEC2C-498B-450C-91CE-AC8D61F444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1" name="Host Control  154">
          <a:extLst>
            <a:ext uri="{FF2B5EF4-FFF2-40B4-BE49-F238E27FC236}">
              <a16:creationId xmlns:a16="http://schemas.microsoft.com/office/drawing/2014/main" id="{340FE0AE-7768-4F3A-BD7E-29BB5A537B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2" name="Host Control  155">
          <a:extLst>
            <a:ext uri="{FF2B5EF4-FFF2-40B4-BE49-F238E27FC236}">
              <a16:creationId xmlns:a16="http://schemas.microsoft.com/office/drawing/2014/main" id="{0853C9DF-83CC-4099-8178-37EB8063E1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3" name="Host Control  156">
          <a:extLst>
            <a:ext uri="{FF2B5EF4-FFF2-40B4-BE49-F238E27FC236}">
              <a16:creationId xmlns:a16="http://schemas.microsoft.com/office/drawing/2014/main" id="{1E7FD54D-7745-45E2-8EA5-F39B954354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4" name="Host Control  157">
          <a:extLst>
            <a:ext uri="{FF2B5EF4-FFF2-40B4-BE49-F238E27FC236}">
              <a16:creationId xmlns:a16="http://schemas.microsoft.com/office/drawing/2014/main" id="{08A2656F-E157-4E9B-955A-1AFAB35CD3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5" name="Host Control  158">
          <a:extLst>
            <a:ext uri="{FF2B5EF4-FFF2-40B4-BE49-F238E27FC236}">
              <a16:creationId xmlns:a16="http://schemas.microsoft.com/office/drawing/2014/main" id="{EFC9C42E-258C-40A5-B8CD-2816B4BBB1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6" name="Host Control  159">
          <a:extLst>
            <a:ext uri="{FF2B5EF4-FFF2-40B4-BE49-F238E27FC236}">
              <a16:creationId xmlns:a16="http://schemas.microsoft.com/office/drawing/2014/main" id="{4561A9D0-6504-4C81-A7E6-114859F74B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7" name="Host Control  160">
          <a:extLst>
            <a:ext uri="{FF2B5EF4-FFF2-40B4-BE49-F238E27FC236}">
              <a16:creationId xmlns:a16="http://schemas.microsoft.com/office/drawing/2014/main" id="{6C902471-AA89-4FD7-89D4-767E448919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8" name="Host Control  161">
          <a:extLst>
            <a:ext uri="{FF2B5EF4-FFF2-40B4-BE49-F238E27FC236}">
              <a16:creationId xmlns:a16="http://schemas.microsoft.com/office/drawing/2014/main" id="{88A3B5CD-DA3A-4864-A74D-A168B79025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9" name="Host Control  162">
          <a:extLst>
            <a:ext uri="{FF2B5EF4-FFF2-40B4-BE49-F238E27FC236}">
              <a16:creationId xmlns:a16="http://schemas.microsoft.com/office/drawing/2014/main" id="{C3747226-E2A0-4BA2-A892-43DB99BA39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0" name="Host Control  163">
          <a:extLst>
            <a:ext uri="{FF2B5EF4-FFF2-40B4-BE49-F238E27FC236}">
              <a16:creationId xmlns:a16="http://schemas.microsoft.com/office/drawing/2014/main" id="{14920C10-69B5-421D-9FB8-F2E70309486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1" name="Host Control  164">
          <a:extLst>
            <a:ext uri="{FF2B5EF4-FFF2-40B4-BE49-F238E27FC236}">
              <a16:creationId xmlns:a16="http://schemas.microsoft.com/office/drawing/2014/main" id="{E44C44E5-340A-4631-8D65-9C706C9EEF9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2" name="Host Control  168">
          <a:extLst>
            <a:ext uri="{FF2B5EF4-FFF2-40B4-BE49-F238E27FC236}">
              <a16:creationId xmlns:a16="http://schemas.microsoft.com/office/drawing/2014/main" id="{726C68FB-B471-4281-86F8-1301537B889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3" name="Host Control  169">
          <a:extLst>
            <a:ext uri="{FF2B5EF4-FFF2-40B4-BE49-F238E27FC236}">
              <a16:creationId xmlns:a16="http://schemas.microsoft.com/office/drawing/2014/main" id="{4248A179-E031-42EE-A51D-81408CFCBD5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4" name="Host Control  170">
          <a:extLst>
            <a:ext uri="{FF2B5EF4-FFF2-40B4-BE49-F238E27FC236}">
              <a16:creationId xmlns:a16="http://schemas.microsoft.com/office/drawing/2014/main" id="{1D7FC5E6-AAFF-4F5E-A385-58C32917227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5" name="Host Control  171">
          <a:extLst>
            <a:ext uri="{FF2B5EF4-FFF2-40B4-BE49-F238E27FC236}">
              <a16:creationId xmlns:a16="http://schemas.microsoft.com/office/drawing/2014/main" id="{6F05072B-64A1-45D3-B3C4-881F537433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6" name="Host Control  172">
          <a:extLst>
            <a:ext uri="{FF2B5EF4-FFF2-40B4-BE49-F238E27FC236}">
              <a16:creationId xmlns:a16="http://schemas.microsoft.com/office/drawing/2014/main" id="{34B7C111-95BF-4BAB-8FC0-316E9F879D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7" name="Host Control  173">
          <a:extLst>
            <a:ext uri="{FF2B5EF4-FFF2-40B4-BE49-F238E27FC236}">
              <a16:creationId xmlns:a16="http://schemas.microsoft.com/office/drawing/2014/main" id="{051B0DD2-F260-4621-9615-2A524D2A007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8" name="Host Control  174">
          <a:extLst>
            <a:ext uri="{FF2B5EF4-FFF2-40B4-BE49-F238E27FC236}">
              <a16:creationId xmlns:a16="http://schemas.microsoft.com/office/drawing/2014/main" id="{C3A2CCBF-0728-4E25-8AC8-BD6ABC82E9B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9" name="Host Control  175">
          <a:extLst>
            <a:ext uri="{FF2B5EF4-FFF2-40B4-BE49-F238E27FC236}">
              <a16:creationId xmlns:a16="http://schemas.microsoft.com/office/drawing/2014/main" id="{4C76EC00-8B1C-44C1-A111-5BED8A0FD2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0" name="Host Control  176">
          <a:extLst>
            <a:ext uri="{FF2B5EF4-FFF2-40B4-BE49-F238E27FC236}">
              <a16:creationId xmlns:a16="http://schemas.microsoft.com/office/drawing/2014/main" id="{C69F6678-8266-4D58-8A12-71C7D01546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1" name="Host Control  177">
          <a:extLst>
            <a:ext uri="{FF2B5EF4-FFF2-40B4-BE49-F238E27FC236}">
              <a16:creationId xmlns:a16="http://schemas.microsoft.com/office/drawing/2014/main" id="{21513E3A-BF43-4782-BE16-128481FEB0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2" name="Host Control  178">
          <a:extLst>
            <a:ext uri="{FF2B5EF4-FFF2-40B4-BE49-F238E27FC236}">
              <a16:creationId xmlns:a16="http://schemas.microsoft.com/office/drawing/2014/main" id="{E0AF837F-490B-422F-9CAF-C98BFA1BCB9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3" name="Host Control  179">
          <a:extLst>
            <a:ext uri="{FF2B5EF4-FFF2-40B4-BE49-F238E27FC236}">
              <a16:creationId xmlns:a16="http://schemas.microsoft.com/office/drawing/2014/main" id="{6CB043E3-AF1F-42F2-91D5-CDFDC24B3C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4" name="Host Control  180">
          <a:extLst>
            <a:ext uri="{FF2B5EF4-FFF2-40B4-BE49-F238E27FC236}">
              <a16:creationId xmlns:a16="http://schemas.microsoft.com/office/drawing/2014/main" id="{C349B38B-BA07-45FF-8872-95DC70D51B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5" name="Host Control  181">
          <a:extLst>
            <a:ext uri="{FF2B5EF4-FFF2-40B4-BE49-F238E27FC236}">
              <a16:creationId xmlns:a16="http://schemas.microsoft.com/office/drawing/2014/main" id="{FE054D51-6C7A-45E3-BC48-87DEA6F7F79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6" name="Host Control  182">
          <a:extLst>
            <a:ext uri="{FF2B5EF4-FFF2-40B4-BE49-F238E27FC236}">
              <a16:creationId xmlns:a16="http://schemas.microsoft.com/office/drawing/2014/main" id="{592D4D26-92B8-46C4-BD04-D92F86639C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7" name="Host Control  183">
          <a:extLst>
            <a:ext uri="{FF2B5EF4-FFF2-40B4-BE49-F238E27FC236}">
              <a16:creationId xmlns:a16="http://schemas.microsoft.com/office/drawing/2014/main" id="{D91CF905-D64C-4524-92E3-34E0CA4B24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8" name="Host Control  184">
          <a:extLst>
            <a:ext uri="{FF2B5EF4-FFF2-40B4-BE49-F238E27FC236}">
              <a16:creationId xmlns:a16="http://schemas.microsoft.com/office/drawing/2014/main" id="{171B330D-0D71-4AF6-BDBE-DBBB327265A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9" name="Host Control  185">
          <a:extLst>
            <a:ext uri="{FF2B5EF4-FFF2-40B4-BE49-F238E27FC236}">
              <a16:creationId xmlns:a16="http://schemas.microsoft.com/office/drawing/2014/main" id="{9EF2FFB6-4437-4083-9F7B-5EF1BF5788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0" name="Host Control  186">
          <a:extLst>
            <a:ext uri="{FF2B5EF4-FFF2-40B4-BE49-F238E27FC236}">
              <a16:creationId xmlns:a16="http://schemas.microsoft.com/office/drawing/2014/main" id="{B0A2E13A-7CE6-4140-8343-3D7AA18196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1" name="Host Control  187">
          <a:extLst>
            <a:ext uri="{FF2B5EF4-FFF2-40B4-BE49-F238E27FC236}">
              <a16:creationId xmlns:a16="http://schemas.microsoft.com/office/drawing/2014/main" id="{DD78C4E2-4A5D-48FD-A580-262056A6A0C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2" name="Host Control  188">
          <a:extLst>
            <a:ext uri="{FF2B5EF4-FFF2-40B4-BE49-F238E27FC236}">
              <a16:creationId xmlns:a16="http://schemas.microsoft.com/office/drawing/2014/main" id="{1EC86745-FFD4-4F07-A253-C6434A5D98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3" name="Host Control  189">
          <a:extLst>
            <a:ext uri="{FF2B5EF4-FFF2-40B4-BE49-F238E27FC236}">
              <a16:creationId xmlns:a16="http://schemas.microsoft.com/office/drawing/2014/main" id="{C5ED706F-55BE-42EC-BAE6-4C500A66B0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4" name="Host Control  190">
          <a:extLst>
            <a:ext uri="{FF2B5EF4-FFF2-40B4-BE49-F238E27FC236}">
              <a16:creationId xmlns:a16="http://schemas.microsoft.com/office/drawing/2014/main" id="{89A5C77C-EDAE-4E79-B059-F7C4112C0E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5" name="Host Control  191">
          <a:extLst>
            <a:ext uri="{FF2B5EF4-FFF2-40B4-BE49-F238E27FC236}">
              <a16:creationId xmlns:a16="http://schemas.microsoft.com/office/drawing/2014/main" id="{8EF3E8CA-F607-488D-AA75-0748B9F161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6" name="Host Control  192">
          <a:extLst>
            <a:ext uri="{FF2B5EF4-FFF2-40B4-BE49-F238E27FC236}">
              <a16:creationId xmlns:a16="http://schemas.microsoft.com/office/drawing/2014/main" id="{8FE1959A-D30F-4FD9-815B-DC1FFDC332A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7" name="Host Control  193">
          <a:extLst>
            <a:ext uri="{FF2B5EF4-FFF2-40B4-BE49-F238E27FC236}">
              <a16:creationId xmlns:a16="http://schemas.microsoft.com/office/drawing/2014/main" id="{9EF4330F-B226-49C8-B94E-4832DE904D7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8" name="Host Control  194">
          <a:extLst>
            <a:ext uri="{FF2B5EF4-FFF2-40B4-BE49-F238E27FC236}">
              <a16:creationId xmlns:a16="http://schemas.microsoft.com/office/drawing/2014/main" id="{A3A179A3-7BB7-4A32-9ECB-C4A83BBB72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9" name="Host Control  195">
          <a:extLst>
            <a:ext uri="{FF2B5EF4-FFF2-40B4-BE49-F238E27FC236}">
              <a16:creationId xmlns:a16="http://schemas.microsoft.com/office/drawing/2014/main" id="{05A801B1-C800-4F20-9300-12DBD70AF1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0" name="Host Control  196">
          <a:extLst>
            <a:ext uri="{FF2B5EF4-FFF2-40B4-BE49-F238E27FC236}">
              <a16:creationId xmlns:a16="http://schemas.microsoft.com/office/drawing/2014/main" id="{8293E5F3-5965-4739-8A1C-64927C81280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1" name="Host Control  197">
          <a:extLst>
            <a:ext uri="{FF2B5EF4-FFF2-40B4-BE49-F238E27FC236}">
              <a16:creationId xmlns:a16="http://schemas.microsoft.com/office/drawing/2014/main" id="{0B6CE0A8-2BAB-42C5-A474-CA8D71162C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2" name="Host Control  201" hidden="1">
          <a:extLst>
            <a:ext uri="{FF2B5EF4-FFF2-40B4-BE49-F238E27FC236}">
              <a16:creationId xmlns:a16="http://schemas.microsoft.com/office/drawing/2014/main" id="{37511E3E-73B0-4C4A-9980-25934B002E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3" name="Host Control  202" hidden="1">
          <a:extLst>
            <a:ext uri="{FF2B5EF4-FFF2-40B4-BE49-F238E27FC236}">
              <a16:creationId xmlns:a16="http://schemas.microsoft.com/office/drawing/2014/main" id="{8FF9694A-4DA8-4BA2-B109-943E5838AD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4" name="Host Control  203" hidden="1">
          <a:extLst>
            <a:ext uri="{FF2B5EF4-FFF2-40B4-BE49-F238E27FC236}">
              <a16:creationId xmlns:a16="http://schemas.microsoft.com/office/drawing/2014/main" id="{4A3BF61A-1A9F-4FBA-A70F-C08ADBC134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5" name="Host Control  204" hidden="1">
          <a:extLst>
            <a:ext uri="{FF2B5EF4-FFF2-40B4-BE49-F238E27FC236}">
              <a16:creationId xmlns:a16="http://schemas.microsoft.com/office/drawing/2014/main" id="{CF65BD78-D4E0-4FB6-A2EF-A07C72B846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6" name="Host Control  205" hidden="1">
          <a:extLst>
            <a:ext uri="{FF2B5EF4-FFF2-40B4-BE49-F238E27FC236}">
              <a16:creationId xmlns:a16="http://schemas.microsoft.com/office/drawing/2014/main" id="{462F76EE-8F3C-4A48-9282-A3196E375B9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7" name="Host Control  206" hidden="1">
          <a:extLst>
            <a:ext uri="{FF2B5EF4-FFF2-40B4-BE49-F238E27FC236}">
              <a16:creationId xmlns:a16="http://schemas.microsoft.com/office/drawing/2014/main" id="{34F294F9-FEE0-49EE-87DD-3C15CE5222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8" name="Host Control  207" hidden="1">
          <a:extLst>
            <a:ext uri="{FF2B5EF4-FFF2-40B4-BE49-F238E27FC236}">
              <a16:creationId xmlns:a16="http://schemas.microsoft.com/office/drawing/2014/main" id="{BB78E342-F97E-45B4-90D8-2A9E52A074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9" name="Host Control  208" hidden="1">
          <a:extLst>
            <a:ext uri="{FF2B5EF4-FFF2-40B4-BE49-F238E27FC236}">
              <a16:creationId xmlns:a16="http://schemas.microsoft.com/office/drawing/2014/main" id="{DEF37704-00EF-4014-9BD2-560E7D3B2D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0" name="Host Control  209" hidden="1">
          <a:extLst>
            <a:ext uri="{FF2B5EF4-FFF2-40B4-BE49-F238E27FC236}">
              <a16:creationId xmlns:a16="http://schemas.microsoft.com/office/drawing/2014/main" id="{0DB28788-1841-4E82-A5B8-625499173AE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1" name="Host Control  210" hidden="1">
          <a:extLst>
            <a:ext uri="{FF2B5EF4-FFF2-40B4-BE49-F238E27FC236}">
              <a16:creationId xmlns:a16="http://schemas.microsoft.com/office/drawing/2014/main" id="{A3FE2EBB-DFFF-4281-9D96-AEC4A0E74EC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2" name="Host Control  211" hidden="1">
          <a:extLst>
            <a:ext uri="{FF2B5EF4-FFF2-40B4-BE49-F238E27FC236}">
              <a16:creationId xmlns:a16="http://schemas.microsoft.com/office/drawing/2014/main" id="{0EB0FB33-A205-40D9-97F3-F39D5C8158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3" name="Host Control  212" hidden="1">
          <a:extLst>
            <a:ext uri="{FF2B5EF4-FFF2-40B4-BE49-F238E27FC236}">
              <a16:creationId xmlns:a16="http://schemas.microsoft.com/office/drawing/2014/main" id="{23EFC1CA-5F07-4319-B275-FE5C2D5DC5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4" name="Host Control  213" hidden="1">
          <a:extLst>
            <a:ext uri="{FF2B5EF4-FFF2-40B4-BE49-F238E27FC236}">
              <a16:creationId xmlns:a16="http://schemas.microsoft.com/office/drawing/2014/main" id="{57BC68F4-5857-4A18-8BA7-5100954149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5" name="Host Control  214" hidden="1">
          <a:extLst>
            <a:ext uri="{FF2B5EF4-FFF2-40B4-BE49-F238E27FC236}">
              <a16:creationId xmlns:a16="http://schemas.microsoft.com/office/drawing/2014/main" id="{2A68AD5F-E96D-4D50-9DC4-CE2C067324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6" name="Host Control  215" hidden="1">
          <a:extLst>
            <a:ext uri="{FF2B5EF4-FFF2-40B4-BE49-F238E27FC236}">
              <a16:creationId xmlns:a16="http://schemas.microsoft.com/office/drawing/2014/main" id="{A0430B03-F194-43AE-903C-194ED34B41E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7" name="Host Control  216" hidden="1">
          <a:extLst>
            <a:ext uri="{FF2B5EF4-FFF2-40B4-BE49-F238E27FC236}">
              <a16:creationId xmlns:a16="http://schemas.microsoft.com/office/drawing/2014/main" id="{07FD1B11-948E-4DBD-A5ED-A2DBBEA10E6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8" name="Host Control  217" hidden="1">
          <a:extLst>
            <a:ext uri="{FF2B5EF4-FFF2-40B4-BE49-F238E27FC236}">
              <a16:creationId xmlns:a16="http://schemas.microsoft.com/office/drawing/2014/main" id="{CE2E679C-0502-4264-9374-F2E1959FC83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9" name="Host Control  218" hidden="1">
          <a:extLst>
            <a:ext uri="{FF2B5EF4-FFF2-40B4-BE49-F238E27FC236}">
              <a16:creationId xmlns:a16="http://schemas.microsoft.com/office/drawing/2014/main" id="{363B7393-691E-4F0D-A3AF-7C64E609365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0" name="Host Control  219" hidden="1">
          <a:extLst>
            <a:ext uri="{FF2B5EF4-FFF2-40B4-BE49-F238E27FC236}">
              <a16:creationId xmlns:a16="http://schemas.microsoft.com/office/drawing/2014/main" id="{A8F7E729-7746-47C2-9FD4-1C871027AF4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1" name="Host Control  220" hidden="1">
          <a:extLst>
            <a:ext uri="{FF2B5EF4-FFF2-40B4-BE49-F238E27FC236}">
              <a16:creationId xmlns:a16="http://schemas.microsoft.com/office/drawing/2014/main" id="{E1766EAB-1887-4FA4-8AF6-B303669E24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2" name="Host Control  221" hidden="1">
          <a:extLst>
            <a:ext uri="{FF2B5EF4-FFF2-40B4-BE49-F238E27FC236}">
              <a16:creationId xmlns:a16="http://schemas.microsoft.com/office/drawing/2014/main" id="{BD449287-A906-49B4-A036-0F13D50978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3" name="Host Control  222" hidden="1">
          <a:extLst>
            <a:ext uri="{FF2B5EF4-FFF2-40B4-BE49-F238E27FC236}">
              <a16:creationId xmlns:a16="http://schemas.microsoft.com/office/drawing/2014/main" id="{6D679EB3-AADB-48D3-94E8-8C71033941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4" name="Host Control  223" hidden="1">
          <a:extLst>
            <a:ext uri="{FF2B5EF4-FFF2-40B4-BE49-F238E27FC236}">
              <a16:creationId xmlns:a16="http://schemas.microsoft.com/office/drawing/2014/main" id="{B6EC60EE-E745-406A-8E5B-AA17007B3C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5" name="Host Control  224" hidden="1">
          <a:extLst>
            <a:ext uri="{FF2B5EF4-FFF2-40B4-BE49-F238E27FC236}">
              <a16:creationId xmlns:a16="http://schemas.microsoft.com/office/drawing/2014/main" id="{10A67C65-8CBD-43D0-8132-CBF7253E92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6" name="Host Control  225" hidden="1">
          <a:extLst>
            <a:ext uri="{FF2B5EF4-FFF2-40B4-BE49-F238E27FC236}">
              <a16:creationId xmlns:a16="http://schemas.microsoft.com/office/drawing/2014/main" id="{9ABDD4E4-A0BF-4496-AE01-97377A4C98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7" name="Host Control  226" hidden="1">
          <a:extLst>
            <a:ext uri="{FF2B5EF4-FFF2-40B4-BE49-F238E27FC236}">
              <a16:creationId xmlns:a16="http://schemas.microsoft.com/office/drawing/2014/main" id="{AABB9A22-4294-4CD7-810E-8D0CC1CFDA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8" name="Host Control  227" hidden="1">
          <a:extLst>
            <a:ext uri="{FF2B5EF4-FFF2-40B4-BE49-F238E27FC236}">
              <a16:creationId xmlns:a16="http://schemas.microsoft.com/office/drawing/2014/main" id="{73564694-CE7C-4A1A-937A-3E13AE644C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9" name="Host Control  228" hidden="1">
          <a:extLst>
            <a:ext uri="{FF2B5EF4-FFF2-40B4-BE49-F238E27FC236}">
              <a16:creationId xmlns:a16="http://schemas.microsoft.com/office/drawing/2014/main" id="{1BB57400-A7C1-4DCA-972A-65AEE81728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0" name="Host Control  229" hidden="1">
          <a:extLst>
            <a:ext uri="{FF2B5EF4-FFF2-40B4-BE49-F238E27FC236}">
              <a16:creationId xmlns:a16="http://schemas.microsoft.com/office/drawing/2014/main" id="{566C413B-4215-4396-BE7E-058C086181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1" name="Host Control  230" hidden="1">
          <a:extLst>
            <a:ext uri="{FF2B5EF4-FFF2-40B4-BE49-F238E27FC236}">
              <a16:creationId xmlns:a16="http://schemas.microsoft.com/office/drawing/2014/main" id="{17F113D4-E5EC-4986-BE45-DE5D0610D08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2" name="Host Control  234" hidden="1">
          <a:extLst>
            <a:ext uri="{FF2B5EF4-FFF2-40B4-BE49-F238E27FC236}">
              <a16:creationId xmlns:a16="http://schemas.microsoft.com/office/drawing/2014/main" id="{6C33A5B1-152E-44B1-AF16-61B80C8C0A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3" name="Host Control  235" hidden="1">
          <a:extLst>
            <a:ext uri="{FF2B5EF4-FFF2-40B4-BE49-F238E27FC236}">
              <a16:creationId xmlns:a16="http://schemas.microsoft.com/office/drawing/2014/main" id="{BC7FAC1C-613A-427E-A4D9-F3CEE8FE26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4" name="Host Control  236" hidden="1">
          <a:extLst>
            <a:ext uri="{FF2B5EF4-FFF2-40B4-BE49-F238E27FC236}">
              <a16:creationId xmlns:a16="http://schemas.microsoft.com/office/drawing/2014/main" id="{2C4615BC-BE20-4283-8851-87124CD0D7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5" name="Host Control  237" hidden="1">
          <a:extLst>
            <a:ext uri="{FF2B5EF4-FFF2-40B4-BE49-F238E27FC236}">
              <a16:creationId xmlns:a16="http://schemas.microsoft.com/office/drawing/2014/main" id="{76590E1E-52FF-4290-9610-A14C0B650B0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6" name="Host Control  238" hidden="1">
          <a:extLst>
            <a:ext uri="{FF2B5EF4-FFF2-40B4-BE49-F238E27FC236}">
              <a16:creationId xmlns:a16="http://schemas.microsoft.com/office/drawing/2014/main" id="{5FF2C4AB-DD07-4A3E-B66D-B52BE71F6DC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7" name="Host Control  239" hidden="1">
          <a:extLst>
            <a:ext uri="{FF2B5EF4-FFF2-40B4-BE49-F238E27FC236}">
              <a16:creationId xmlns:a16="http://schemas.microsoft.com/office/drawing/2014/main" id="{F2375B24-01CB-49F4-BAEA-380CFE59A39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8" name="Host Control  240" hidden="1">
          <a:extLst>
            <a:ext uri="{FF2B5EF4-FFF2-40B4-BE49-F238E27FC236}">
              <a16:creationId xmlns:a16="http://schemas.microsoft.com/office/drawing/2014/main" id="{2A0DF2E3-AB7D-4C7A-9064-DB2DF585769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9" name="Host Control  241" hidden="1">
          <a:extLst>
            <a:ext uri="{FF2B5EF4-FFF2-40B4-BE49-F238E27FC236}">
              <a16:creationId xmlns:a16="http://schemas.microsoft.com/office/drawing/2014/main" id="{02AF4FAA-5D1E-4B99-86E6-CD7C498AAEB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0" name="Host Control  242" hidden="1">
          <a:extLst>
            <a:ext uri="{FF2B5EF4-FFF2-40B4-BE49-F238E27FC236}">
              <a16:creationId xmlns:a16="http://schemas.microsoft.com/office/drawing/2014/main" id="{9BC0CC30-8F30-4729-A1A7-0FD7CCAB684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1" name="Host Control  243" hidden="1">
          <a:extLst>
            <a:ext uri="{FF2B5EF4-FFF2-40B4-BE49-F238E27FC236}">
              <a16:creationId xmlns:a16="http://schemas.microsoft.com/office/drawing/2014/main" id="{3850C45B-55DC-4D66-99CA-B43328278E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2" name="Host Control  244" hidden="1">
          <a:extLst>
            <a:ext uri="{FF2B5EF4-FFF2-40B4-BE49-F238E27FC236}">
              <a16:creationId xmlns:a16="http://schemas.microsoft.com/office/drawing/2014/main" id="{0EDAE4D8-E2CF-41EC-8848-9E2AF0546A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3" name="Host Control  245" hidden="1">
          <a:extLst>
            <a:ext uri="{FF2B5EF4-FFF2-40B4-BE49-F238E27FC236}">
              <a16:creationId xmlns:a16="http://schemas.microsoft.com/office/drawing/2014/main" id="{4D34E9EC-01E1-4C68-97BC-BD472E3287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4" name="Host Control  246" hidden="1">
          <a:extLst>
            <a:ext uri="{FF2B5EF4-FFF2-40B4-BE49-F238E27FC236}">
              <a16:creationId xmlns:a16="http://schemas.microsoft.com/office/drawing/2014/main" id="{6D2C07C0-932C-4DFB-A4DA-BEAA6836AB9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5" name="Host Control  247" hidden="1">
          <a:extLst>
            <a:ext uri="{FF2B5EF4-FFF2-40B4-BE49-F238E27FC236}">
              <a16:creationId xmlns:a16="http://schemas.microsoft.com/office/drawing/2014/main" id="{98CD5006-77D4-496F-A566-F831901F65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6" name="Host Control  248" hidden="1">
          <a:extLst>
            <a:ext uri="{FF2B5EF4-FFF2-40B4-BE49-F238E27FC236}">
              <a16:creationId xmlns:a16="http://schemas.microsoft.com/office/drawing/2014/main" id="{701CE496-A3C3-48AA-BC43-57B9AD2D9E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7" name="Host Control  249" hidden="1">
          <a:extLst>
            <a:ext uri="{FF2B5EF4-FFF2-40B4-BE49-F238E27FC236}">
              <a16:creationId xmlns:a16="http://schemas.microsoft.com/office/drawing/2014/main" id="{A68645F9-DA31-42B3-B4A1-AD9078D0C0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8" name="Host Control  250" hidden="1">
          <a:extLst>
            <a:ext uri="{FF2B5EF4-FFF2-40B4-BE49-F238E27FC236}">
              <a16:creationId xmlns:a16="http://schemas.microsoft.com/office/drawing/2014/main" id="{5A9D3A05-1CBD-4A96-B713-B244F3C5171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9" name="Host Control  251" hidden="1">
          <a:extLst>
            <a:ext uri="{FF2B5EF4-FFF2-40B4-BE49-F238E27FC236}">
              <a16:creationId xmlns:a16="http://schemas.microsoft.com/office/drawing/2014/main" id="{22F42D0B-4400-477B-833A-53FEB5F900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0" name="Host Control  252" hidden="1">
          <a:extLst>
            <a:ext uri="{FF2B5EF4-FFF2-40B4-BE49-F238E27FC236}">
              <a16:creationId xmlns:a16="http://schemas.microsoft.com/office/drawing/2014/main" id="{ABF15272-28F2-4AC5-B26A-10CF2CEE7D3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1" name="Host Control  253" hidden="1">
          <a:extLst>
            <a:ext uri="{FF2B5EF4-FFF2-40B4-BE49-F238E27FC236}">
              <a16:creationId xmlns:a16="http://schemas.microsoft.com/office/drawing/2014/main" id="{7B62EE1F-A0D4-4313-9FF6-556B1B1D162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2" name="Host Control  254" hidden="1">
          <a:extLst>
            <a:ext uri="{FF2B5EF4-FFF2-40B4-BE49-F238E27FC236}">
              <a16:creationId xmlns:a16="http://schemas.microsoft.com/office/drawing/2014/main" id="{F97E9912-7A4C-411A-A5E7-36D1EB3305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3" name="Host Control  255" hidden="1">
          <a:extLst>
            <a:ext uri="{FF2B5EF4-FFF2-40B4-BE49-F238E27FC236}">
              <a16:creationId xmlns:a16="http://schemas.microsoft.com/office/drawing/2014/main" id="{C9EBEBC5-A85A-4449-A4F0-BB5D87C9DC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4" name="Host Control  256" hidden="1">
          <a:extLst>
            <a:ext uri="{FF2B5EF4-FFF2-40B4-BE49-F238E27FC236}">
              <a16:creationId xmlns:a16="http://schemas.microsoft.com/office/drawing/2014/main" id="{4C2941F5-3E41-403D-ADC0-E9D0A7F535A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5" name="Host Control  257" hidden="1">
          <a:extLst>
            <a:ext uri="{FF2B5EF4-FFF2-40B4-BE49-F238E27FC236}">
              <a16:creationId xmlns:a16="http://schemas.microsoft.com/office/drawing/2014/main" id="{A0DFC5BA-8209-4150-9541-D80721AA3F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6" name="Host Control  258" hidden="1">
          <a:extLst>
            <a:ext uri="{FF2B5EF4-FFF2-40B4-BE49-F238E27FC236}">
              <a16:creationId xmlns:a16="http://schemas.microsoft.com/office/drawing/2014/main" id="{9579F5E2-F139-43D0-9967-68D4DE4D05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7" name="Host Control  259" hidden="1">
          <a:extLst>
            <a:ext uri="{FF2B5EF4-FFF2-40B4-BE49-F238E27FC236}">
              <a16:creationId xmlns:a16="http://schemas.microsoft.com/office/drawing/2014/main" id="{8A484F42-FF65-4459-A9D9-306691C837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8" name="Host Control  260" hidden="1">
          <a:extLst>
            <a:ext uri="{FF2B5EF4-FFF2-40B4-BE49-F238E27FC236}">
              <a16:creationId xmlns:a16="http://schemas.microsoft.com/office/drawing/2014/main" id="{D23BA911-2337-42E5-B39F-7A7C071989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9" name="Host Control  261" hidden="1">
          <a:extLst>
            <a:ext uri="{FF2B5EF4-FFF2-40B4-BE49-F238E27FC236}">
              <a16:creationId xmlns:a16="http://schemas.microsoft.com/office/drawing/2014/main" id="{AE01F8A5-CCDF-40B1-9A7C-8DE21DECB3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0" name="Host Control  262" hidden="1">
          <a:extLst>
            <a:ext uri="{FF2B5EF4-FFF2-40B4-BE49-F238E27FC236}">
              <a16:creationId xmlns:a16="http://schemas.microsoft.com/office/drawing/2014/main" id="{30A7D974-7620-481C-B78D-FC199D1382A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1" name="Host Control  263" hidden="1">
          <a:extLst>
            <a:ext uri="{FF2B5EF4-FFF2-40B4-BE49-F238E27FC236}">
              <a16:creationId xmlns:a16="http://schemas.microsoft.com/office/drawing/2014/main" id="{33579D1B-2ED9-43BF-90D3-81B07E154B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2" name="Host Control  267" hidden="1">
          <a:extLst>
            <a:ext uri="{FF2B5EF4-FFF2-40B4-BE49-F238E27FC236}">
              <a16:creationId xmlns:a16="http://schemas.microsoft.com/office/drawing/2014/main" id="{8C32FA43-6F2C-4CE6-9983-736B2DE31A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3" name="Host Control  268" hidden="1">
          <a:extLst>
            <a:ext uri="{FF2B5EF4-FFF2-40B4-BE49-F238E27FC236}">
              <a16:creationId xmlns:a16="http://schemas.microsoft.com/office/drawing/2014/main" id="{88A17EC3-BA35-44C5-B819-FE27BF77ED2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4" name="Host Control  269" hidden="1">
          <a:extLst>
            <a:ext uri="{FF2B5EF4-FFF2-40B4-BE49-F238E27FC236}">
              <a16:creationId xmlns:a16="http://schemas.microsoft.com/office/drawing/2014/main" id="{5172F4CE-C3CE-4DEE-AFB3-309AB88A25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5" name="Host Control  270" hidden="1">
          <a:extLst>
            <a:ext uri="{FF2B5EF4-FFF2-40B4-BE49-F238E27FC236}">
              <a16:creationId xmlns:a16="http://schemas.microsoft.com/office/drawing/2014/main" id="{209F7A6B-7094-4BA0-A01A-2651E9A61B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6" name="Host Control  271" hidden="1">
          <a:extLst>
            <a:ext uri="{FF2B5EF4-FFF2-40B4-BE49-F238E27FC236}">
              <a16:creationId xmlns:a16="http://schemas.microsoft.com/office/drawing/2014/main" id="{1F356E6C-41E5-4648-B315-022C931D27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7" name="Host Control  272" hidden="1">
          <a:extLst>
            <a:ext uri="{FF2B5EF4-FFF2-40B4-BE49-F238E27FC236}">
              <a16:creationId xmlns:a16="http://schemas.microsoft.com/office/drawing/2014/main" id="{17535B98-53BC-41A6-8706-7143C40BF0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8" name="Host Control  273" hidden="1">
          <a:extLst>
            <a:ext uri="{FF2B5EF4-FFF2-40B4-BE49-F238E27FC236}">
              <a16:creationId xmlns:a16="http://schemas.microsoft.com/office/drawing/2014/main" id="{1F3F821A-351C-4FEF-A8EB-95822263FD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9" name="Host Control  274" hidden="1">
          <a:extLst>
            <a:ext uri="{FF2B5EF4-FFF2-40B4-BE49-F238E27FC236}">
              <a16:creationId xmlns:a16="http://schemas.microsoft.com/office/drawing/2014/main" id="{57AE6C0D-E560-44F2-8A2B-DC59F66E9FA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0" name="Host Control  275" hidden="1">
          <a:extLst>
            <a:ext uri="{FF2B5EF4-FFF2-40B4-BE49-F238E27FC236}">
              <a16:creationId xmlns:a16="http://schemas.microsoft.com/office/drawing/2014/main" id="{AB840AC7-2F73-41D0-A7FF-6B55E27D84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1" name="Host Control  276" hidden="1">
          <a:extLst>
            <a:ext uri="{FF2B5EF4-FFF2-40B4-BE49-F238E27FC236}">
              <a16:creationId xmlns:a16="http://schemas.microsoft.com/office/drawing/2014/main" id="{9834B16C-8BCC-4DB3-ABF5-6303F7B3D6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2" name="Host Control  277" hidden="1">
          <a:extLst>
            <a:ext uri="{FF2B5EF4-FFF2-40B4-BE49-F238E27FC236}">
              <a16:creationId xmlns:a16="http://schemas.microsoft.com/office/drawing/2014/main" id="{5D4F6DA0-2A7E-4672-A7D4-280BB72891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3" name="Host Control  278" hidden="1">
          <a:extLst>
            <a:ext uri="{FF2B5EF4-FFF2-40B4-BE49-F238E27FC236}">
              <a16:creationId xmlns:a16="http://schemas.microsoft.com/office/drawing/2014/main" id="{7F5E187B-047C-46CD-A066-351F221992B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4" name="Host Control  279" hidden="1">
          <a:extLst>
            <a:ext uri="{FF2B5EF4-FFF2-40B4-BE49-F238E27FC236}">
              <a16:creationId xmlns:a16="http://schemas.microsoft.com/office/drawing/2014/main" id="{DACCA1E7-DFA8-4D82-824A-D3083BCD528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5" name="Host Control  280" hidden="1">
          <a:extLst>
            <a:ext uri="{FF2B5EF4-FFF2-40B4-BE49-F238E27FC236}">
              <a16:creationId xmlns:a16="http://schemas.microsoft.com/office/drawing/2014/main" id="{31071CFA-D56D-46AB-9CC2-AA77391C1D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6" name="Host Control  281" hidden="1">
          <a:extLst>
            <a:ext uri="{FF2B5EF4-FFF2-40B4-BE49-F238E27FC236}">
              <a16:creationId xmlns:a16="http://schemas.microsoft.com/office/drawing/2014/main" id="{8D287F20-A2E5-4FBB-BC31-E62EF1AE15F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7" name="Host Control  282" hidden="1">
          <a:extLst>
            <a:ext uri="{FF2B5EF4-FFF2-40B4-BE49-F238E27FC236}">
              <a16:creationId xmlns:a16="http://schemas.microsoft.com/office/drawing/2014/main" id="{F93CF8CB-7038-422D-B53B-2641A08541B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8" name="Host Control  283" hidden="1">
          <a:extLst>
            <a:ext uri="{FF2B5EF4-FFF2-40B4-BE49-F238E27FC236}">
              <a16:creationId xmlns:a16="http://schemas.microsoft.com/office/drawing/2014/main" id="{E663383A-CAE5-4B18-9E64-2661D05EFA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9" name="Host Control  284" hidden="1">
          <a:extLst>
            <a:ext uri="{FF2B5EF4-FFF2-40B4-BE49-F238E27FC236}">
              <a16:creationId xmlns:a16="http://schemas.microsoft.com/office/drawing/2014/main" id="{F4C42310-2E0F-4468-9CC3-B5E282CFB47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0" name="Host Control  285" hidden="1">
          <a:extLst>
            <a:ext uri="{FF2B5EF4-FFF2-40B4-BE49-F238E27FC236}">
              <a16:creationId xmlns:a16="http://schemas.microsoft.com/office/drawing/2014/main" id="{FE077359-ECE9-4440-8B42-EB8A7E0D5D8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1" name="Host Control  286" hidden="1">
          <a:extLst>
            <a:ext uri="{FF2B5EF4-FFF2-40B4-BE49-F238E27FC236}">
              <a16:creationId xmlns:a16="http://schemas.microsoft.com/office/drawing/2014/main" id="{628D1EF4-CA31-4439-978D-204BBE5263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2" name="Host Control  287" hidden="1">
          <a:extLst>
            <a:ext uri="{FF2B5EF4-FFF2-40B4-BE49-F238E27FC236}">
              <a16:creationId xmlns:a16="http://schemas.microsoft.com/office/drawing/2014/main" id="{DB18F974-9EE5-4F00-BA94-79131AA5C6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3" name="Host Control  288" hidden="1">
          <a:extLst>
            <a:ext uri="{FF2B5EF4-FFF2-40B4-BE49-F238E27FC236}">
              <a16:creationId xmlns:a16="http://schemas.microsoft.com/office/drawing/2014/main" id="{9E0C30B4-7834-4177-88EE-314AABDB73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4" name="Host Control  289" hidden="1">
          <a:extLst>
            <a:ext uri="{FF2B5EF4-FFF2-40B4-BE49-F238E27FC236}">
              <a16:creationId xmlns:a16="http://schemas.microsoft.com/office/drawing/2014/main" id="{6317B57F-F2AB-47B7-B676-A8C91B1858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5" name="Host Control  290" hidden="1">
          <a:extLst>
            <a:ext uri="{FF2B5EF4-FFF2-40B4-BE49-F238E27FC236}">
              <a16:creationId xmlns:a16="http://schemas.microsoft.com/office/drawing/2014/main" id="{9D179226-32BE-4C1D-9965-C4FED1A9723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6" name="Host Control  291" hidden="1">
          <a:extLst>
            <a:ext uri="{FF2B5EF4-FFF2-40B4-BE49-F238E27FC236}">
              <a16:creationId xmlns:a16="http://schemas.microsoft.com/office/drawing/2014/main" id="{1B4F5568-1C08-4D74-8C7F-B299CB506E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7" name="Host Control  292" hidden="1">
          <a:extLst>
            <a:ext uri="{FF2B5EF4-FFF2-40B4-BE49-F238E27FC236}">
              <a16:creationId xmlns:a16="http://schemas.microsoft.com/office/drawing/2014/main" id="{659FCA23-BD68-4A50-B09E-967A799C95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8" name="Host Control  293" hidden="1">
          <a:extLst>
            <a:ext uri="{FF2B5EF4-FFF2-40B4-BE49-F238E27FC236}">
              <a16:creationId xmlns:a16="http://schemas.microsoft.com/office/drawing/2014/main" id="{7A5CC706-125B-46FC-92AA-784014869C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9" name="Host Control  294" hidden="1">
          <a:extLst>
            <a:ext uri="{FF2B5EF4-FFF2-40B4-BE49-F238E27FC236}">
              <a16:creationId xmlns:a16="http://schemas.microsoft.com/office/drawing/2014/main" id="{9EEE30A7-63BE-4EFC-B485-6EAF2F8449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0" name="Host Control  295" hidden="1">
          <a:extLst>
            <a:ext uri="{FF2B5EF4-FFF2-40B4-BE49-F238E27FC236}">
              <a16:creationId xmlns:a16="http://schemas.microsoft.com/office/drawing/2014/main" id="{4F2FE1BE-4F75-4C1A-84C6-365FAD8666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1" name="Host Control  296" hidden="1">
          <a:extLst>
            <a:ext uri="{FF2B5EF4-FFF2-40B4-BE49-F238E27FC236}">
              <a16:creationId xmlns:a16="http://schemas.microsoft.com/office/drawing/2014/main" id="{8EC036D4-D165-4459-B110-2ACC6124A2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2" name="Host Control  483" hidden="1">
          <a:extLst>
            <a:ext uri="{FF2B5EF4-FFF2-40B4-BE49-F238E27FC236}">
              <a16:creationId xmlns:a16="http://schemas.microsoft.com/office/drawing/2014/main" id="{1E27E2C2-05D7-4842-A2B9-4F4FD37F0590}"/>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3" name="Host Control  484" hidden="1">
          <a:extLst>
            <a:ext uri="{FF2B5EF4-FFF2-40B4-BE49-F238E27FC236}">
              <a16:creationId xmlns:a16="http://schemas.microsoft.com/office/drawing/2014/main" id="{70525229-8369-46FE-9942-AE631C4AFEF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4" name="Host Control  485" hidden="1">
          <a:extLst>
            <a:ext uri="{FF2B5EF4-FFF2-40B4-BE49-F238E27FC236}">
              <a16:creationId xmlns:a16="http://schemas.microsoft.com/office/drawing/2014/main" id="{308FC79E-2475-4BF4-A2C7-EF4E146A3D2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5" name="Host Control  486" hidden="1">
          <a:extLst>
            <a:ext uri="{FF2B5EF4-FFF2-40B4-BE49-F238E27FC236}">
              <a16:creationId xmlns:a16="http://schemas.microsoft.com/office/drawing/2014/main" id="{90CAEFC8-E71A-487A-90E5-4E56345862C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6" name="Host Control  487" hidden="1">
          <a:extLst>
            <a:ext uri="{FF2B5EF4-FFF2-40B4-BE49-F238E27FC236}">
              <a16:creationId xmlns:a16="http://schemas.microsoft.com/office/drawing/2014/main" id="{0D8FFD92-4469-422E-9869-F0C7CA03DB6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7" name="Host Control  488" hidden="1">
          <a:extLst>
            <a:ext uri="{FF2B5EF4-FFF2-40B4-BE49-F238E27FC236}">
              <a16:creationId xmlns:a16="http://schemas.microsoft.com/office/drawing/2014/main" id="{70F7B71E-1DAE-43C2-A7AC-7523DEBE262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8" name="Host Control  489" hidden="1">
          <a:extLst>
            <a:ext uri="{FF2B5EF4-FFF2-40B4-BE49-F238E27FC236}">
              <a16:creationId xmlns:a16="http://schemas.microsoft.com/office/drawing/2014/main" id="{9EEC0B11-887B-41D2-A421-FBEE71BF7FA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9" name="Host Control  490" hidden="1">
          <a:extLst>
            <a:ext uri="{FF2B5EF4-FFF2-40B4-BE49-F238E27FC236}">
              <a16:creationId xmlns:a16="http://schemas.microsoft.com/office/drawing/2014/main" id="{345AAE0A-0413-426A-B470-9A965DE4695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0" name="Host Control  491" hidden="1">
          <a:extLst>
            <a:ext uri="{FF2B5EF4-FFF2-40B4-BE49-F238E27FC236}">
              <a16:creationId xmlns:a16="http://schemas.microsoft.com/office/drawing/2014/main" id="{1828F2FB-9622-43B0-9A64-E65C81F7A642}"/>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1" name="Host Control  492" hidden="1">
          <a:extLst>
            <a:ext uri="{FF2B5EF4-FFF2-40B4-BE49-F238E27FC236}">
              <a16:creationId xmlns:a16="http://schemas.microsoft.com/office/drawing/2014/main" id="{30BE5AAA-DA9D-4B38-9296-26DD2D0FD79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2" name="Host Control  493" hidden="1">
          <a:extLst>
            <a:ext uri="{FF2B5EF4-FFF2-40B4-BE49-F238E27FC236}">
              <a16:creationId xmlns:a16="http://schemas.microsoft.com/office/drawing/2014/main" id="{64A373E7-E986-4EA2-B009-E13BB5B37F0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3" name="Host Control  494" hidden="1">
          <a:extLst>
            <a:ext uri="{FF2B5EF4-FFF2-40B4-BE49-F238E27FC236}">
              <a16:creationId xmlns:a16="http://schemas.microsoft.com/office/drawing/2014/main" id="{633F9679-B8A5-4E8A-AEAB-5E892D80BAD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4" name="Host Control  495" hidden="1">
          <a:extLst>
            <a:ext uri="{FF2B5EF4-FFF2-40B4-BE49-F238E27FC236}">
              <a16:creationId xmlns:a16="http://schemas.microsoft.com/office/drawing/2014/main" id="{A011621B-25F3-4593-BF6A-93BB6FD14E4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5" name="Host Control  496" hidden="1">
          <a:extLst>
            <a:ext uri="{FF2B5EF4-FFF2-40B4-BE49-F238E27FC236}">
              <a16:creationId xmlns:a16="http://schemas.microsoft.com/office/drawing/2014/main" id="{657A0EC9-161A-4752-A1BA-482DABB64637}"/>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6" name="Host Control  497" hidden="1">
          <a:extLst>
            <a:ext uri="{FF2B5EF4-FFF2-40B4-BE49-F238E27FC236}">
              <a16:creationId xmlns:a16="http://schemas.microsoft.com/office/drawing/2014/main" id="{5630094B-FA04-46CC-9957-828FA7EF4122}"/>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7" name="Host Control  498" hidden="1">
          <a:extLst>
            <a:ext uri="{FF2B5EF4-FFF2-40B4-BE49-F238E27FC236}">
              <a16:creationId xmlns:a16="http://schemas.microsoft.com/office/drawing/2014/main" id="{A7AB7721-F5C0-4689-BB2E-59E4AD0E4D4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8" name="Host Control  499" hidden="1">
          <a:extLst>
            <a:ext uri="{FF2B5EF4-FFF2-40B4-BE49-F238E27FC236}">
              <a16:creationId xmlns:a16="http://schemas.microsoft.com/office/drawing/2014/main" id="{070CDDE4-DD71-46F7-A9BA-C3385F939F0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9" name="Host Control  500" hidden="1">
          <a:extLst>
            <a:ext uri="{FF2B5EF4-FFF2-40B4-BE49-F238E27FC236}">
              <a16:creationId xmlns:a16="http://schemas.microsoft.com/office/drawing/2014/main" id="{8E2391B6-E21C-43DC-A072-01092C3DF19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0" name="Host Control  501" hidden="1">
          <a:extLst>
            <a:ext uri="{FF2B5EF4-FFF2-40B4-BE49-F238E27FC236}">
              <a16:creationId xmlns:a16="http://schemas.microsoft.com/office/drawing/2014/main" id="{925E36B2-CD8D-4753-9558-F4E1B8B0DFF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1" name="Host Control  502" hidden="1">
          <a:extLst>
            <a:ext uri="{FF2B5EF4-FFF2-40B4-BE49-F238E27FC236}">
              <a16:creationId xmlns:a16="http://schemas.microsoft.com/office/drawing/2014/main" id="{8B2F0781-FA26-4B7F-BAD8-B2651ABC0059}"/>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2" name="Host Control  503" hidden="1">
          <a:extLst>
            <a:ext uri="{FF2B5EF4-FFF2-40B4-BE49-F238E27FC236}">
              <a16:creationId xmlns:a16="http://schemas.microsoft.com/office/drawing/2014/main" id="{965BC9AE-9B34-4F0E-9E6A-34F84598ED3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3" name="Host Control  504" hidden="1">
          <a:extLst>
            <a:ext uri="{FF2B5EF4-FFF2-40B4-BE49-F238E27FC236}">
              <a16:creationId xmlns:a16="http://schemas.microsoft.com/office/drawing/2014/main" id="{B6ADDF26-18A6-494B-8F1E-BC6770929D2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4" name="Host Control  505" hidden="1">
          <a:extLst>
            <a:ext uri="{FF2B5EF4-FFF2-40B4-BE49-F238E27FC236}">
              <a16:creationId xmlns:a16="http://schemas.microsoft.com/office/drawing/2014/main" id="{DDDBF0F3-09FD-49EC-99EE-385343CBEB6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5" name="Host Control  506" hidden="1">
          <a:extLst>
            <a:ext uri="{FF2B5EF4-FFF2-40B4-BE49-F238E27FC236}">
              <a16:creationId xmlns:a16="http://schemas.microsoft.com/office/drawing/2014/main" id="{23FE0A12-8E4A-435B-BF0F-B442718C84E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6" name="Host Control  507" hidden="1">
          <a:extLst>
            <a:ext uri="{FF2B5EF4-FFF2-40B4-BE49-F238E27FC236}">
              <a16:creationId xmlns:a16="http://schemas.microsoft.com/office/drawing/2014/main" id="{88CA038D-C6F5-4F6E-BD45-723BA5771F7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7" name="Host Control  508" hidden="1">
          <a:extLst>
            <a:ext uri="{FF2B5EF4-FFF2-40B4-BE49-F238E27FC236}">
              <a16:creationId xmlns:a16="http://schemas.microsoft.com/office/drawing/2014/main" id="{F7801702-1B46-4882-A031-1F081764169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8" name="Host Control  509" hidden="1">
          <a:extLst>
            <a:ext uri="{FF2B5EF4-FFF2-40B4-BE49-F238E27FC236}">
              <a16:creationId xmlns:a16="http://schemas.microsoft.com/office/drawing/2014/main" id="{B2D0AF38-ABA1-4888-B5B5-2603742C4D7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9" name="Host Control  510" hidden="1">
          <a:extLst>
            <a:ext uri="{FF2B5EF4-FFF2-40B4-BE49-F238E27FC236}">
              <a16:creationId xmlns:a16="http://schemas.microsoft.com/office/drawing/2014/main" id="{EF9F0A00-BD05-4D4A-81AB-E3DD4E649EF0}"/>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90" name="Host Control  511" hidden="1">
          <a:extLst>
            <a:ext uri="{FF2B5EF4-FFF2-40B4-BE49-F238E27FC236}">
              <a16:creationId xmlns:a16="http://schemas.microsoft.com/office/drawing/2014/main" id="{458C98B4-DD3B-45BF-AE22-EB5910B7C41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91" name="Host Control  512" hidden="1">
          <a:extLst>
            <a:ext uri="{FF2B5EF4-FFF2-40B4-BE49-F238E27FC236}">
              <a16:creationId xmlns:a16="http://schemas.microsoft.com/office/drawing/2014/main" id="{E746D7AE-8748-4340-A6CE-17F1407EE5F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2248535" cy="304800"/>
    <xdr:sp macro="" textlink="">
      <xdr:nvSpPr>
        <xdr:cNvPr id="3792" name="Host Control  517" hidden="1">
          <a:extLst>
            <a:ext uri="{FF2B5EF4-FFF2-40B4-BE49-F238E27FC236}">
              <a16:creationId xmlns:a16="http://schemas.microsoft.com/office/drawing/2014/main" id="{082A4701-A2EF-4BE1-A6BF-078DC1D74DD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3" name="Host Control  518" hidden="1">
          <a:extLst>
            <a:ext uri="{FF2B5EF4-FFF2-40B4-BE49-F238E27FC236}">
              <a16:creationId xmlns:a16="http://schemas.microsoft.com/office/drawing/2014/main" id="{D6FB3F72-1408-4FA9-8D6E-4EE4280434A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4" name="Host Control  519" hidden="1">
          <a:extLst>
            <a:ext uri="{FF2B5EF4-FFF2-40B4-BE49-F238E27FC236}">
              <a16:creationId xmlns:a16="http://schemas.microsoft.com/office/drawing/2014/main" id="{33E69D22-E024-4AC6-8AF9-84A74F67D22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5" name="Host Control  520" hidden="1">
          <a:extLst>
            <a:ext uri="{FF2B5EF4-FFF2-40B4-BE49-F238E27FC236}">
              <a16:creationId xmlns:a16="http://schemas.microsoft.com/office/drawing/2014/main" id="{3483D581-9F58-4760-BE8B-352D2B0DB1B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6" name="Host Control  521" hidden="1">
          <a:extLst>
            <a:ext uri="{FF2B5EF4-FFF2-40B4-BE49-F238E27FC236}">
              <a16:creationId xmlns:a16="http://schemas.microsoft.com/office/drawing/2014/main" id="{EC9E6DEA-D2B8-46CB-94EA-7FA8EDCE804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7" name="Host Control  522" hidden="1">
          <a:extLst>
            <a:ext uri="{FF2B5EF4-FFF2-40B4-BE49-F238E27FC236}">
              <a16:creationId xmlns:a16="http://schemas.microsoft.com/office/drawing/2014/main" id="{8CBEA711-8007-4181-ADD1-75BC549BED7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8" name="Host Control  523" hidden="1">
          <a:extLst>
            <a:ext uri="{FF2B5EF4-FFF2-40B4-BE49-F238E27FC236}">
              <a16:creationId xmlns:a16="http://schemas.microsoft.com/office/drawing/2014/main" id="{9AC2DF2B-BE69-45FF-8593-CB843F77D2C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9" name="Host Control  524" hidden="1">
          <a:extLst>
            <a:ext uri="{FF2B5EF4-FFF2-40B4-BE49-F238E27FC236}">
              <a16:creationId xmlns:a16="http://schemas.microsoft.com/office/drawing/2014/main" id="{F5DAD9FE-0651-425B-AAA3-902F70D5B7E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0" name="Host Control  525" hidden="1">
          <a:extLst>
            <a:ext uri="{FF2B5EF4-FFF2-40B4-BE49-F238E27FC236}">
              <a16:creationId xmlns:a16="http://schemas.microsoft.com/office/drawing/2014/main" id="{E23EB5BA-A4D0-4E91-97E4-6716063B2C4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1" name="Host Control  526" hidden="1">
          <a:extLst>
            <a:ext uri="{FF2B5EF4-FFF2-40B4-BE49-F238E27FC236}">
              <a16:creationId xmlns:a16="http://schemas.microsoft.com/office/drawing/2014/main" id="{5AC24226-D71B-421D-ACF9-35B6CDC269A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2" name="Host Control  527" hidden="1">
          <a:extLst>
            <a:ext uri="{FF2B5EF4-FFF2-40B4-BE49-F238E27FC236}">
              <a16:creationId xmlns:a16="http://schemas.microsoft.com/office/drawing/2014/main" id="{BE8ED0A8-4428-4941-ACF8-B21ED12A8A7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3" name="Host Control  528" hidden="1">
          <a:extLst>
            <a:ext uri="{FF2B5EF4-FFF2-40B4-BE49-F238E27FC236}">
              <a16:creationId xmlns:a16="http://schemas.microsoft.com/office/drawing/2014/main" id="{8CBC4A72-1A36-4883-891E-66E9E72B7AE4}"/>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4" name="Host Control  529" hidden="1">
          <a:extLst>
            <a:ext uri="{FF2B5EF4-FFF2-40B4-BE49-F238E27FC236}">
              <a16:creationId xmlns:a16="http://schemas.microsoft.com/office/drawing/2014/main" id="{3189A140-4C87-4384-BEE6-8867D68212C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5" name="Host Control  530" hidden="1">
          <a:extLst>
            <a:ext uri="{FF2B5EF4-FFF2-40B4-BE49-F238E27FC236}">
              <a16:creationId xmlns:a16="http://schemas.microsoft.com/office/drawing/2014/main" id="{91DC5ABC-F8D4-4E3C-8B51-A35C509FDB5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6" name="Host Control  531" hidden="1">
          <a:extLst>
            <a:ext uri="{FF2B5EF4-FFF2-40B4-BE49-F238E27FC236}">
              <a16:creationId xmlns:a16="http://schemas.microsoft.com/office/drawing/2014/main" id="{14FC020F-A15E-4D39-B4E2-332142AB0BD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7" name="Host Control  532" hidden="1">
          <a:extLst>
            <a:ext uri="{FF2B5EF4-FFF2-40B4-BE49-F238E27FC236}">
              <a16:creationId xmlns:a16="http://schemas.microsoft.com/office/drawing/2014/main" id="{9B354E41-8DAF-485E-BACE-A5D21E6DBD5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8" name="Host Control  533" hidden="1">
          <a:extLst>
            <a:ext uri="{FF2B5EF4-FFF2-40B4-BE49-F238E27FC236}">
              <a16:creationId xmlns:a16="http://schemas.microsoft.com/office/drawing/2014/main" id="{BB3ED718-D1D5-49B8-94D8-584B1A23D31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9" name="Host Control  534" hidden="1">
          <a:extLst>
            <a:ext uri="{FF2B5EF4-FFF2-40B4-BE49-F238E27FC236}">
              <a16:creationId xmlns:a16="http://schemas.microsoft.com/office/drawing/2014/main" id="{D5816519-786A-43C5-94F3-EFE2BF79274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0" name="Host Control  535" hidden="1">
          <a:extLst>
            <a:ext uri="{FF2B5EF4-FFF2-40B4-BE49-F238E27FC236}">
              <a16:creationId xmlns:a16="http://schemas.microsoft.com/office/drawing/2014/main" id="{28C051D0-21A8-4230-8A3A-8E4C5BC90B8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1" name="Host Control  536" hidden="1">
          <a:extLst>
            <a:ext uri="{FF2B5EF4-FFF2-40B4-BE49-F238E27FC236}">
              <a16:creationId xmlns:a16="http://schemas.microsoft.com/office/drawing/2014/main" id="{623EF46A-59F8-4CA3-B646-032EBA7B4B8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2" name="Host Control  537" hidden="1">
          <a:extLst>
            <a:ext uri="{FF2B5EF4-FFF2-40B4-BE49-F238E27FC236}">
              <a16:creationId xmlns:a16="http://schemas.microsoft.com/office/drawing/2014/main" id="{7C4B5501-D797-4A90-9211-E22B0F5107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3" name="Host Control  538" hidden="1">
          <a:extLst>
            <a:ext uri="{FF2B5EF4-FFF2-40B4-BE49-F238E27FC236}">
              <a16:creationId xmlns:a16="http://schemas.microsoft.com/office/drawing/2014/main" id="{BE5EE174-0372-4CE0-A7DF-345A9DCD046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4" name="Host Control  539" hidden="1">
          <a:extLst>
            <a:ext uri="{FF2B5EF4-FFF2-40B4-BE49-F238E27FC236}">
              <a16:creationId xmlns:a16="http://schemas.microsoft.com/office/drawing/2014/main" id="{3A13F098-7F11-4B70-B6F6-EAD6DCCCC23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5" name="Host Control  540" hidden="1">
          <a:extLst>
            <a:ext uri="{FF2B5EF4-FFF2-40B4-BE49-F238E27FC236}">
              <a16:creationId xmlns:a16="http://schemas.microsoft.com/office/drawing/2014/main" id="{97111F1F-4DCC-4281-B870-CC99A608EE4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6" name="Host Control  541" hidden="1">
          <a:extLst>
            <a:ext uri="{FF2B5EF4-FFF2-40B4-BE49-F238E27FC236}">
              <a16:creationId xmlns:a16="http://schemas.microsoft.com/office/drawing/2014/main" id="{BBFF24A5-8464-4CEA-9B78-68C01F8FFF5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7" name="Host Control  542" hidden="1">
          <a:extLst>
            <a:ext uri="{FF2B5EF4-FFF2-40B4-BE49-F238E27FC236}">
              <a16:creationId xmlns:a16="http://schemas.microsoft.com/office/drawing/2014/main" id="{80DEE22E-1341-4654-BD21-63AC24435DE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8" name="Host Control  543" hidden="1">
          <a:extLst>
            <a:ext uri="{FF2B5EF4-FFF2-40B4-BE49-F238E27FC236}">
              <a16:creationId xmlns:a16="http://schemas.microsoft.com/office/drawing/2014/main" id="{3FBEFEA6-5F61-4206-BB46-212B688DDA8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9" name="Host Control  544" hidden="1">
          <a:extLst>
            <a:ext uri="{FF2B5EF4-FFF2-40B4-BE49-F238E27FC236}">
              <a16:creationId xmlns:a16="http://schemas.microsoft.com/office/drawing/2014/main" id="{FBB3B3EC-DCE4-44FB-819D-9C841D0E614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0" name="Host Control  545" hidden="1">
          <a:extLst>
            <a:ext uri="{FF2B5EF4-FFF2-40B4-BE49-F238E27FC236}">
              <a16:creationId xmlns:a16="http://schemas.microsoft.com/office/drawing/2014/main" id="{591FCD0D-14C6-46C5-9CE5-32A377F65F6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1" name="Host Control  583" hidden="1">
          <a:extLst>
            <a:ext uri="{FF2B5EF4-FFF2-40B4-BE49-F238E27FC236}">
              <a16:creationId xmlns:a16="http://schemas.microsoft.com/office/drawing/2014/main" id="{1E54C0D9-6146-4384-AA4F-145B752C2BB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2" name="Host Control  584" hidden="1">
          <a:extLst>
            <a:ext uri="{FF2B5EF4-FFF2-40B4-BE49-F238E27FC236}">
              <a16:creationId xmlns:a16="http://schemas.microsoft.com/office/drawing/2014/main" id="{F1EA7174-5747-45AF-A988-448F0AF5709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3" name="Host Control  585" hidden="1">
          <a:extLst>
            <a:ext uri="{FF2B5EF4-FFF2-40B4-BE49-F238E27FC236}">
              <a16:creationId xmlns:a16="http://schemas.microsoft.com/office/drawing/2014/main" id="{4E0CBA6C-6A76-41B5-B6D8-6ADE230174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4" name="Host Control  586" hidden="1">
          <a:extLst>
            <a:ext uri="{FF2B5EF4-FFF2-40B4-BE49-F238E27FC236}">
              <a16:creationId xmlns:a16="http://schemas.microsoft.com/office/drawing/2014/main" id="{3393AA44-7017-4846-9A39-0127724E511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5" name="Host Control  587" hidden="1">
          <a:extLst>
            <a:ext uri="{FF2B5EF4-FFF2-40B4-BE49-F238E27FC236}">
              <a16:creationId xmlns:a16="http://schemas.microsoft.com/office/drawing/2014/main" id="{56E39068-6776-49E5-95BE-1ECF66ACA27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6" name="Host Control  588" hidden="1">
          <a:extLst>
            <a:ext uri="{FF2B5EF4-FFF2-40B4-BE49-F238E27FC236}">
              <a16:creationId xmlns:a16="http://schemas.microsoft.com/office/drawing/2014/main" id="{E150F8E0-1440-4F0A-A38A-3232AB2451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7" name="Host Control  589" hidden="1">
          <a:extLst>
            <a:ext uri="{FF2B5EF4-FFF2-40B4-BE49-F238E27FC236}">
              <a16:creationId xmlns:a16="http://schemas.microsoft.com/office/drawing/2014/main" id="{9FE3971C-BBEC-4B96-B831-0261A788EE8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8" name="Host Control  590" hidden="1">
          <a:extLst>
            <a:ext uri="{FF2B5EF4-FFF2-40B4-BE49-F238E27FC236}">
              <a16:creationId xmlns:a16="http://schemas.microsoft.com/office/drawing/2014/main" id="{5B486659-D759-43C7-A162-E94749ADBBC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9" name="Host Control  591" hidden="1">
          <a:extLst>
            <a:ext uri="{FF2B5EF4-FFF2-40B4-BE49-F238E27FC236}">
              <a16:creationId xmlns:a16="http://schemas.microsoft.com/office/drawing/2014/main" id="{4FAA33D1-4617-4131-BA9B-DBD16AD5D24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0" name="Host Control  592" hidden="1">
          <a:extLst>
            <a:ext uri="{FF2B5EF4-FFF2-40B4-BE49-F238E27FC236}">
              <a16:creationId xmlns:a16="http://schemas.microsoft.com/office/drawing/2014/main" id="{7187F460-1704-472D-918B-C69B84F149C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1" name="Host Control  593" hidden="1">
          <a:extLst>
            <a:ext uri="{FF2B5EF4-FFF2-40B4-BE49-F238E27FC236}">
              <a16:creationId xmlns:a16="http://schemas.microsoft.com/office/drawing/2014/main" id="{3C707017-10DA-4384-B519-1BFC0A80B8E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2" name="Host Control  594" hidden="1">
          <a:extLst>
            <a:ext uri="{FF2B5EF4-FFF2-40B4-BE49-F238E27FC236}">
              <a16:creationId xmlns:a16="http://schemas.microsoft.com/office/drawing/2014/main" id="{DCA51BD8-4F06-47A9-A7AE-9EFDA366FA5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3" name="Host Control  595" hidden="1">
          <a:extLst>
            <a:ext uri="{FF2B5EF4-FFF2-40B4-BE49-F238E27FC236}">
              <a16:creationId xmlns:a16="http://schemas.microsoft.com/office/drawing/2014/main" id="{2B5B56E2-97E1-4D8C-82C2-68480366D57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4" name="Host Control  596" hidden="1">
          <a:extLst>
            <a:ext uri="{FF2B5EF4-FFF2-40B4-BE49-F238E27FC236}">
              <a16:creationId xmlns:a16="http://schemas.microsoft.com/office/drawing/2014/main" id="{CE78959E-63C2-4E6F-B87A-27FD234524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5" name="Host Control  597" hidden="1">
          <a:extLst>
            <a:ext uri="{FF2B5EF4-FFF2-40B4-BE49-F238E27FC236}">
              <a16:creationId xmlns:a16="http://schemas.microsoft.com/office/drawing/2014/main" id="{31B1A84B-657B-4B23-9AC2-185F07FAE48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6" name="Host Control  598" hidden="1">
          <a:extLst>
            <a:ext uri="{FF2B5EF4-FFF2-40B4-BE49-F238E27FC236}">
              <a16:creationId xmlns:a16="http://schemas.microsoft.com/office/drawing/2014/main" id="{66E14763-4EF4-45DC-85A1-897EFF0D195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7" name="Host Control  599" hidden="1">
          <a:extLst>
            <a:ext uri="{FF2B5EF4-FFF2-40B4-BE49-F238E27FC236}">
              <a16:creationId xmlns:a16="http://schemas.microsoft.com/office/drawing/2014/main" id="{4F9993DE-3CE2-469C-9B30-1763AFB36B9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8" name="Host Control  600" hidden="1">
          <a:extLst>
            <a:ext uri="{FF2B5EF4-FFF2-40B4-BE49-F238E27FC236}">
              <a16:creationId xmlns:a16="http://schemas.microsoft.com/office/drawing/2014/main" id="{AB872F39-46E6-4E37-B2BD-4F6ABBF98F4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9" name="Host Control  601" hidden="1">
          <a:extLst>
            <a:ext uri="{FF2B5EF4-FFF2-40B4-BE49-F238E27FC236}">
              <a16:creationId xmlns:a16="http://schemas.microsoft.com/office/drawing/2014/main" id="{302C3304-AD71-4D83-A877-2B972512777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0" name="Host Control  602" hidden="1">
          <a:extLst>
            <a:ext uri="{FF2B5EF4-FFF2-40B4-BE49-F238E27FC236}">
              <a16:creationId xmlns:a16="http://schemas.microsoft.com/office/drawing/2014/main" id="{CEC2DF02-3E78-4D8C-98EB-A8D9F3EB057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1" name="Host Control  603" hidden="1">
          <a:extLst>
            <a:ext uri="{FF2B5EF4-FFF2-40B4-BE49-F238E27FC236}">
              <a16:creationId xmlns:a16="http://schemas.microsoft.com/office/drawing/2014/main" id="{F529FC5E-6E0F-4910-8772-988CAD78159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2" name="Host Control  604" hidden="1">
          <a:extLst>
            <a:ext uri="{FF2B5EF4-FFF2-40B4-BE49-F238E27FC236}">
              <a16:creationId xmlns:a16="http://schemas.microsoft.com/office/drawing/2014/main" id="{542C9387-FAAF-4000-9A95-5CEE1350EAD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3" name="Host Control  605" hidden="1">
          <a:extLst>
            <a:ext uri="{FF2B5EF4-FFF2-40B4-BE49-F238E27FC236}">
              <a16:creationId xmlns:a16="http://schemas.microsoft.com/office/drawing/2014/main" id="{940DA208-1103-4170-B136-DC4A800E820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4" name="Host Control  606" hidden="1">
          <a:extLst>
            <a:ext uri="{FF2B5EF4-FFF2-40B4-BE49-F238E27FC236}">
              <a16:creationId xmlns:a16="http://schemas.microsoft.com/office/drawing/2014/main" id="{E576C93B-0022-4E8F-995D-4583253B78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5" name="Host Control  607" hidden="1">
          <a:extLst>
            <a:ext uri="{FF2B5EF4-FFF2-40B4-BE49-F238E27FC236}">
              <a16:creationId xmlns:a16="http://schemas.microsoft.com/office/drawing/2014/main" id="{4F8ADD30-DAD7-4A6D-8A7E-6F6CA5DD6B6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6" name="Host Control  608" hidden="1">
          <a:extLst>
            <a:ext uri="{FF2B5EF4-FFF2-40B4-BE49-F238E27FC236}">
              <a16:creationId xmlns:a16="http://schemas.microsoft.com/office/drawing/2014/main" id="{A617BD37-9406-4586-B082-217160EEE22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7" name="Host Control  609" hidden="1">
          <a:extLst>
            <a:ext uri="{FF2B5EF4-FFF2-40B4-BE49-F238E27FC236}">
              <a16:creationId xmlns:a16="http://schemas.microsoft.com/office/drawing/2014/main" id="{305BD482-3F8B-4821-A205-F1CB16E0DA2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8" name="Host Control  610" hidden="1">
          <a:extLst>
            <a:ext uri="{FF2B5EF4-FFF2-40B4-BE49-F238E27FC236}">
              <a16:creationId xmlns:a16="http://schemas.microsoft.com/office/drawing/2014/main" id="{E2793D7F-8B02-4799-B712-6BB0D4510B3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9" name="Host Control  611" hidden="1">
          <a:extLst>
            <a:ext uri="{FF2B5EF4-FFF2-40B4-BE49-F238E27FC236}">
              <a16:creationId xmlns:a16="http://schemas.microsoft.com/office/drawing/2014/main" id="{CC58FCB0-5C7C-4679-95BC-84EE37E3AC7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1928495" cy="304800"/>
    <xdr:sp macro="" textlink="">
      <xdr:nvSpPr>
        <xdr:cNvPr id="3850" name="Host Control  483" hidden="1">
          <a:extLst>
            <a:ext uri="{FF2B5EF4-FFF2-40B4-BE49-F238E27FC236}">
              <a16:creationId xmlns:a16="http://schemas.microsoft.com/office/drawing/2014/main" id="{0A2E3787-49E2-44ED-B316-D36E0B2FAD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1" name="Host Control  484" hidden="1">
          <a:extLst>
            <a:ext uri="{FF2B5EF4-FFF2-40B4-BE49-F238E27FC236}">
              <a16:creationId xmlns:a16="http://schemas.microsoft.com/office/drawing/2014/main" id="{C2D8D930-F806-45A4-87EF-8FDC57F324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2" name="Host Control  485" hidden="1">
          <a:extLst>
            <a:ext uri="{FF2B5EF4-FFF2-40B4-BE49-F238E27FC236}">
              <a16:creationId xmlns:a16="http://schemas.microsoft.com/office/drawing/2014/main" id="{1AAEF1F9-34AD-4A4A-8D4C-A51A9F47B6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3" name="Host Control  486" hidden="1">
          <a:extLst>
            <a:ext uri="{FF2B5EF4-FFF2-40B4-BE49-F238E27FC236}">
              <a16:creationId xmlns:a16="http://schemas.microsoft.com/office/drawing/2014/main" id="{177EF0C1-E709-4CDD-AA7B-BB9F82066D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4" name="Host Control  487" hidden="1">
          <a:extLst>
            <a:ext uri="{FF2B5EF4-FFF2-40B4-BE49-F238E27FC236}">
              <a16:creationId xmlns:a16="http://schemas.microsoft.com/office/drawing/2014/main" id="{97A8267A-340D-4E9F-885E-3500C6C012E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5" name="Host Control  488" hidden="1">
          <a:extLst>
            <a:ext uri="{FF2B5EF4-FFF2-40B4-BE49-F238E27FC236}">
              <a16:creationId xmlns:a16="http://schemas.microsoft.com/office/drawing/2014/main" id="{6877EFB4-5D2E-47E5-B317-3D7CFC5BB7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6" name="Host Control  489" hidden="1">
          <a:extLst>
            <a:ext uri="{FF2B5EF4-FFF2-40B4-BE49-F238E27FC236}">
              <a16:creationId xmlns:a16="http://schemas.microsoft.com/office/drawing/2014/main" id="{29B739B9-9AEE-450D-ACF0-6012D5C981F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7" name="Host Control  490" hidden="1">
          <a:extLst>
            <a:ext uri="{FF2B5EF4-FFF2-40B4-BE49-F238E27FC236}">
              <a16:creationId xmlns:a16="http://schemas.microsoft.com/office/drawing/2014/main" id="{80345189-DEF5-4B60-9E67-063A182CA5A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8" name="Host Control  491" hidden="1">
          <a:extLst>
            <a:ext uri="{FF2B5EF4-FFF2-40B4-BE49-F238E27FC236}">
              <a16:creationId xmlns:a16="http://schemas.microsoft.com/office/drawing/2014/main" id="{D25AF714-C7F6-458B-A3AB-73810E481C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9" name="Host Control  492" hidden="1">
          <a:extLst>
            <a:ext uri="{FF2B5EF4-FFF2-40B4-BE49-F238E27FC236}">
              <a16:creationId xmlns:a16="http://schemas.microsoft.com/office/drawing/2014/main" id="{82DD1E7C-D620-4752-AF06-C3352D4BF9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0" name="Host Control  493" hidden="1">
          <a:extLst>
            <a:ext uri="{FF2B5EF4-FFF2-40B4-BE49-F238E27FC236}">
              <a16:creationId xmlns:a16="http://schemas.microsoft.com/office/drawing/2014/main" id="{D324DF77-FAFC-4F71-BE3D-67AE16E42E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1" name="Host Control  494" hidden="1">
          <a:extLst>
            <a:ext uri="{FF2B5EF4-FFF2-40B4-BE49-F238E27FC236}">
              <a16:creationId xmlns:a16="http://schemas.microsoft.com/office/drawing/2014/main" id="{8289D28C-A817-493B-B98C-54DF2C0825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2" name="Host Control  495" hidden="1">
          <a:extLst>
            <a:ext uri="{FF2B5EF4-FFF2-40B4-BE49-F238E27FC236}">
              <a16:creationId xmlns:a16="http://schemas.microsoft.com/office/drawing/2014/main" id="{08B45A8C-325C-41E8-B073-80B8D8F77B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3" name="Host Control  496" hidden="1">
          <a:extLst>
            <a:ext uri="{FF2B5EF4-FFF2-40B4-BE49-F238E27FC236}">
              <a16:creationId xmlns:a16="http://schemas.microsoft.com/office/drawing/2014/main" id="{FD29CFB4-AC17-4F45-B035-2FD51067D6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4" name="Host Control  497" hidden="1">
          <a:extLst>
            <a:ext uri="{FF2B5EF4-FFF2-40B4-BE49-F238E27FC236}">
              <a16:creationId xmlns:a16="http://schemas.microsoft.com/office/drawing/2014/main" id="{228DD727-68C5-4301-A57C-69C7600B03F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5" name="Host Control  498" hidden="1">
          <a:extLst>
            <a:ext uri="{FF2B5EF4-FFF2-40B4-BE49-F238E27FC236}">
              <a16:creationId xmlns:a16="http://schemas.microsoft.com/office/drawing/2014/main" id="{4FCE0CFF-AC61-40FF-AD8D-AFB7128A76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6" name="Host Control  499" hidden="1">
          <a:extLst>
            <a:ext uri="{FF2B5EF4-FFF2-40B4-BE49-F238E27FC236}">
              <a16:creationId xmlns:a16="http://schemas.microsoft.com/office/drawing/2014/main" id="{323E99D6-D58C-4205-81E3-F3F9F14DA20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7" name="Host Control  500" hidden="1">
          <a:extLst>
            <a:ext uri="{FF2B5EF4-FFF2-40B4-BE49-F238E27FC236}">
              <a16:creationId xmlns:a16="http://schemas.microsoft.com/office/drawing/2014/main" id="{28479AF2-EFB9-49D7-A062-8785A1EDED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8" name="Host Control  501" hidden="1">
          <a:extLst>
            <a:ext uri="{FF2B5EF4-FFF2-40B4-BE49-F238E27FC236}">
              <a16:creationId xmlns:a16="http://schemas.microsoft.com/office/drawing/2014/main" id="{DF48D770-EFF9-4E4C-B59F-9FBB6B17256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9" name="Host Control  502" hidden="1">
          <a:extLst>
            <a:ext uri="{FF2B5EF4-FFF2-40B4-BE49-F238E27FC236}">
              <a16:creationId xmlns:a16="http://schemas.microsoft.com/office/drawing/2014/main" id="{F1A33E44-4B83-4653-A44C-019FE50EEA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0" name="Host Control  503" hidden="1">
          <a:extLst>
            <a:ext uri="{FF2B5EF4-FFF2-40B4-BE49-F238E27FC236}">
              <a16:creationId xmlns:a16="http://schemas.microsoft.com/office/drawing/2014/main" id="{26DEA801-973D-461E-8EB7-064BA0AC8E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1" name="Host Control  504" hidden="1">
          <a:extLst>
            <a:ext uri="{FF2B5EF4-FFF2-40B4-BE49-F238E27FC236}">
              <a16:creationId xmlns:a16="http://schemas.microsoft.com/office/drawing/2014/main" id="{67228EE6-7BD2-48E8-857E-3DB5A5FDEA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2" name="Host Control  505" hidden="1">
          <a:extLst>
            <a:ext uri="{FF2B5EF4-FFF2-40B4-BE49-F238E27FC236}">
              <a16:creationId xmlns:a16="http://schemas.microsoft.com/office/drawing/2014/main" id="{37CBF3D2-CD8B-4EEA-B3F0-A0C3E40B356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3" name="Host Control  506" hidden="1">
          <a:extLst>
            <a:ext uri="{FF2B5EF4-FFF2-40B4-BE49-F238E27FC236}">
              <a16:creationId xmlns:a16="http://schemas.microsoft.com/office/drawing/2014/main" id="{D41E7A19-81EB-439D-8058-228FF0031A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4" name="Host Control  507" hidden="1">
          <a:extLst>
            <a:ext uri="{FF2B5EF4-FFF2-40B4-BE49-F238E27FC236}">
              <a16:creationId xmlns:a16="http://schemas.microsoft.com/office/drawing/2014/main" id="{E9B9E873-FCE4-4937-BEAF-EC78E800F5F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5" name="Host Control  508" hidden="1">
          <a:extLst>
            <a:ext uri="{FF2B5EF4-FFF2-40B4-BE49-F238E27FC236}">
              <a16:creationId xmlns:a16="http://schemas.microsoft.com/office/drawing/2014/main" id="{5C6C863E-E9CE-4727-879E-21FF266F48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6" name="Host Control  509" hidden="1">
          <a:extLst>
            <a:ext uri="{FF2B5EF4-FFF2-40B4-BE49-F238E27FC236}">
              <a16:creationId xmlns:a16="http://schemas.microsoft.com/office/drawing/2014/main" id="{5D14065C-7FD5-4E1E-AA77-597B7D2878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7" name="Host Control  510" hidden="1">
          <a:extLst>
            <a:ext uri="{FF2B5EF4-FFF2-40B4-BE49-F238E27FC236}">
              <a16:creationId xmlns:a16="http://schemas.microsoft.com/office/drawing/2014/main" id="{7AAEFC40-5BB8-42A6-B276-E6CE60DE61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8" name="Host Control  511" hidden="1">
          <a:extLst>
            <a:ext uri="{FF2B5EF4-FFF2-40B4-BE49-F238E27FC236}">
              <a16:creationId xmlns:a16="http://schemas.microsoft.com/office/drawing/2014/main" id="{34912EC0-F213-415D-A062-B160E298F9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9" name="Host Control  512" hidden="1">
          <a:extLst>
            <a:ext uri="{FF2B5EF4-FFF2-40B4-BE49-F238E27FC236}">
              <a16:creationId xmlns:a16="http://schemas.microsoft.com/office/drawing/2014/main" id="{C0082866-C06D-452E-B8AB-DDBB2913A0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0" name="Host Control  517" hidden="1">
          <a:extLst>
            <a:ext uri="{FF2B5EF4-FFF2-40B4-BE49-F238E27FC236}">
              <a16:creationId xmlns:a16="http://schemas.microsoft.com/office/drawing/2014/main" id="{2BB861A8-B5DF-47D4-B4AD-656F3A9EAC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1" name="Host Control  518" hidden="1">
          <a:extLst>
            <a:ext uri="{FF2B5EF4-FFF2-40B4-BE49-F238E27FC236}">
              <a16:creationId xmlns:a16="http://schemas.microsoft.com/office/drawing/2014/main" id="{EC97DEB1-60B0-4598-AFBE-3C0E9C2A718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2" name="Host Control  519" hidden="1">
          <a:extLst>
            <a:ext uri="{FF2B5EF4-FFF2-40B4-BE49-F238E27FC236}">
              <a16:creationId xmlns:a16="http://schemas.microsoft.com/office/drawing/2014/main" id="{D050ED81-0BBE-4FEF-A208-2DD07946556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3" name="Host Control  520" hidden="1">
          <a:extLst>
            <a:ext uri="{FF2B5EF4-FFF2-40B4-BE49-F238E27FC236}">
              <a16:creationId xmlns:a16="http://schemas.microsoft.com/office/drawing/2014/main" id="{13A0D5C5-8A57-4C54-9AD5-5B49FC78808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4" name="Host Control  521" hidden="1">
          <a:extLst>
            <a:ext uri="{FF2B5EF4-FFF2-40B4-BE49-F238E27FC236}">
              <a16:creationId xmlns:a16="http://schemas.microsoft.com/office/drawing/2014/main" id="{C9698A97-366B-416F-85DB-386A68EABC6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5" name="Host Control  522" hidden="1">
          <a:extLst>
            <a:ext uri="{FF2B5EF4-FFF2-40B4-BE49-F238E27FC236}">
              <a16:creationId xmlns:a16="http://schemas.microsoft.com/office/drawing/2014/main" id="{B2BDE565-7966-4225-9447-601A04CE507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6" name="Host Control  523" hidden="1">
          <a:extLst>
            <a:ext uri="{FF2B5EF4-FFF2-40B4-BE49-F238E27FC236}">
              <a16:creationId xmlns:a16="http://schemas.microsoft.com/office/drawing/2014/main" id="{7BF145C6-FDB0-4E71-9787-2538B28D786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7" name="Host Control  524" hidden="1">
          <a:extLst>
            <a:ext uri="{FF2B5EF4-FFF2-40B4-BE49-F238E27FC236}">
              <a16:creationId xmlns:a16="http://schemas.microsoft.com/office/drawing/2014/main" id="{21CBA293-4643-408B-8E65-53E6DD3303B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8" name="Host Control  525" hidden="1">
          <a:extLst>
            <a:ext uri="{FF2B5EF4-FFF2-40B4-BE49-F238E27FC236}">
              <a16:creationId xmlns:a16="http://schemas.microsoft.com/office/drawing/2014/main" id="{E87CF211-1465-4546-98A7-B57A4BDDE41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9" name="Host Control  526" hidden="1">
          <a:extLst>
            <a:ext uri="{FF2B5EF4-FFF2-40B4-BE49-F238E27FC236}">
              <a16:creationId xmlns:a16="http://schemas.microsoft.com/office/drawing/2014/main" id="{3977D6CB-D871-4A40-953E-7694D75F443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0" name="Host Control  527" hidden="1">
          <a:extLst>
            <a:ext uri="{FF2B5EF4-FFF2-40B4-BE49-F238E27FC236}">
              <a16:creationId xmlns:a16="http://schemas.microsoft.com/office/drawing/2014/main" id="{C7285418-C827-45BC-9C24-2A43B70F81F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1" name="Host Control  528" hidden="1">
          <a:extLst>
            <a:ext uri="{FF2B5EF4-FFF2-40B4-BE49-F238E27FC236}">
              <a16:creationId xmlns:a16="http://schemas.microsoft.com/office/drawing/2014/main" id="{A0CA4248-D11D-4A81-87BA-EFE851168E8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2" name="Host Control  529" hidden="1">
          <a:extLst>
            <a:ext uri="{FF2B5EF4-FFF2-40B4-BE49-F238E27FC236}">
              <a16:creationId xmlns:a16="http://schemas.microsoft.com/office/drawing/2014/main" id="{7A1C1CC0-745D-4328-9530-5BB28D615A9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3" name="Host Control  530" hidden="1">
          <a:extLst>
            <a:ext uri="{FF2B5EF4-FFF2-40B4-BE49-F238E27FC236}">
              <a16:creationId xmlns:a16="http://schemas.microsoft.com/office/drawing/2014/main" id="{787E1D22-E2C7-44F1-9E52-6860F0635C7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4" name="Host Control  531" hidden="1">
          <a:extLst>
            <a:ext uri="{FF2B5EF4-FFF2-40B4-BE49-F238E27FC236}">
              <a16:creationId xmlns:a16="http://schemas.microsoft.com/office/drawing/2014/main" id="{CBB2E80B-3ACF-455B-8AC9-10F4B04814E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5" name="Host Control  532" hidden="1">
          <a:extLst>
            <a:ext uri="{FF2B5EF4-FFF2-40B4-BE49-F238E27FC236}">
              <a16:creationId xmlns:a16="http://schemas.microsoft.com/office/drawing/2014/main" id="{F2B7633C-C3A2-4376-8AA1-945D0B2414A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6" name="Host Control  533" hidden="1">
          <a:extLst>
            <a:ext uri="{FF2B5EF4-FFF2-40B4-BE49-F238E27FC236}">
              <a16:creationId xmlns:a16="http://schemas.microsoft.com/office/drawing/2014/main" id="{0D64D883-5C00-479F-B3A9-20DA52740B3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7" name="Host Control  534" hidden="1">
          <a:extLst>
            <a:ext uri="{FF2B5EF4-FFF2-40B4-BE49-F238E27FC236}">
              <a16:creationId xmlns:a16="http://schemas.microsoft.com/office/drawing/2014/main" id="{35453455-BA5B-4B39-89A5-A62EF5AD5D2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8" name="Host Control  535" hidden="1">
          <a:extLst>
            <a:ext uri="{FF2B5EF4-FFF2-40B4-BE49-F238E27FC236}">
              <a16:creationId xmlns:a16="http://schemas.microsoft.com/office/drawing/2014/main" id="{0C16E414-1317-4CB4-AEED-4FEB270AF12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9" name="Host Control  536" hidden="1">
          <a:extLst>
            <a:ext uri="{FF2B5EF4-FFF2-40B4-BE49-F238E27FC236}">
              <a16:creationId xmlns:a16="http://schemas.microsoft.com/office/drawing/2014/main" id="{8C14ECD6-6FCB-4B57-AE0D-CF6565132DE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0" name="Host Control  537" hidden="1">
          <a:extLst>
            <a:ext uri="{FF2B5EF4-FFF2-40B4-BE49-F238E27FC236}">
              <a16:creationId xmlns:a16="http://schemas.microsoft.com/office/drawing/2014/main" id="{9E0E29D8-C294-400D-8FDB-DD8C0C4ED2C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1" name="Host Control  538" hidden="1">
          <a:extLst>
            <a:ext uri="{FF2B5EF4-FFF2-40B4-BE49-F238E27FC236}">
              <a16:creationId xmlns:a16="http://schemas.microsoft.com/office/drawing/2014/main" id="{CCAAE3EB-CC5E-418D-94A7-3990C5A452E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2" name="Host Control  539" hidden="1">
          <a:extLst>
            <a:ext uri="{FF2B5EF4-FFF2-40B4-BE49-F238E27FC236}">
              <a16:creationId xmlns:a16="http://schemas.microsoft.com/office/drawing/2014/main" id="{ED9F035A-88EF-43F9-8998-1A5EB784559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3" name="Host Control  540" hidden="1">
          <a:extLst>
            <a:ext uri="{FF2B5EF4-FFF2-40B4-BE49-F238E27FC236}">
              <a16:creationId xmlns:a16="http://schemas.microsoft.com/office/drawing/2014/main" id="{F1F2C3B1-F34F-4849-9BCA-566C683EC6C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4" name="Host Control  541" hidden="1">
          <a:extLst>
            <a:ext uri="{FF2B5EF4-FFF2-40B4-BE49-F238E27FC236}">
              <a16:creationId xmlns:a16="http://schemas.microsoft.com/office/drawing/2014/main" id="{4FEEAB1A-ECEA-4103-8FE5-7D171E149BD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5" name="Host Control  542" hidden="1">
          <a:extLst>
            <a:ext uri="{FF2B5EF4-FFF2-40B4-BE49-F238E27FC236}">
              <a16:creationId xmlns:a16="http://schemas.microsoft.com/office/drawing/2014/main" id="{D7804E09-B4B3-4912-A108-A170EF8076C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6" name="Host Control  543" hidden="1">
          <a:extLst>
            <a:ext uri="{FF2B5EF4-FFF2-40B4-BE49-F238E27FC236}">
              <a16:creationId xmlns:a16="http://schemas.microsoft.com/office/drawing/2014/main" id="{ACD22914-8043-4647-A220-29B1980CAAF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7" name="Host Control  544" hidden="1">
          <a:extLst>
            <a:ext uri="{FF2B5EF4-FFF2-40B4-BE49-F238E27FC236}">
              <a16:creationId xmlns:a16="http://schemas.microsoft.com/office/drawing/2014/main" id="{208C354F-1F97-4D25-812C-95D58713249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8" name="Host Control  545" hidden="1">
          <a:extLst>
            <a:ext uri="{FF2B5EF4-FFF2-40B4-BE49-F238E27FC236}">
              <a16:creationId xmlns:a16="http://schemas.microsoft.com/office/drawing/2014/main" id="{61017F1E-8762-4D1D-A9AA-A9D591C4D1F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9" name="Host Control  583" hidden="1">
          <a:extLst>
            <a:ext uri="{FF2B5EF4-FFF2-40B4-BE49-F238E27FC236}">
              <a16:creationId xmlns:a16="http://schemas.microsoft.com/office/drawing/2014/main" id="{6737A2A6-2488-498C-B337-3E9CF7D917A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0" name="Host Control  584" hidden="1">
          <a:extLst>
            <a:ext uri="{FF2B5EF4-FFF2-40B4-BE49-F238E27FC236}">
              <a16:creationId xmlns:a16="http://schemas.microsoft.com/office/drawing/2014/main" id="{69A2D235-E66B-4907-8CE7-4A8BE9AE67A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1" name="Host Control  585" hidden="1">
          <a:extLst>
            <a:ext uri="{FF2B5EF4-FFF2-40B4-BE49-F238E27FC236}">
              <a16:creationId xmlns:a16="http://schemas.microsoft.com/office/drawing/2014/main" id="{4393B17E-78B6-42E9-86F9-0915E945259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2" name="Host Control  586" hidden="1">
          <a:extLst>
            <a:ext uri="{FF2B5EF4-FFF2-40B4-BE49-F238E27FC236}">
              <a16:creationId xmlns:a16="http://schemas.microsoft.com/office/drawing/2014/main" id="{D3C4BCD2-5830-4F09-A883-03FE2445480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3" name="Host Control  587" hidden="1">
          <a:extLst>
            <a:ext uri="{FF2B5EF4-FFF2-40B4-BE49-F238E27FC236}">
              <a16:creationId xmlns:a16="http://schemas.microsoft.com/office/drawing/2014/main" id="{06DA1C51-D54C-44A3-B183-4A95822D089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4" name="Host Control  588" hidden="1">
          <a:extLst>
            <a:ext uri="{FF2B5EF4-FFF2-40B4-BE49-F238E27FC236}">
              <a16:creationId xmlns:a16="http://schemas.microsoft.com/office/drawing/2014/main" id="{19555D78-C0F0-4D4D-B032-3212CC97051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5" name="Host Control  589" hidden="1">
          <a:extLst>
            <a:ext uri="{FF2B5EF4-FFF2-40B4-BE49-F238E27FC236}">
              <a16:creationId xmlns:a16="http://schemas.microsoft.com/office/drawing/2014/main" id="{C3817E48-53EF-4234-9326-007F90F86C7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6" name="Host Control  590" hidden="1">
          <a:extLst>
            <a:ext uri="{FF2B5EF4-FFF2-40B4-BE49-F238E27FC236}">
              <a16:creationId xmlns:a16="http://schemas.microsoft.com/office/drawing/2014/main" id="{06127FEE-ED2C-411C-B46F-7DBFBDF660D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7" name="Host Control  591" hidden="1">
          <a:extLst>
            <a:ext uri="{FF2B5EF4-FFF2-40B4-BE49-F238E27FC236}">
              <a16:creationId xmlns:a16="http://schemas.microsoft.com/office/drawing/2014/main" id="{438A2284-6F99-4BC6-BB1C-5F971A5A92E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8" name="Host Control  592" hidden="1">
          <a:extLst>
            <a:ext uri="{FF2B5EF4-FFF2-40B4-BE49-F238E27FC236}">
              <a16:creationId xmlns:a16="http://schemas.microsoft.com/office/drawing/2014/main" id="{65E9414E-EB41-427B-A077-D882C33B1E3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9" name="Host Control  593" hidden="1">
          <a:extLst>
            <a:ext uri="{FF2B5EF4-FFF2-40B4-BE49-F238E27FC236}">
              <a16:creationId xmlns:a16="http://schemas.microsoft.com/office/drawing/2014/main" id="{D70CAAAC-996B-4E38-91CF-701C6EBADC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0" name="Host Control  594" hidden="1">
          <a:extLst>
            <a:ext uri="{FF2B5EF4-FFF2-40B4-BE49-F238E27FC236}">
              <a16:creationId xmlns:a16="http://schemas.microsoft.com/office/drawing/2014/main" id="{2AE5AD7C-32B1-49C6-BE7D-10EB3E0DE7F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1" name="Host Control  595" hidden="1">
          <a:extLst>
            <a:ext uri="{FF2B5EF4-FFF2-40B4-BE49-F238E27FC236}">
              <a16:creationId xmlns:a16="http://schemas.microsoft.com/office/drawing/2014/main" id="{A979695E-F3A9-43FF-B5A4-955AA9D8D06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2" name="Host Control  596" hidden="1">
          <a:extLst>
            <a:ext uri="{FF2B5EF4-FFF2-40B4-BE49-F238E27FC236}">
              <a16:creationId xmlns:a16="http://schemas.microsoft.com/office/drawing/2014/main" id="{1384EFCB-3404-47D1-A852-ECE0369E058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3" name="Host Control  597" hidden="1">
          <a:extLst>
            <a:ext uri="{FF2B5EF4-FFF2-40B4-BE49-F238E27FC236}">
              <a16:creationId xmlns:a16="http://schemas.microsoft.com/office/drawing/2014/main" id="{BD199442-F526-44B8-9390-B0CE91A335F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4" name="Host Control  598" hidden="1">
          <a:extLst>
            <a:ext uri="{FF2B5EF4-FFF2-40B4-BE49-F238E27FC236}">
              <a16:creationId xmlns:a16="http://schemas.microsoft.com/office/drawing/2014/main" id="{C74B60F2-C109-4D49-8F8E-0488C53A84E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5" name="Host Control  599" hidden="1">
          <a:extLst>
            <a:ext uri="{FF2B5EF4-FFF2-40B4-BE49-F238E27FC236}">
              <a16:creationId xmlns:a16="http://schemas.microsoft.com/office/drawing/2014/main" id="{0B0308EF-B49E-4BA2-81AB-0E3DBF647A9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6" name="Host Control  600" hidden="1">
          <a:extLst>
            <a:ext uri="{FF2B5EF4-FFF2-40B4-BE49-F238E27FC236}">
              <a16:creationId xmlns:a16="http://schemas.microsoft.com/office/drawing/2014/main" id="{533E1BBE-C5A7-484D-905E-5459C7158CB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7" name="Host Control  601" hidden="1">
          <a:extLst>
            <a:ext uri="{FF2B5EF4-FFF2-40B4-BE49-F238E27FC236}">
              <a16:creationId xmlns:a16="http://schemas.microsoft.com/office/drawing/2014/main" id="{A8AAA27C-62FC-4232-BE6E-EB4FBF52C99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8" name="Host Control  602" hidden="1">
          <a:extLst>
            <a:ext uri="{FF2B5EF4-FFF2-40B4-BE49-F238E27FC236}">
              <a16:creationId xmlns:a16="http://schemas.microsoft.com/office/drawing/2014/main" id="{02247E2D-030C-4C04-8C4B-5254C5C3214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9" name="Host Control  603" hidden="1">
          <a:extLst>
            <a:ext uri="{FF2B5EF4-FFF2-40B4-BE49-F238E27FC236}">
              <a16:creationId xmlns:a16="http://schemas.microsoft.com/office/drawing/2014/main" id="{AB5E1CD2-3071-423D-B049-E11FDE7CF7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0" name="Host Control  604" hidden="1">
          <a:extLst>
            <a:ext uri="{FF2B5EF4-FFF2-40B4-BE49-F238E27FC236}">
              <a16:creationId xmlns:a16="http://schemas.microsoft.com/office/drawing/2014/main" id="{5F0A1713-C234-4187-AD41-115895DF862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1" name="Host Control  605" hidden="1">
          <a:extLst>
            <a:ext uri="{FF2B5EF4-FFF2-40B4-BE49-F238E27FC236}">
              <a16:creationId xmlns:a16="http://schemas.microsoft.com/office/drawing/2014/main" id="{6C891597-3323-41FA-9A1E-23D7D615558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2" name="Host Control  606" hidden="1">
          <a:extLst>
            <a:ext uri="{FF2B5EF4-FFF2-40B4-BE49-F238E27FC236}">
              <a16:creationId xmlns:a16="http://schemas.microsoft.com/office/drawing/2014/main" id="{E94D28FD-3A55-4C8F-A292-4DB1A6D653F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3" name="Host Control  607" hidden="1">
          <a:extLst>
            <a:ext uri="{FF2B5EF4-FFF2-40B4-BE49-F238E27FC236}">
              <a16:creationId xmlns:a16="http://schemas.microsoft.com/office/drawing/2014/main" id="{A24B519B-82ED-44F6-AE7D-F87B840330F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4" name="Host Control  608" hidden="1">
          <a:extLst>
            <a:ext uri="{FF2B5EF4-FFF2-40B4-BE49-F238E27FC236}">
              <a16:creationId xmlns:a16="http://schemas.microsoft.com/office/drawing/2014/main" id="{0DEAA86D-8B3C-482E-B2C8-2ACB22DC6CA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5" name="Host Control  609" hidden="1">
          <a:extLst>
            <a:ext uri="{FF2B5EF4-FFF2-40B4-BE49-F238E27FC236}">
              <a16:creationId xmlns:a16="http://schemas.microsoft.com/office/drawing/2014/main" id="{8B2E814B-D970-44C3-B5B0-9CA37DC2AA5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6" name="Host Control  610" hidden="1">
          <a:extLst>
            <a:ext uri="{FF2B5EF4-FFF2-40B4-BE49-F238E27FC236}">
              <a16:creationId xmlns:a16="http://schemas.microsoft.com/office/drawing/2014/main" id="{B89910A5-06A2-410F-879D-DDAB98A3F7D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7" name="Host Control  611" hidden="1">
          <a:extLst>
            <a:ext uri="{FF2B5EF4-FFF2-40B4-BE49-F238E27FC236}">
              <a16:creationId xmlns:a16="http://schemas.microsoft.com/office/drawing/2014/main" id="{93943738-69E0-4442-BC0C-23DF2F31E1C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32305" cy="304800"/>
    <xdr:sp macro="" textlink="">
      <xdr:nvSpPr>
        <xdr:cNvPr id="3938" name="Host Control  32" hidden="1">
          <a:extLst>
            <a:ext uri="{FF2B5EF4-FFF2-40B4-BE49-F238E27FC236}">
              <a16:creationId xmlns:a16="http://schemas.microsoft.com/office/drawing/2014/main" id="{CB60393C-4D2C-4B96-84DF-4ED984CD90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39" name="Host Control  33" hidden="1">
          <a:extLst>
            <a:ext uri="{FF2B5EF4-FFF2-40B4-BE49-F238E27FC236}">
              <a16:creationId xmlns:a16="http://schemas.microsoft.com/office/drawing/2014/main" id="{B17D5499-D1A8-43B1-8C96-7C62DEAB18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0" name="Host Control  34" hidden="1">
          <a:extLst>
            <a:ext uri="{FF2B5EF4-FFF2-40B4-BE49-F238E27FC236}">
              <a16:creationId xmlns:a16="http://schemas.microsoft.com/office/drawing/2014/main" id="{A6D74F98-FFF7-4100-A6ED-9E6D315DE15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1" name="Host Control  35" hidden="1">
          <a:extLst>
            <a:ext uri="{FF2B5EF4-FFF2-40B4-BE49-F238E27FC236}">
              <a16:creationId xmlns:a16="http://schemas.microsoft.com/office/drawing/2014/main" id="{53CD8845-B43E-456F-85D4-040AA32F9E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2" name="Host Control  36" hidden="1">
          <a:extLst>
            <a:ext uri="{FF2B5EF4-FFF2-40B4-BE49-F238E27FC236}">
              <a16:creationId xmlns:a16="http://schemas.microsoft.com/office/drawing/2014/main" id="{7B9A0F06-B588-43F6-9224-B62BF76963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3" name="Host Control  37" hidden="1">
          <a:extLst>
            <a:ext uri="{FF2B5EF4-FFF2-40B4-BE49-F238E27FC236}">
              <a16:creationId xmlns:a16="http://schemas.microsoft.com/office/drawing/2014/main" id="{B6599C01-6608-4BFD-B4D5-4420DBC11D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4" name="Host Control  38" hidden="1">
          <a:extLst>
            <a:ext uri="{FF2B5EF4-FFF2-40B4-BE49-F238E27FC236}">
              <a16:creationId xmlns:a16="http://schemas.microsoft.com/office/drawing/2014/main" id="{5376C247-DBD0-426C-B6BF-6F4411C002B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5" name="Host Control  39" hidden="1">
          <a:extLst>
            <a:ext uri="{FF2B5EF4-FFF2-40B4-BE49-F238E27FC236}">
              <a16:creationId xmlns:a16="http://schemas.microsoft.com/office/drawing/2014/main" id="{4B469416-8A21-4C7B-874D-993EF6EBCD5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6" name="Host Control  40" hidden="1">
          <a:extLst>
            <a:ext uri="{FF2B5EF4-FFF2-40B4-BE49-F238E27FC236}">
              <a16:creationId xmlns:a16="http://schemas.microsoft.com/office/drawing/2014/main" id="{1751689A-468D-4725-948F-E1ED688923C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7" name="Host Control  41" hidden="1">
          <a:extLst>
            <a:ext uri="{FF2B5EF4-FFF2-40B4-BE49-F238E27FC236}">
              <a16:creationId xmlns:a16="http://schemas.microsoft.com/office/drawing/2014/main" id="{1ED4B0D3-F65C-42A5-A611-483D2670C2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8" name="Host Control  42" hidden="1">
          <a:extLst>
            <a:ext uri="{FF2B5EF4-FFF2-40B4-BE49-F238E27FC236}">
              <a16:creationId xmlns:a16="http://schemas.microsoft.com/office/drawing/2014/main" id="{9303B047-4712-44FB-BC6E-05B665A04A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9" name="Host Control  43" hidden="1">
          <a:extLst>
            <a:ext uri="{FF2B5EF4-FFF2-40B4-BE49-F238E27FC236}">
              <a16:creationId xmlns:a16="http://schemas.microsoft.com/office/drawing/2014/main" id="{BCFA67E4-6344-475E-8349-2321FECEE43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0" name="Host Control  44" hidden="1">
          <a:extLst>
            <a:ext uri="{FF2B5EF4-FFF2-40B4-BE49-F238E27FC236}">
              <a16:creationId xmlns:a16="http://schemas.microsoft.com/office/drawing/2014/main" id="{46A8BF34-DE70-4E29-9E86-51FC20AE32C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1" name="Host Control  45" hidden="1">
          <a:extLst>
            <a:ext uri="{FF2B5EF4-FFF2-40B4-BE49-F238E27FC236}">
              <a16:creationId xmlns:a16="http://schemas.microsoft.com/office/drawing/2014/main" id="{A4A544A9-AFFE-4453-A467-252A05BD2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2" name="Host Control  46" hidden="1">
          <a:extLst>
            <a:ext uri="{FF2B5EF4-FFF2-40B4-BE49-F238E27FC236}">
              <a16:creationId xmlns:a16="http://schemas.microsoft.com/office/drawing/2014/main" id="{631CC7E1-688B-4C2F-805F-2ACE7D718B7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3" name="Host Control  47" hidden="1">
          <a:extLst>
            <a:ext uri="{FF2B5EF4-FFF2-40B4-BE49-F238E27FC236}">
              <a16:creationId xmlns:a16="http://schemas.microsoft.com/office/drawing/2014/main" id="{3D215FC0-DB8E-4C91-9C4D-59AC9CB775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4" name="Host Control  48" hidden="1">
          <a:extLst>
            <a:ext uri="{FF2B5EF4-FFF2-40B4-BE49-F238E27FC236}">
              <a16:creationId xmlns:a16="http://schemas.microsoft.com/office/drawing/2014/main" id="{AF86C528-766D-4A1A-9709-3B9A3E0E287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5" name="Host Control  49" hidden="1">
          <a:extLst>
            <a:ext uri="{FF2B5EF4-FFF2-40B4-BE49-F238E27FC236}">
              <a16:creationId xmlns:a16="http://schemas.microsoft.com/office/drawing/2014/main" id="{2F70487C-CC7C-4E8C-AAD6-882A1471F7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6" name="Host Control  50" hidden="1">
          <a:extLst>
            <a:ext uri="{FF2B5EF4-FFF2-40B4-BE49-F238E27FC236}">
              <a16:creationId xmlns:a16="http://schemas.microsoft.com/office/drawing/2014/main" id="{5417B7F4-2CB2-4BE6-8E0B-C38687BFE7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7" name="Host Control  51" hidden="1">
          <a:extLst>
            <a:ext uri="{FF2B5EF4-FFF2-40B4-BE49-F238E27FC236}">
              <a16:creationId xmlns:a16="http://schemas.microsoft.com/office/drawing/2014/main" id="{EB6A598C-E905-4109-9DC6-C08CBB97AC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8" name="Host Control  52" hidden="1">
          <a:extLst>
            <a:ext uri="{FF2B5EF4-FFF2-40B4-BE49-F238E27FC236}">
              <a16:creationId xmlns:a16="http://schemas.microsoft.com/office/drawing/2014/main" id="{05DC0BD3-6548-474A-AFB2-5B5F895212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9" name="Host Control  53" hidden="1">
          <a:extLst>
            <a:ext uri="{FF2B5EF4-FFF2-40B4-BE49-F238E27FC236}">
              <a16:creationId xmlns:a16="http://schemas.microsoft.com/office/drawing/2014/main" id="{8AF81E84-3263-4576-B2B2-09B54F3FB17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0" name="Host Control  54" hidden="1">
          <a:extLst>
            <a:ext uri="{FF2B5EF4-FFF2-40B4-BE49-F238E27FC236}">
              <a16:creationId xmlns:a16="http://schemas.microsoft.com/office/drawing/2014/main" id="{89E8B7F5-F4AB-4EF5-B1E9-A762C21963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1" name="Host Control  55" hidden="1">
          <a:extLst>
            <a:ext uri="{FF2B5EF4-FFF2-40B4-BE49-F238E27FC236}">
              <a16:creationId xmlns:a16="http://schemas.microsoft.com/office/drawing/2014/main" id="{748E8C0C-C82B-41CC-9ADF-CD104A49191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2" name="Host Control  56" hidden="1">
          <a:extLst>
            <a:ext uri="{FF2B5EF4-FFF2-40B4-BE49-F238E27FC236}">
              <a16:creationId xmlns:a16="http://schemas.microsoft.com/office/drawing/2014/main" id="{B0F9F166-0161-4F90-9BD5-917389F9CF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3" name="Host Control  57" hidden="1">
          <a:extLst>
            <a:ext uri="{FF2B5EF4-FFF2-40B4-BE49-F238E27FC236}">
              <a16:creationId xmlns:a16="http://schemas.microsoft.com/office/drawing/2014/main" id="{B52BA352-2574-4370-AC74-8167D51F6C5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4" name="Host Control  58" hidden="1">
          <a:extLst>
            <a:ext uri="{FF2B5EF4-FFF2-40B4-BE49-F238E27FC236}">
              <a16:creationId xmlns:a16="http://schemas.microsoft.com/office/drawing/2014/main" id="{A60AB022-5E8F-4BA5-A6CC-04278827EE5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5" name="Host Control  59" hidden="1">
          <a:extLst>
            <a:ext uri="{FF2B5EF4-FFF2-40B4-BE49-F238E27FC236}">
              <a16:creationId xmlns:a16="http://schemas.microsoft.com/office/drawing/2014/main" id="{DEF5ED6B-9AD0-45AB-9083-AAA677EE862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6" name="Host Control  60" hidden="1">
          <a:extLst>
            <a:ext uri="{FF2B5EF4-FFF2-40B4-BE49-F238E27FC236}">
              <a16:creationId xmlns:a16="http://schemas.microsoft.com/office/drawing/2014/main" id="{51D8152B-D278-40CA-9295-AFBB5FC099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7" name="Host Control  61" hidden="1">
          <a:extLst>
            <a:ext uri="{FF2B5EF4-FFF2-40B4-BE49-F238E27FC236}">
              <a16:creationId xmlns:a16="http://schemas.microsoft.com/office/drawing/2014/main" id="{69FC26CC-25F3-4EA3-A940-51741D425E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8" name="Host Control  65" hidden="1">
          <a:extLst>
            <a:ext uri="{FF2B5EF4-FFF2-40B4-BE49-F238E27FC236}">
              <a16:creationId xmlns:a16="http://schemas.microsoft.com/office/drawing/2014/main" id="{2C04ACF0-8026-4D4C-99D5-53F5C7BCC7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9" name="Host Control  66" hidden="1">
          <a:extLst>
            <a:ext uri="{FF2B5EF4-FFF2-40B4-BE49-F238E27FC236}">
              <a16:creationId xmlns:a16="http://schemas.microsoft.com/office/drawing/2014/main" id="{9F21CC76-596B-429C-A3E0-84CDBDE714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0" name="Host Control  67" hidden="1">
          <a:extLst>
            <a:ext uri="{FF2B5EF4-FFF2-40B4-BE49-F238E27FC236}">
              <a16:creationId xmlns:a16="http://schemas.microsoft.com/office/drawing/2014/main" id="{93D19764-D4D3-438C-8C23-A4FD8FC14B3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1" name="Host Control  68" hidden="1">
          <a:extLst>
            <a:ext uri="{FF2B5EF4-FFF2-40B4-BE49-F238E27FC236}">
              <a16:creationId xmlns:a16="http://schemas.microsoft.com/office/drawing/2014/main" id="{25751F80-EBB5-4C2D-B45C-4FA8DBE51B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2" name="Host Control  69" hidden="1">
          <a:extLst>
            <a:ext uri="{FF2B5EF4-FFF2-40B4-BE49-F238E27FC236}">
              <a16:creationId xmlns:a16="http://schemas.microsoft.com/office/drawing/2014/main" id="{81B513B7-9841-44D7-9B6D-77639293DC1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3" name="Host Control  70" hidden="1">
          <a:extLst>
            <a:ext uri="{FF2B5EF4-FFF2-40B4-BE49-F238E27FC236}">
              <a16:creationId xmlns:a16="http://schemas.microsoft.com/office/drawing/2014/main" id="{ADE37B95-917F-42B2-AA45-AA16770476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4" name="Host Control  71" hidden="1">
          <a:extLst>
            <a:ext uri="{FF2B5EF4-FFF2-40B4-BE49-F238E27FC236}">
              <a16:creationId xmlns:a16="http://schemas.microsoft.com/office/drawing/2014/main" id="{DE976D24-A7A8-4A6C-BCA9-88D27550C9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5" name="Host Control  72" hidden="1">
          <a:extLst>
            <a:ext uri="{FF2B5EF4-FFF2-40B4-BE49-F238E27FC236}">
              <a16:creationId xmlns:a16="http://schemas.microsoft.com/office/drawing/2014/main" id="{8DAD6D69-F5F0-4F0D-A3BE-12D428612F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6" name="Host Control  73" hidden="1">
          <a:extLst>
            <a:ext uri="{FF2B5EF4-FFF2-40B4-BE49-F238E27FC236}">
              <a16:creationId xmlns:a16="http://schemas.microsoft.com/office/drawing/2014/main" id="{2173EB79-EC25-4765-AE91-7550068399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7" name="Host Control  74" hidden="1">
          <a:extLst>
            <a:ext uri="{FF2B5EF4-FFF2-40B4-BE49-F238E27FC236}">
              <a16:creationId xmlns:a16="http://schemas.microsoft.com/office/drawing/2014/main" id="{4917AC01-2AD8-4FAF-9B98-C43C6886EC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8" name="Host Control  75" hidden="1">
          <a:extLst>
            <a:ext uri="{FF2B5EF4-FFF2-40B4-BE49-F238E27FC236}">
              <a16:creationId xmlns:a16="http://schemas.microsoft.com/office/drawing/2014/main" id="{02D55EA8-8A52-4B0E-BE07-35C5EBF3865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9" name="Host Control  76" hidden="1">
          <a:extLst>
            <a:ext uri="{FF2B5EF4-FFF2-40B4-BE49-F238E27FC236}">
              <a16:creationId xmlns:a16="http://schemas.microsoft.com/office/drawing/2014/main" id="{927A64A5-47A7-48DA-BF7E-95FFA80E57A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0" name="Host Control  77" hidden="1">
          <a:extLst>
            <a:ext uri="{FF2B5EF4-FFF2-40B4-BE49-F238E27FC236}">
              <a16:creationId xmlns:a16="http://schemas.microsoft.com/office/drawing/2014/main" id="{191445E1-A9D0-44FA-8052-A6417FEE2B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1" name="Host Control  78" hidden="1">
          <a:extLst>
            <a:ext uri="{FF2B5EF4-FFF2-40B4-BE49-F238E27FC236}">
              <a16:creationId xmlns:a16="http://schemas.microsoft.com/office/drawing/2014/main" id="{6F5771DA-3073-427D-87D1-C3BA2334B2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2" name="Host Control  79" hidden="1">
          <a:extLst>
            <a:ext uri="{FF2B5EF4-FFF2-40B4-BE49-F238E27FC236}">
              <a16:creationId xmlns:a16="http://schemas.microsoft.com/office/drawing/2014/main" id="{6D620F8F-31FB-4C50-824A-1D15FB43CEA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3" name="Host Control  80" hidden="1">
          <a:extLst>
            <a:ext uri="{FF2B5EF4-FFF2-40B4-BE49-F238E27FC236}">
              <a16:creationId xmlns:a16="http://schemas.microsoft.com/office/drawing/2014/main" id="{6BE87A73-7E58-410A-89D6-B4FD71E573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4" name="Host Control  81" hidden="1">
          <a:extLst>
            <a:ext uri="{FF2B5EF4-FFF2-40B4-BE49-F238E27FC236}">
              <a16:creationId xmlns:a16="http://schemas.microsoft.com/office/drawing/2014/main" id="{77F73A72-9255-4A01-8DC1-019F5B1CC0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5" name="Host Control  82" hidden="1">
          <a:extLst>
            <a:ext uri="{FF2B5EF4-FFF2-40B4-BE49-F238E27FC236}">
              <a16:creationId xmlns:a16="http://schemas.microsoft.com/office/drawing/2014/main" id="{FA948CAD-6FF6-423C-8958-1BE2773887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6" name="Host Control  83" hidden="1">
          <a:extLst>
            <a:ext uri="{FF2B5EF4-FFF2-40B4-BE49-F238E27FC236}">
              <a16:creationId xmlns:a16="http://schemas.microsoft.com/office/drawing/2014/main" id="{5A5F0ABA-A9C1-4324-B17E-B79EA162B2E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7" name="Host Control  84" hidden="1">
          <a:extLst>
            <a:ext uri="{FF2B5EF4-FFF2-40B4-BE49-F238E27FC236}">
              <a16:creationId xmlns:a16="http://schemas.microsoft.com/office/drawing/2014/main" id="{7FCAC4ED-60F7-49E5-9886-9AF76D8150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8" name="Host Control  85" hidden="1">
          <a:extLst>
            <a:ext uri="{FF2B5EF4-FFF2-40B4-BE49-F238E27FC236}">
              <a16:creationId xmlns:a16="http://schemas.microsoft.com/office/drawing/2014/main" id="{4B381E14-3B7D-489E-A16A-D53B86F080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9" name="Host Control  86" hidden="1">
          <a:extLst>
            <a:ext uri="{FF2B5EF4-FFF2-40B4-BE49-F238E27FC236}">
              <a16:creationId xmlns:a16="http://schemas.microsoft.com/office/drawing/2014/main" id="{1C7D4D6C-805E-4811-86C5-05294AA538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0" name="Host Control  87" hidden="1">
          <a:extLst>
            <a:ext uri="{FF2B5EF4-FFF2-40B4-BE49-F238E27FC236}">
              <a16:creationId xmlns:a16="http://schemas.microsoft.com/office/drawing/2014/main" id="{20D4FAA1-E54B-4151-BD1C-FA47D3F97A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1" name="Host Control  88" hidden="1">
          <a:extLst>
            <a:ext uri="{FF2B5EF4-FFF2-40B4-BE49-F238E27FC236}">
              <a16:creationId xmlns:a16="http://schemas.microsoft.com/office/drawing/2014/main" id="{4779E263-AAA6-4E39-900B-68A7D8923DE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2" name="Host Control  89" hidden="1">
          <a:extLst>
            <a:ext uri="{FF2B5EF4-FFF2-40B4-BE49-F238E27FC236}">
              <a16:creationId xmlns:a16="http://schemas.microsoft.com/office/drawing/2014/main" id="{BDA386C7-9206-40C5-800D-7428622790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3" name="Host Control  90" hidden="1">
          <a:extLst>
            <a:ext uri="{FF2B5EF4-FFF2-40B4-BE49-F238E27FC236}">
              <a16:creationId xmlns:a16="http://schemas.microsoft.com/office/drawing/2014/main" id="{E13CE245-F4C2-4BA1-88ED-4E2FDBB998E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4" name="Host Control  91" hidden="1">
          <a:extLst>
            <a:ext uri="{FF2B5EF4-FFF2-40B4-BE49-F238E27FC236}">
              <a16:creationId xmlns:a16="http://schemas.microsoft.com/office/drawing/2014/main" id="{22DBCCC5-5E6B-49A3-88DA-074A3CE4841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5" name="Host Control  92" hidden="1">
          <a:extLst>
            <a:ext uri="{FF2B5EF4-FFF2-40B4-BE49-F238E27FC236}">
              <a16:creationId xmlns:a16="http://schemas.microsoft.com/office/drawing/2014/main" id="{098D1F89-0707-4424-890C-80070C7EC3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6" name="Host Control  93" hidden="1">
          <a:extLst>
            <a:ext uri="{FF2B5EF4-FFF2-40B4-BE49-F238E27FC236}">
              <a16:creationId xmlns:a16="http://schemas.microsoft.com/office/drawing/2014/main" id="{90E80B31-EE26-4F9E-9B17-E3DF433A2D0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7" name="Host Control  94" hidden="1">
          <a:extLst>
            <a:ext uri="{FF2B5EF4-FFF2-40B4-BE49-F238E27FC236}">
              <a16:creationId xmlns:a16="http://schemas.microsoft.com/office/drawing/2014/main" id="{5BD0498D-E9AD-4F85-BB08-D9BFC3FB7A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8" name="Host Control  98" hidden="1">
          <a:extLst>
            <a:ext uri="{FF2B5EF4-FFF2-40B4-BE49-F238E27FC236}">
              <a16:creationId xmlns:a16="http://schemas.microsoft.com/office/drawing/2014/main" id="{EDD6FFAD-EDBD-4B8A-8207-4D8916DAB68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9" name="Host Control  99" hidden="1">
          <a:extLst>
            <a:ext uri="{FF2B5EF4-FFF2-40B4-BE49-F238E27FC236}">
              <a16:creationId xmlns:a16="http://schemas.microsoft.com/office/drawing/2014/main" id="{EC5EA5D7-2373-48D4-9BB1-6E60991FBA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0" name="Host Control  100" hidden="1">
          <a:extLst>
            <a:ext uri="{FF2B5EF4-FFF2-40B4-BE49-F238E27FC236}">
              <a16:creationId xmlns:a16="http://schemas.microsoft.com/office/drawing/2014/main" id="{307EDC0E-8819-4BC6-BF4E-DCBBDB041CE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1" name="Host Control  101" hidden="1">
          <a:extLst>
            <a:ext uri="{FF2B5EF4-FFF2-40B4-BE49-F238E27FC236}">
              <a16:creationId xmlns:a16="http://schemas.microsoft.com/office/drawing/2014/main" id="{B0EBA9BD-A056-4B0D-9C77-605B8B183D5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2" name="Host Control  102" hidden="1">
          <a:extLst>
            <a:ext uri="{FF2B5EF4-FFF2-40B4-BE49-F238E27FC236}">
              <a16:creationId xmlns:a16="http://schemas.microsoft.com/office/drawing/2014/main" id="{3C6E4223-252B-4AC8-AA4C-E538B0248D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3" name="Host Control  103" hidden="1">
          <a:extLst>
            <a:ext uri="{FF2B5EF4-FFF2-40B4-BE49-F238E27FC236}">
              <a16:creationId xmlns:a16="http://schemas.microsoft.com/office/drawing/2014/main" id="{EF38A917-F127-44C4-9320-2162C3BAC4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4" name="Host Control  104" hidden="1">
          <a:extLst>
            <a:ext uri="{FF2B5EF4-FFF2-40B4-BE49-F238E27FC236}">
              <a16:creationId xmlns:a16="http://schemas.microsoft.com/office/drawing/2014/main" id="{ECB877F9-9161-4E75-B394-1342C09127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5" name="Host Control  105" hidden="1">
          <a:extLst>
            <a:ext uri="{FF2B5EF4-FFF2-40B4-BE49-F238E27FC236}">
              <a16:creationId xmlns:a16="http://schemas.microsoft.com/office/drawing/2014/main" id="{D8AB7DCE-92A3-495D-99D4-9595DB4023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6" name="Host Control  106" hidden="1">
          <a:extLst>
            <a:ext uri="{FF2B5EF4-FFF2-40B4-BE49-F238E27FC236}">
              <a16:creationId xmlns:a16="http://schemas.microsoft.com/office/drawing/2014/main" id="{CA6BDDA9-0515-4ED8-AAE8-290BC553E97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7" name="Host Control  107" hidden="1">
          <a:extLst>
            <a:ext uri="{FF2B5EF4-FFF2-40B4-BE49-F238E27FC236}">
              <a16:creationId xmlns:a16="http://schemas.microsoft.com/office/drawing/2014/main" id="{8FB732FC-938E-4D93-A2DA-2B2D5444DB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8" name="Host Control  108" hidden="1">
          <a:extLst>
            <a:ext uri="{FF2B5EF4-FFF2-40B4-BE49-F238E27FC236}">
              <a16:creationId xmlns:a16="http://schemas.microsoft.com/office/drawing/2014/main" id="{FEDC069D-BC29-4B93-97D2-9BA9465EA3D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9" name="Host Control  109" hidden="1">
          <a:extLst>
            <a:ext uri="{FF2B5EF4-FFF2-40B4-BE49-F238E27FC236}">
              <a16:creationId xmlns:a16="http://schemas.microsoft.com/office/drawing/2014/main" id="{6C8B0938-7793-47E9-A964-81265605D97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0" name="Host Control  110" hidden="1">
          <a:extLst>
            <a:ext uri="{FF2B5EF4-FFF2-40B4-BE49-F238E27FC236}">
              <a16:creationId xmlns:a16="http://schemas.microsoft.com/office/drawing/2014/main" id="{604EAFF8-75A7-48E1-B1A5-1C75638F06B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1" name="Host Control  111" hidden="1">
          <a:extLst>
            <a:ext uri="{FF2B5EF4-FFF2-40B4-BE49-F238E27FC236}">
              <a16:creationId xmlns:a16="http://schemas.microsoft.com/office/drawing/2014/main" id="{0BC7EC1A-BC84-41D8-AF27-6FA9318E46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2" name="Host Control  112" hidden="1">
          <a:extLst>
            <a:ext uri="{FF2B5EF4-FFF2-40B4-BE49-F238E27FC236}">
              <a16:creationId xmlns:a16="http://schemas.microsoft.com/office/drawing/2014/main" id="{43384D86-7574-45EB-AA21-8194EBFD8B6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3" name="Host Control  113" hidden="1">
          <a:extLst>
            <a:ext uri="{FF2B5EF4-FFF2-40B4-BE49-F238E27FC236}">
              <a16:creationId xmlns:a16="http://schemas.microsoft.com/office/drawing/2014/main" id="{4684319E-6A23-4007-83D1-25B39BF05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4" name="Host Control  114" hidden="1">
          <a:extLst>
            <a:ext uri="{FF2B5EF4-FFF2-40B4-BE49-F238E27FC236}">
              <a16:creationId xmlns:a16="http://schemas.microsoft.com/office/drawing/2014/main" id="{40F53DDA-6A3D-4EB0-89F1-036F79AD3B7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5" name="Host Control  115" hidden="1">
          <a:extLst>
            <a:ext uri="{FF2B5EF4-FFF2-40B4-BE49-F238E27FC236}">
              <a16:creationId xmlns:a16="http://schemas.microsoft.com/office/drawing/2014/main" id="{70C0E6B5-27EC-4B03-B141-F1616BE12C9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6" name="Host Control  116" hidden="1">
          <a:extLst>
            <a:ext uri="{FF2B5EF4-FFF2-40B4-BE49-F238E27FC236}">
              <a16:creationId xmlns:a16="http://schemas.microsoft.com/office/drawing/2014/main" id="{8FFFA3F0-BF70-4992-9CD2-A2DB10D6002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7" name="Host Control  117" hidden="1">
          <a:extLst>
            <a:ext uri="{FF2B5EF4-FFF2-40B4-BE49-F238E27FC236}">
              <a16:creationId xmlns:a16="http://schemas.microsoft.com/office/drawing/2014/main" id="{93CA1BEE-4A80-40E0-80DF-A9E9DBE4B89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8" name="Host Control  118" hidden="1">
          <a:extLst>
            <a:ext uri="{FF2B5EF4-FFF2-40B4-BE49-F238E27FC236}">
              <a16:creationId xmlns:a16="http://schemas.microsoft.com/office/drawing/2014/main" id="{166BAF6E-2551-4235-97D4-B181BC095B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9" name="Host Control  119" hidden="1">
          <a:extLst>
            <a:ext uri="{FF2B5EF4-FFF2-40B4-BE49-F238E27FC236}">
              <a16:creationId xmlns:a16="http://schemas.microsoft.com/office/drawing/2014/main" id="{8D9034A9-B3B2-496B-ADFE-0696E5E6355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0" name="Host Control  120" hidden="1">
          <a:extLst>
            <a:ext uri="{FF2B5EF4-FFF2-40B4-BE49-F238E27FC236}">
              <a16:creationId xmlns:a16="http://schemas.microsoft.com/office/drawing/2014/main" id="{72793E83-07EB-4A9D-AAEE-89C2F55437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1" name="Host Control  121" hidden="1">
          <a:extLst>
            <a:ext uri="{FF2B5EF4-FFF2-40B4-BE49-F238E27FC236}">
              <a16:creationId xmlns:a16="http://schemas.microsoft.com/office/drawing/2014/main" id="{16436569-E761-4739-90E2-FFEDFE6305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2" name="Host Control  122" hidden="1">
          <a:extLst>
            <a:ext uri="{FF2B5EF4-FFF2-40B4-BE49-F238E27FC236}">
              <a16:creationId xmlns:a16="http://schemas.microsoft.com/office/drawing/2014/main" id="{33E50E98-5458-4EB6-BBBC-B73FDF21EDD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3" name="Host Control  123" hidden="1">
          <a:extLst>
            <a:ext uri="{FF2B5EF4-FFF2-40B4-BE49-F238E27FC236}">
              <a16:creationId xmlns:a16="http://schemas.microsoft.com/office/drawing/2014/main" id="{2815C738-8350-449A-9785-4189A93BBFE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4" name="Host Control  124" hidden="1">
          <a:extLst>
            <a:ext uri="{FF2B5EF4-FFF2-40B4-BE49-F238E27FC236}">
              <a16:creationId xmlns:a16="http://schemas.microsoft.com/office/drawing/2014/main" id="{C7CEA5F7-EE05-48CC-BF52-00A23C8F2D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5" name="Host Control  125" hidden="1">
          <a:extLst>
            <a:ext uri="{FF2B5EF4-FFF2-40B4-BE49-F238E27FC236}">
              <a16:creationId xmlns:a16="http://schemas.microsoft.com/office/drawing/2014/main" id="{DB13DB10-DFBB-43F1-B6ED-8E2E8BDE39F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6" name="Host Control  126" hidden="1">
          <a:extLst>
            <a:ext uri="{FF2B5EF4-FFF2-40B4-BE49-F238E27FC236}">
              <a16:creationId xmlns:a16="http://schemas.microsoft.com/office/drawing/2014/main" id="{DB048951-D7A4-484F-96D2-BCC187E2D6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7" name="Host Control  127" hidden="1">
          <a:extLst>
            <a:ext uri="{FF2B5EF4-FFF2-40B4-BE49-F238E27FC236}">
              <a16:creationId xmlns:a16="http://schemas.microsoft.com/office/drawing/2014/main" id="{F434420C-EA54-477C-B830-ED21F9ECE8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8" name="Host Control  135" hidden="1">
          <a:extLst>
            <a:ext uri="{FF2B5EF4-FFF2-40B4-BE49-F238E27FC236}">
              <a16:creationId xmlns:a16="http://schemas.microsoft.com/office/drawing/2014/main" id="{F3831A98-61FB-4502-8972-6710235981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9" name="Host Control  136" hidden="1">
          <a:extLst>
            <a:ext uri="{FF2B5EF4-FFF2-40B4-BE49-F238E27FC236}">
              <a16:creationId xmlns:a16="http://schemas.microsoft.com/office/drawing/2014/main" id="{0A462C9D-FDAF-4FEC-8698-0376960FBA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0" name="Host Control  137" hidden="1">
          <a:extLst>
            <a:ext uri="{FF2B5EF4-FFF2-40B4-BE49-F238E27FC236}">
              <a16:creationId xmlns:a16="http://schemas.microsoft.com/office/drawing/2014/main" id="{AA1EEC93-1572-411A-B5E2-8519D3AD492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1" name="Host Control  138" hidden="1">
          <a:extLst>
            <a:ext uri="{FF2B5EF4-FFF2-40B4-BE49-F238E27FC236}">
              <a16:creationId xmlns:a16="http://schemas.microsoft.com/office/drawing/2014/main" id="{D08A4A7D-C35A-4805-A8F3-812DB4FB330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2" name="Host Control  139" hidden="1">
          <a:extLst>
            <a:ext uri="{FF2B5EF4-FFF2-40B4-BE49-F238E27FC236}">
              <a16:creationId xmlns:a16="http://schemas.microsoft.com/office/drawing/2014/main" id="{35A1C192-2050-45B3-987E-770E1771A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3" name="Host Control  140" hidden="1">
          <a:extLst>
            <a:ext uri="{FF2B5EF4-FFF2-40B4-BE49-F238E27FC236}">
              <a16:creationId xmlns:a16="http://schemas.microsoft.com/office/drawing/2014/main" id="{7EA5BC49-52DD-47AC-BD0A-A9E9DE9733D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4" name="Host Control  141" hidden="1">
          <a:extLst>
            <a:ext uri="{FF2B5EF4-FFF2-40B4-BE49-F238E27FC236}">
              <a16:creationId xmlns:a16="http://schemas.microsoft.com/office/drawing/2014/main" id="{7AA79D0C-54FA-47FA-B1A9-7F87D87118F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5" name="Host Control  142" hidden="1">
          <a:extLst>
            <a:ext uri="{FF2B5EF4-FFF2-40B4-BE49-F238E27FC236}">
              <a16:creationId xmlns:a16="http://schemas.microsoft.com/office/drawing/2014/main" id="{AA9ADD08-B58C-4581-897C-B2101D94D96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6" name="Host Control  143" hidden="1">
          <a:extLst>
            <a:ext uri="{FF2B5EF4-FFF2-40B4-BE49-F238E27FC236}">
              <a16:creationId xmlns:a16="http://schemas.microsoft.com/office/drawing/2014/main" id="{B0E42513-D8B5-4715-9A22-683E8732D0E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7" name="Host Control  144" hidden="1">
          <a:extLst>
            <a:ext uri="{FF2B5EF4-FFF2-40B4-BE49-F238E27FC236}">
              <a16:creationId xmlns:a16="http://schemas.microsoft.com/office/drawing/2014/main" id="{AD263EC2-F350-477D-8D35-FC42970E79D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8" name="Host Control  145" hidden="1">
          <a:extLst>
            <a:ext uri="{FF2B5EF4-FFF2-40B4-BE49-F238E27FC236}">
              <a16:creationId xmlns:a16="http://schemas.microsoft.com/office/drawing/2014/main" id="{8F8F8C32-EFA6-433B-B6D5-191BC1AB0A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9" name="Host Control  146" hidden="1">
          <a:extLst>
            <a:ext uri="{FF2B5EF4-FFF2-40B4-BE49-F238E27FC236}">
              <a16:creationId xmlns:a16="http://schemas.microsoft.com/office/drawing/2014/main" id="{102FACF0-B847-437B-8765-44AA7A454E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0" name="Host Control  147" hidden="1">
          <a:extLst>
            <a:ext uri="{FF2B5EF4-FFF2-40B4-BE49-F238E27FC236}">
              <a16:creationId xmlns:a16="http://schemas.microsoft.com/office/drawing/2014/main" id="{22CE66A8-24CC-44F5-8689-CDCAE3CB657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1" name="Host Control  148" hidden="1">
          <a:extLst>
            <a:ext uri="{FF2B5EF4-FFF2-40B4-BE49-F238E27FC236}">
              <a16:creationId xmlns:a16="http://schemas.microsoft.com/office/drawing/2014/main" id="{7FC0FC14-0263-4EEB-B1F6-253E6F3E31A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2" name="Host Control  149" hidden="1">
          <a:extLst>
            <a:ext uri="{FF2B5EF4-FFF2-40B4-BE49-F238E27FC236}">
              <a16:creationId xmlns:a16="http://schemas.microsoft.com/office/drawing/2014/main" id="{6E368ADF-0B19-40DA-8B5A-9EA493386E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3" name="Host Control  150" hidden="1">
          <a:extLst>
            <a:ext uri="{FF2B5EF4-FFF2-40B4-BE49-F238E27FC236}">
              <a16:creationId xmlns:a16="http://schemas.microsoft.com/office/drawing/2014/main" id="{E9405596-D5ED-4CCE-9889-1D9584B2B3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4" name="Host Control  151" hidden="1">
          <a:extLst>
            <a:ext uri="{FF2B5EF4-FFF2-40B4-BE49-F238E27FC236}">
              <a16:creationId xmlns:a16="http://schemas.microsoft.com/office/drawing/2014/main" id="{9B0A3249-FB2F-4E53-BD76-FCE6D1FD115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5" name="Host Control  152" hidden="1">
          <a:extLst>
            <a:ext uri="{FF2B5EF4-FFF2-40B4-BE49-F238E27FC236}">
              <a16:creationId xmlns:a16="http://schemas.microsoft.com/office/drawing/2014/main" id="{4C282F1C-FBB3-4FBD-963C-DB954E9B989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6" name="Host Control  153" hidden="1">
          <a:extLst>
            <a:ext uri="{FF2B5EF4-FFF2-40B4-BE49-F238E27FC236}">
              <a16:creationId xmlns:a16="http://schemas.microsoft.com/office/drawing/2014/main" id="{5865C838-C9B6-4574-855B-9977C3A1A9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7" name="Host Control  154" hidden="1">
          <a:extLst>
            <a:ext uri="{FF2B5EF4-FFF2-40B4-BE49-F238E27FC236}">
              <a16:creationId xmlns:a16="http://schemas.microsoft.com/office/drawing/2014/main" id="{0FC63F1D-0ED9-4030-B3E8-5DC4BF16D2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8" name="Host Control  155" hidden="1">
          <a:extLst>
            <a:ext uri="{FF2B5EF4-FFF2-40B4-BE49-F238E27FC236}">
              <a16:creationId xmlns:a16="http://schemas.microsoft.com/office/drawing/2014/main" id="{BC89034C-9B33-4560-8653-7B94335EFE3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9" name="Host Control  156" hidden="1">
          <a:extLst>
            <a:ext uri="{FF2B5EF4-FFF2-40B4-BE49-F238E27FC236}">
              <a16:creationId xmlns:a16="http://schemas.microsoft.com/office/drawing/2014/main" id="{96D268BB-26FB-46CB-BF24-BDDEB4BC58C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0" name="Host Control  157" hidden="1">
          <a:extLst>
            <a:ext uri="{FF2B5EF4-FFF2-40B4-BE49-F238E27FC236}">
              <a16:creationId xmlns:a16="http://schemas.microsoft.com/office/drawing/2014/main" id="{73AE4BDB-41FC-498B-9A6B-8F492A173C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1" name="Host Control  158" hidden="1">
          <a:extLst>
            <a:ext uri="{FF2B5EF4-FFF2-40B4-BE49-F238E27FC236}">
              <a16:creationId xmlns:a16="http://schemas.microsoft.com/office/drawing/2014/main" id="{8273D79A-F075-4561-B2D7-310C960E68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2" name="Host Control  159" hidden="1">
          <a:extLst>
            <a:ext uri="{FF2B5EF4-FFF2-40B4-BE49-F238E27FC236}">
              <a16:creationId xmlns:a16="http://schemas.microsoft.com/office/drawing/2014/main" id="{759CAF3B-E714-4CD4-979A-900FA46A99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3" name="Host Control  160" hidden="1">
          <a:extLst>
            <a:ext uri="{FF2B5EF4-FFF2-40B4-BE49-F238E27FC236}">
              <a16:creationId xmlns:a16="http://schemas.microsoft.com/office/drawing/2014/main" id="{FF4B6FD5-0E46-42F6-83F1-18348F40025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4" name="Host Control  161" hidden="1">
          <a:extLst>
            <a:ext uri="{FF2B5EF4-FFF2-40B4-BE49-F238E27FC236}">
              <a16:creationId xmlns:a16="http://schemas.microsoft.com/office/drawing/2014/main" id="{75D87B0D-5618-4B1A-8FDB-144C5A187BC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5" name="Host Control  162" hidden="1">
          <a:extLst>
            <a:ext uri="{FF2B5EF4-FFF2-40B4-BE49-F238E27FC236}">
              <a16:creationId xmlns:a16="http://schemas.microsoft.com/office/drawing/2014/main" id="{B623A268-911E-4C9B-BDF7-5834935E8D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6" name="Host Control  163" hidden="1">
          <a:extLst>
            <a:ext uri="{FF2B5EF4-FFF2-40B4-BE49-F238E27FC236}">
              <a16:creationId xmlns:a16="http://schemas.microsoft.com/office/drawing/2014/main" id="{38C283CF-92EC-4E8B-BE03-0C3EEF2C2AE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7" name="Host Control  164" hidden="1">
          <a:extLst>
            <a:ext uri="{FF2B5EF4-FFF2-40B4-BE49-F238E27FC236}">
              <a16:creationId xmlns:a16="http://schemas.microsoft.com/office/drawing/2014/main" id="{CB3B2B43-D09B-4F01-B3CC-5BDD28ECBC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8" name="Host Control  168" hidden="1">
          <a:extLst>
            <a:ext uri="{FF2B5EF4-FFF2-40B4-BE49-F238E27FC236}">
              <a16:creationId xmlns:a16="http://schemas.microsoft.com/office/drawing/2014/main" id="{C0B0BA9C-E40E-4F66-84DA-49417740F37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9" name="Host Control  169" hidden="1">
          <a:extLst>
            <a:ext uri="{FF2B5EF4-FFF2-40B4-BE49-F238E27FC236}">
              <a16:creationId xmlns:a16="http://schemas.microsoft.com/office/drawing/2014/main" id="{F9BE595A-3CEF-42CD-89DA-AA5AE0C297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0" name="Host Control  170" hidden="1">
          <a:extLst>
            <a:ext uri="{FF2B5EF4-FFF2-40B4-BE49-F238E27FC236}">
              <a16:creationId xmlns:a16="http://schemas.microsoft.com/office/drawing/2014/main" id="{9EE5E972-7333-4FD6-917D-DF6E5CC2D2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1" name="Host Control  171" hidden="1">
          <a:extLst>
            <a:ext uri="{FF2B5EF4-FFF2-40B4-BE49-F238E27FC236}">
              <a16:creationId xmlns:a16="http://schemas.microsoft.com/office/drawing/2014/main" id="{E660F899-A84C-4AFE-8DBD-0955D1E153A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2" name="Host Control  172" hidden="1">
          <a:extLst>
            <a:ext uri="{FF2B5EF4-FFF2-40B4-BE49-F238E27FC236}">
              <a16:creationId xmlns:a16="http://schemas.microsoft.com/office/drawing/2014/main" id="{FD8794D8-FAE8-43AD-92A1-7E0B29BD85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3" name="Host Control  173" hidden="1">
          <a:extLst>
            <a:ext uri="{FF2B5EF4-FFF2-40B4-BE49-F238E27FC236}">
              <a16:creationId xmlns:a16="http://schemas.microsoft.com/office/drawing/2014/main" id="{D3E0189E-517F-4CB4-AFAE-E25E3D5726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4" name="Host Control  174" hidden="1">
          <a:extLst>
            <a:ext uri="{FF2B5EF4-FFF2-40B4-BE49-F238E27FC236}">
              <a16:creationId xmlns:a16="http://schemas.microsoft.com/office/drawing/2014/main" id="{9165749A-C84D-407D-B8EB-0EA332F587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5" name="Host Control  175" hidden="1">
          <a:extLst>
            <a:ext uri="{FF2B5EF4-FFF2-40B4-BE49-F238E27FC236}">
              <a16:creationId xmlns:a16="http://schemas.microsoft.com/office/drawing/2014/main" id="{3818F89E-0342-4D93-97E6-6E0CCCDE6A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6" name="Host Control  176" hidden="1">
          <a:extLst>
            <a:ext uri="{FF2B5EF4-FFF2-40B4-BE49-F238E27FC236}">
              <a16:creationId xmlns:a16="http://schemas.microsoft.com/office/drawing/2014/main" id="{660D2CBA-DA53-4508-B9A7-084C926171A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7" name="Host Control  177" hidden="1">
          <a:extLst>
            <a:ext uri="{FF2B5EF4-FFF2-40B4-BE49-F238E27FC236}">
              <a16:creationId xmlns:a16="http://schemas.microsoft.com/office/drawing/2014/main" id="{003FED8D-8833-4958-8E34-75C5C8CCBC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8" name="Host Control  178" hidden="1">
          <a:extLst>
            <a:ext uri="{FF2B5EF4-FFF2-40B4-BE49-F238E27FC236}">
              <a16:creationId xmlns:a16="http://schemas.microsoft.com/office/drawing/2014/main" id="{4C87DC07-E030-4BED-A536-6B88132AF1F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9" name="Host Control  179" hidden="1">
          <a:extLst>
            <a:ext uri="{FF2B5EF4-FFF2-40B4-BE49-F238E27FC236}">
              <a16:creationId xmlns:a16="http://schemas.microsoft.com/office/drawing/2014/main" id="{EC1C08C3-94E8-4BCD-BCA8-7A3472E33B9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0" name="Host Control  180" hidden="1">
          <a:extLst>
            <a:ext uri="{FF2B5EF4-FFF2-40B4-BE49-F238E27FC236}">
              <a16:creationId xmlns:a16="http://schemas.microsoft.com/office/drawing/2014/main" id="{117F65E3-ABAB-480B-96F9-2571D3C6BB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1" name="Host Control  181" hidden="1">
          <a:extLst>
            <a:ext uri="{FF2B5EF4-FFF2-40B4-BE49-F238E27FC236}">
              <a16:creationId xmlns:a16="http://schemas.microsoft.com/office/drawing/2014/main" id="{FEB5E022-5855-45E6-83E7-22DCA9F54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2" name="Host Control  182" hidden="1">
          <a:extLst>
            <a:ext uri="{FF2B5EF4-FFF2-40B4-BE49-F238E27FC236}">
              <a16:creationId xmlns:a16="http://schemas.microsoft.com/office/drawing/2014/main" id="{3E8F9460-C561-46F4-96EB-2DB0795EA6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3" name="Host Control  183" hidden="1">
          <a:extLst>
            <a:ext uri="{FF2B5EF4-FFF2-40B4-BE49-F238E27FC236}">
              <a16:creationId xmlns:a16="http://schemas.microsoft.com/office/drawing/2014/main" id="{7EACDF0C-B419-4D22-AAC6-435BCF684D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4" name="Host Control  184" hidden="1">
          <a:extLst>
            <a:ext uri="{FF2B5EF4-FFF2-40B4-BE49-F238E27FC236}">
              <a16:creationId xmlns:a16="http://schemas.microsoft.com/office/drawing/2014/main" id="{6A82C92A-07F3-4DBE-A13C-956CBD1BE0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5" name="Host Control  185" hidden="1">
          <a:extLst>
            <a:ext uri="{FF2B5EF4-FFF2-40B4-BE49-F238E27FC236}">
              <a16:creationId xmlns:a16="http://schemas.microsoft.com/office/drawing/2014/main" id="{1330ABE0-4C85-4CDA-A6DC-2A244CE96D9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6" name="Host Control  186" hidden="1">
          <a:extLst>
            <a:ext uri="{FF2B5EF4-FFF2-40B4-BE49-F238E27FC236}">
              <a16:creationId xmlns:a16="http://schemas.microsoft.com/office/drawing/2014/main" id="{285F45AD-1B58-4187-A379-3178BBDB31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7" name="Host Control  187" hidden="1">
          <a:extLst>
            <a:ext uri="{FF2B5EF4-FFF2-40B4-BE49-F238E27FC236}">
              <a16:creationId xmlns:a16="http://schemas.microsoft.com/office/drawing/2014/main" id="{EACEF2E1-5B4F-4FD5-9709-B43206CBCC8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8" name="Host Control  188" hidden="1">
          <a:extLst>
            <a:ext uri="{FF2B5EF4-FFF2-40B4-BE49-F238E27FC236}">
              <a16:creationId xmlns:a16="http://schemas.microsoft.com/office/drawing/2014/main" id="{48C1D635-E000-4C5C-873B-2F5EFABD96C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9" name="Host Control  189" hidden="1">
          <a:extLst>
            <a:ext uri="{FF2B5EF4-FFF2-40B4-BE49-F238E27FC236}">
              <a16:creationId xmlns:a16="http://schemas.microsoft.com/office/drawing/2014/main" id="{46D5B5ED-96BD-4343-8939-E22874BBD3A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0" name="Host Control  190" hidden="1">
          <a:extLst>
            <a:ext uri="{FF2B5EF4-FFF2-40B4-BE49-F238E27FC236}">
              <a16:creationId xmlns:a16="http://schemas.microsoft.com/office/drawing/2014/main" id="{9B877EC0-EBEE-427A-80BA-ABCE9077948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1" name="Host Control  191" hidden="1">
          <a:extLst>
            <a:ext uri="{FF2B5EF4-FFF2-40B4-BE49-F238E27FC236}">
              <a16:creationId xmlns:a16="http://schemas.microsoft.com/office/drawing/2014/main" id="{CAA17538-9588-4F5B-BB39-67AF2A5C78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2" name="Host Control  192" hidden="1">
          <a:extLst>
            <a:ext uri="{FF2B5EF4-FFF2-40B4-BE49-F238E27FC236}">
              <a16:creationId xmlns:a16="http://schemas.microsoft.com/office/drawing/2014/main" id="{9F21D4EA-CB32-468A-8D51-6CB65B9C4D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3" name="Host Control  193" hidden="1">
          <a:extLst>
            <a:ext uri="{FF2B5EF4-FFF2-40B4-BE49-F238E27FC236}">
              <a16:creationId xmlns:a16="http://schemas.microsoft.com/office/drawing/2014/main" id="{099FE3CE-692D-4FDA-9E26-D5D5F59C15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4" name="Host Control  194" hidden="1">
          <a:extLst>
            <a:ext uri="{FF2B5EF4-FFF2-40B4-BE49-F238E27FC236}">
              <a16:creationId xmlns:a16="http://schemas.microsoft.com/office/drawing/2014/main" id="{ABA26566-796C-4C04-8922-4D16EA8132E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5" name="Host Control  195" hidden="1">
          <a:extLst>
            <a:ext uri="{FF2B5EF4-FFF2-40B4-BE49-F238E27FC236}">
              <a16:creationId xmlns:a16="http://schemas.microsoft.com/office/drawing/2014/main" id="{4717A797-1BD7-4CC8-BBFE-F3FF5234891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6" name="Host Control  196" hidden="1">
          <a:extLst>
            <a:ext uri="{FF2B5EF4-FFF2-40B4-BE49-F238E27FC236}">
              <a16:creationId xmlns:a16="http://schemas.microsoft.com/office/drawing/2014/main" id="{5C5219A7-DD9C-439C-8603-37AA6F7D3D2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7" name="Host Control  197" hidden="1">
          <a:extLst>
            <a:ext uri="{FF2B5EF4-FFF2-40B4-BE49-F238E27FC236}">
              <a16:creationId xmlns:a16="http://schemas.microsoft.com/office/drawing/2014/main" id="{D41D7CBA-5C8F-4555-A2E5-66BCA3584A9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8" name="Host Control  201" hidden="1">
          <a:extLst>
            <a:ext uri="{FF2B5EF4-FFF2-40B4-BE49-F238E27FC236}">
              <a16:creationId xmlns:a16="http://schemas.microsoft.com/office/drawing/2014/main" id="{CCAE666F-D5BF-4A2D-95F3-B647B62E79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9" name="Host Control  202" hidden="1">
          <a:extLst>
            <a:ext uri="{FF2B5EF4-FFF2-40B4-BE49-F238E27FC236}">
              <a16:creationId xmlns:a16="http://schemas.microsoft.com/office/drawing/2014/main" id="{AE369C81-C178-4595-AF98-F77715CFF2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0" name="Host Control  203" hidden="1">
          <a:extLst>
            <a:ext uri="{FF2B5EF4-FFF2-40B4-BE49-F238E27FC236}">
              <a16:creationId xmlns:a16="http://schemas.microsoft.com/office/drawing/2014/main" id="{F3262D64-E886-4B2F-A7DF-1C6ACA095C9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1" name="Host Control  204" hidden="1">
          <a:extLst>
            <a:ext uri="{FF2B5EF4-FFF2-40B4-BE49-F238E27FC236}">
              <a16:creationId xmlns:a16="http://schemas.microsoft.com/office/drawing/2014/main" id="{31B47991-7422-49ED-9A21-02DDEBFD3DB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2" name="Host Control  205" hidden="1">
          <a:extLst>
            <a:ext uri="{FF2B5EF4-FFF2-40B4-BE49-F238E27FC236}">
              <a16:creationId xmlns:a16="http://schemas.microsoft.com/office/drawing/2014/main" id="{63955B2C-EC53-4580-B32B-D51F720C7C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3" name="Host Control  206" hidden="1">
          <a:extLst>
            <a:ext uri="{FF2B5EF4-FFF2-40B4-BE49-F238E27FC236}">
              <a16:creationId xmlns:a16="http://schemas.microsoft.com/office/drawing/2014/main" id="{F7124684-FB4F-43BF-8765-338AA209492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4" name="Host Control  207" hidden="1">
          <a:extLst>
            <a:ext uri="{FF2B5EF4-FFF2-40B4-BE49-F238E27FC236}">
              <a16:creationId xmlns:a16="http://schemas.microsoft.com/office/drawing/2014/main" id="{9DF6284A-FC43-45FF-B563-CCFF97337F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5" name="Host Control  208" hidden="1">
          <a:extLst>
            <a:ext uri="{FF2B5EF4-FFF2-40B4-BE49-F238E27FC236}">
              <a16:creationId xmlns:a16="http://schemas.microsoft.com/office/drawing/2014/main" id="{CB19F21D-C299-45D0-9F06-516C50C544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6" name="Host Control  209" hidden="1">
          <a:extLst>
            <a:ext uri="{FF2B5EF4-FFF2-40B4-BE49-F238E27FC236}">
              <a16:creationId xmlns:a16="http://schemas.microsoft.com/office/drawing/2014/main" id="{A697CBFE-3824-4A25-8358-738990CE156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7" name="Host Control  210" hidden="1">
          <a:extLst>
            <a:ext uri="{FF2B5EF4-FFF2-40B4-BE49-F238E27FC236}">
              <a16:creationId xmlns:a16="http://schemas.microsoft.com/office/drawing/2014/main" id="{2D37583B-29B5-4F61-9D4F-95040207AAA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8" name="Host Control  211" hidden="1">
          <a:extLst>
            <a:ext uri="{FF2B5EF4-FFF2-40B4-BE49-F238E27FC236}">
              <a16:creationId xmlns:a16="http://schemas.microsoft.com/office/drawing/2014/main" id="{5DA43B1A-31F5-4A66-9442-7DC00928F9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9" name="Host Control  212" hidden="1">
          <a:extLst>
            <a:ext uri="{FF2B5EF4-FFF2-40B4-BE49-F238E27FC236}">
              <a16:creationId xmlns:a16="http://schemas.microsoft.com/office/drawing/2014/main" id="{D2C7CFB8-E869-4304-BE2F-A077F4EE24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0" name="Host Control  213" hidden="1">
          <a:extLst>
            <a:ext uri="{FF2B5EF4-FFF2-40B4-BE49-F238E27FC236}">
              <a16:creationId xmlns:a16="http://schemas.microsoft.com/office/drawing/2014/main" id="{F8FCD576-6758-4DE2-9CEB-0337B59A6FA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1" name="Host Control  214" hidden="1">
          <a:extLst>
            <a:ext uri="{FF2B5EF4-FFF2-40B4-BE49-F238E27FC236}">
              <a16:creationId xmlns:a16="http://schemas.microsoft.com/office/drawing/2014/main" id="{0ACADF85-832D-468E-B510-E411D5C76A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2" name="Host Control  215" hidden="1">
          <a:extLst>
            <a:ext uri="{FF2B5EF4-FFF2-40B4-BE49-F238E27FC236}">
              <a16:creationId xmlns:a16="http://schemas.microsoft.com/office/drawing/2014/main" id="{3BF8BE73-636D-4496-B5EF-5609A524FE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3" name="Host Control  216" hidden="1">
          <a:extLst>
            <a:ext uri="{FF2B5EF4-FFF2-40B4-BE49-F238E27FC236}">
              <a16:creationId xmlns:a16="http://schemas.microsoft.com/office/drawing/2014/main" id="{8B0492D5-D09C-4A55-AC50-13F0B67AA63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4" name="Host Control  217" hidden="1">
          <a:extLst>
            <a:ext uri="{FF2B5EF4-FFF2-40B4-BE49-F238E27FC236}">
              <a16:creationId xmlns:a16="http://schemas.microsoft.com/office/drawing/2014/main" id="{22092DDD-D0D6-4C6A-8B28-E303A50886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5" name="Host Control  218" hidden="1">
          <a:extLst>
            <a:ext uri="{FF2B5EF4-FFF2-40B4-BE49-F238E27FC236}">
              <a16:creationId xmlns:a16="http://schemas.microsoft.com/office/drawing/2014/main" id="{108635D2-BBDF-4A19-BE20-93732DCD53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6" name="Host Control  219" hidden="1">
          <a:extLst>
            <a:ext uri="{FF2B5EF4-FFF2-40B4-BE49-F238E27FC236}">
              <a16:creationId xmlns:a16="http://schemas.microsoft.com/office/drawing/2014/main" id="{4CAF7CC5-7B3C-4E59-970F-B73E1DA4598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7" name="Host Control  220" hidden="1">
          <a:extLst>
            <a:ext uri="{FF2B5EF4-FFF2-40B4-BE49-F238E27FC236}">
              <a16:creationId xmlns:a16="http://schemas.microsoft.com/office/drawing/2014/main" id="{56C55CEB-B527-481E-A355-574AB009C0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8" name="Host Control  221" hidden="1">
          <a:extLst>
            <a:ext uri="{FF2B5EF4-FFF2-40B4-BE49-F238E27FC236}">
              <a16:creationId xmlns:a16="http://schemas.microsoft.com/office/drawing/2014/main" id="{C49CB3AA-63D5-4227-848F-82DE43E2CF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9" name="Host Control  222" hidden="1">
          <a:extLst>
            <a:ext uri="{FF2B5EF4-FFF2-40B4-BE49-F238E27FC236}">
              <a16:creationId xmlns:a16="http://schemas.microsoft.com/office/drawing/2014/main" id="{5C0297A0-9EC8-4174-B4C9-35C10CED4E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0" name="Host Control  223" hidden="1">
          <a:extLst>
            <a:ext uri="{FF2B5EF4-FFF2-40B4-BE49-F238E27FC236}">
              <a16:creationId xmlns:a16="http://schemas.microsoft.com/office/drawing/2014/main" id="{898E1844-CDD2-4FDA-A17F-0ABA02776C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1" name="Host Control  224" hidden="1">
          <a:extLst>
            <a:ext uri="{FF2B5EF4-FFF2-40B4-BE49-F238E27FC236}">
              <a16:creationId xmlns:a16="http://schemas.microsoft.com/office/drawing/2014/main" id="{483DACD9-E1E2-4D71-890D-D921C8F7BA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2" name="Host Control  225" hidden="1">
          <a:extLst>
            <a:ext uri="{FF2B5EF4-FFF2-40B4-BE49-F238E27FC236}">
              <a16:creationId xmlns:a16="http://schemas.microsoft.com/office/drawing/2014/main" id="{94FDC1D4-A025-4F9A-B4C0-5F526FC6EF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3" name="Host Control  226" hidden="1">
          <a:extLst>
            <a:ext uri="{FF2B5EF4-FFF2-40B4-BE49-F238E27FC236}">
              <a16:creationId xmlns:a16="http://schemas.microsoft.com/office/drawing/2014/main" id="{988D0172-A7B2-43C6-B1C8-300BEB40B0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4" name="Host Control  227" hidden="1">
          <a:extLst>
            <a:ext uri="{FF2B5EF4-FFF2-40B4-BE49-F238E27FC236}">
              <a16:creationId xmlns:a16="http://schemas.microsoft.com/office/drawing/2014/main" id="{65C86CB7-58CD-4BF7-B982-12177F5478C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5" name="Host Control  228" hidden="1">
          <a:extLst>
            <a:ext uri="{FF2B5EF4-FFF2-40B4-BE49-F238E27FC236}">
              <a16:creationId xmlns:a16="http://schemas.microsoft.com/office/drawing/2014/main" id="{F4313EBC-DC69-49A4-B091-DBCB633B741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6" name="Host Control  229" hidden="1">
          <a:extLst>
            <a:ext uri="{FF2B5EF4-FFF2-40B4-BE49-F238E27FC236}">
              <a16:creationId xmlns:a16="http://schemas.microsoft.com/office/drawing/2014/main" id="{DB81ED6D-7D91-446B-AC6C-25B60E1E3D5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7" name="Host Control  230" hidden="1">
          <a:extLst>
            <a:ext uri="{FF2B5EF4-FFF2-40B4-BE49-F238E27FC236}">
              <a16:creationId xmlns:a16="http://schemas.microsoft.com/office/drawing/2014/main" id="{070FEDFF-1413-4867-9D2D-C9F937FFED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8" name="Host Control  234" hidden="1">
          <a:extLst>
            <a:ext uri="{FF2B5EF4-FFF2-40B4-BE49-F238E27FC236}">
              <a16:creationId xmlns:a16="http://schemas.microsoft.com/office/drawing/2014/main" id="{009D074A-F16A-43FA-9C7E-D837121E7A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9" name="Host Control  235" hidden="1">
          <a:extLst>
            <a:ext uri="{FF2B5EF4-FFF2-40B4-BE49-F238E27FC236}">
              <a16:creationId xmlns:a16="http://schemas.microsoft.com/office/drawing/2014/main" id="{A2AD308E-8924-4A01-9085-1E4A84F0323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0" name="Host Control  236" hidden="1">
          <a:extLst>
            <a:ext uri="{FF2B5EF4-FFF2-40B4-BE49-F238E27FC236}">
              <a16:creationId xmlns:a16="http://schemas.microsoft.com/office/drawing/2014/main" id="{316E9FE7-5CFD-4B70-8D07-1AC1D44290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1" name="Host Control  237" hidden="1">
          <a:extLst>
            <a:ext uri="{FF2B5EF4-FFF2-40B4-BE49-F238E27FC236}">
              <a16:creationId xmlns:a16="http://schemas.microsoft.com/office/drawing/2014/main" id="{C214AE81-0A15-4F73-9911-62A42A577E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2" name="Host Control  238" hidden="1">
          <a:extLst>
            <a:ext uri="{FF2B5EF4-FFF2-40B4-BE49-F238E27FC236}">
              <a16:creationId xmlns:a16="http://schemas.microsoft.com/office/drawing/2014/main" id="{E422B768-7760-476F-837E-F2B29CFAFD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3" name="Host Control  239" hidden="1">
          <a:extLst>
            <a:ext uri="{FF2B5EF4-FFF2-40B4-BE49-F238E27FC236}">
              <a16:creationId xmlns:a16="http://schemas.microsoft.com/office/drawing/2014/main" id="{903F3B17-AEF0-44C9-A949-9FA9E8B4EE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4" name="Host Control  240" hidden="1">
          <a:extLst>
            <a:ext uri="{FF2B5EF4-FFF2-40B4-BE49-F238E27FC236}">
              <a16:creationId xmlns:a16="http://schemas.microsoft.com/office/drawing/2014/main" id="{58444FF6-6E15-40A1-8A02-41FEFA08C2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5" name="Host Control  241" hidden="1">
          <a:extLst>
            <a:ext uri="{FF2B5EF4-FFF2-40B4-BE49-F238E27FC236}">
              <a16:creationId xmlns:a16="http://schemas.microsoft.com/office/drawing/2014/main" id="{CE6CE5BB-6519-4C65-93B6-16FC2EE23B2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6" name="Host Control  242" hidden="1">
          <a:extLst>
            <a:ext uri="{FF2B5EF4-FFF2-40B4-BE49-F238E27FC236}">
              <a16:creationId xmlns:a16="http://schemas.microsoft.com/office/drawing/2014/main" id="{A4F3BC9C-ECEB-41E3-AEC1-2F806C9A3C3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7" name="Host Control  243" hidden="1">
          <a:extLst>
            <a:ext uri="{FF2B5EF4-FFF2-40B4-BE49-F238E27FC236}">
              <a16:creationId xmlns:a16="http://schemas.microsoft.com/office/drawing/2014/main" id="{6F5BB7EB-3FDB-4ADD-81D8-2278A28131C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8" name="Host Control  244" hidden="1">
          <a:extLst>
            <a:ext uri="{FF2B5EF4-FFF2-40B4-BE49-F238E27FC236}">
              <a16:creationId xmlns:a16="http://schemas.microsoft.com/office/drawing/2014/main" id="{2FF2FA28-129D-4C18-9A32-6DFE261EE1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9" name="Host Control  245" hidden="1">
          <a:extLst>
            <a:ext uri="{FF2B5EF4-FFF2-40B4-BE49-F238E27FC236}">
              <a16:creationId xmlns:a16="http://schemas.microsoft.com/office/drawing/2014/main" id="{54D05864-81F4-4CBA-8B76-A5132B6FDE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0" name="Host Control  246" hidden="1">
          <a:extLst>
            <a:ext uri="{FF2B5EF4-FFF2-40B4-BE49-F238E27FC236}">
              <a16:creationId xmlns:a16="http://schemas.microsoft.com/office/drawing/2014/main" id="{08F68CDF-42F2-4B30-AA2F-DFE88B3896D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1" name="Host Control  247" hidden="1">
          <a:extLst>
            <a:ext uri="{FF2B5EF4-FFF2-40B4-BE49-F238E27FC236}">
              <a16:creationId xmlns:a16="http://schemas.microsoft.com/office/drawing/2014/main" id="{630FD6C0-C892-4A9D-B12B-1E3A95CD387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2" name="Host Control  248" hidden="1">
          <a:extLst>
            <a:ext uri="{FF2B5EF4-FFF2-40B4-BE49-F238E27FC236}">
              <a16:creationId xmlns:a16="http://schemas.microsoft.com/office/drawing/2014/main" id="{5C18493A-600D-45A6-84EE-75A4EE4D8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3" name="Host Control  249" hidden="1">
          <a:extLst>
            <a:ext uri="{FF2B5EF4-FFF2-40B4-BE49-F238E27FC236}">
              <a16:creationId xmlns:a16="http://schemas.microsoft.com/office/drawing/2014/main" id="{448B0AE0-F446-4BDE-858B-20EBB902173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4" name="Host Control  250" hidden="1">
          <a:extLst>
            <a:ext uri="{FF2B5EF4-FFF2-40B4-BE49-F238E27FC236}">
              <a16:creationId xmlns:a16="http://schemas.microsoft.com/office/drawing/2014/main" id="{7F2F2ED1-4A5E-4A56-B0E0-D5CCA4838B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5" name="Host Control  251" hidden="1">
          <a:extLst>
            <a:ext uri="{FF2B5EF4-FFF2-40B4-BE49-F238E27FC236}">
              <a16:creationId xmlns:a16="http://schemas.microsoft.com/office/drawing/2014/main" id="{2288790D-8F22-4BC1-90BE-EB92E51B7A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6" name="Host Control  252" hidden="1">
          <a:extLst>
            <a:ext uri="{FF2B5EF4-FFF2-40B4-BE49-F238E27FC236}">
              <a16:creationId xmlns:a16="http://schemas.microsoft.com/office/drawing/2014/main" id="{A6B02CC9-A639-47DD-9D78-1203B2EB5E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7" name="Host Control  253" hidden="1">
          <a:extLst>
            <a:ext uri="{FF2B5EF4-FFF2-40B4-BE49-F238E27FC236}">
              <a16:creationId xmlns:a16="http://schemas.microsoft.com/office/drawing/2014/main" id="{60D8664E-1588-451A-AE52-87189EEFCB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8" name="Host Control  254" hidden="1">
          <a:extLst>
            <a:ext uri="{FF2B5EF4-FFF2-40B4-BE49-F238E27FC236}">
              <a16:creationId xmlns:a16="http://schemas.microsoft.com/office/drawing/2014/main" id="{E64B2F5B-A590-40D9-8A32-A0BB0710F9B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9" name="Host Control  255" hidden="1">
          <a:extLst>
            <a:ext uri="{FF2B5EF4-FFF2-40B4-BE49-F238E27FC236}">
              <a16:creationId xmlns:a16="http://schemas.microsoft.com/office/drawing/2014/main" id="{C4836D75-62C5-41B0-B4E6-3B1D750B678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0" name="Host Control  256" hidden="1">
          <a:extLst>
            <a:ext uri="{FF2B5EF4-FFF2-40B4-BE49-F238E27FC236}">
              <a16:creationId xmlns:a16="http://schemas.microsoft.com/office/drawing/2014/main" id="{601CAC44-931A-4C69-B01B-2F507802195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1" name="Host Control  257" hidden="1">
          <a:extLst>
            <a:ext uri="{FF2B5EF4-FFF2-40B4-BE49-F238E27FC236}">
              <a16:creationId xmlns:a16="http://schemas.microsoft.com/office/drawing/2014/main" id="{8EF2B101-7CD4-4424-B3A0-1F86327A482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2" name="Host Control  258" hidden="1">
          <a:extLst>
            <a:ext uri="{FF2B5EF4-FFF2-40B4-BE49-F238E27FC236}">
              <a16:creationId xmlns:a16="http://schemas.microsoft.com/office/drawing/2014/main" id="{B0F6DB92-0C62-428D-A8FF-FD62398714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3" name="Host Control  259" hidden="1">
          <a:extLst>
            <a:ext uri="{FF2B5EF4-FFF2-40B4-BE49-F238E27FC236}">
              <a16:creationId xmlns:a16="http://schemas.microsoft.com/office/drawing/2014/main" id="{FA1CC86C-D354-475C-A3DF-2A094AA25A0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4" name="Host Control  260" hidden="1">
          <a:extLst>
            <a:ext uri="{FF2B5EF4-FFF2-40B4-BE49-F238E27FC236}">
              <a16:creationId xmlns:a16="http://schemas.microsoft.com/office/drawing/2014/main" id="{309D2899-272F-40E6-BAD9-3E89352305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5" name="Host Control  261" hidden="1">
          <a:extLst>
            <a:ext uri="{FF2B5EF4-FFF2-40B4-BE49-F238E27FC236}">
              <a16:creationId xmlns:a16="http://schemas.microsoft.com/office/drawing/2014/main" id="{CE375050-F22E-4E5B-A63E-4EF4E3B320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6" name="Host Control  262" hidden="1">
          <a:extLst>
            <a:ext uri="{FF2B5EF4-FFF2-40B4-BE49-F238E27FC236}">
              <a16:creationId xmlns:a16="http://schemas.microsoft.com/office/drawing/2014/main" id="{E3DA42AD-0606-4727-8F31-6291D0E2F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7" name="Host Control  263" hidden="1">
          <a:extLst>
            <a:ext uri="{FF2B5EF4-FFF2-40B4-BE49-F238E27FC236}">
              <a16:creationId xmlns:a16="http://schemas.microsoft.com/office/drawing/2014/main" id="{7B16C06F-0DC5-4FBC-9C45-A5772B9C9A1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8" name="Host Control  267" hidden="1">
          <a:extLst>
            <a:ext uri="{FF2B5EF4-FFF2-40B4-BE49-F238E27FC236}">
              <a16:creationId xmlns:a16="http://schemas.microsoft.com/office/drawing/2014/main" id="{D4A8206F-CBE5-48A6-A388-379EBC69CB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9" name="Host Control  268" hidden="1">
          <a:extLst>
            <a:ext uri="{FF2B5EF4-FFF2-40B4-BE49-F238E27FC236}">
              <a16:creationId xmlns:a16="http://schemas.microsoft.com/office/drawing/2014/main" id="{E2307364-6431-40EA-A256-40287B06DF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0" name="Host Control  269" hidden="1">
          <a:extLst>
            <a:ext uri="{FF2B5EF4-FFF2-40B4-BE49-F238E27FC236}">
              <a16:creationId xmlns:a16="http://schemas.microsoft.com/office/drawing/2014/main" id="{FA81B921-EC5E-41DB-8AF5-2749B3416A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1" name="Host Control  270" hidden="1">
          <a:extLst>
            <a:ext uri="{FF2B5EF4-FFF2-40B4-BE49-F238E27FC236}">
              <a16:creationId xmlns:a16="http://schemas.microsoft.com/office/drawing/2014/main" id="{ACA780A2-694A-4E35-A752-C240F52272E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2" name="Host Control  271" hidden="1">
          <a:extLst>
            <a:ext uri="{FF2B5EF4-FFF2-40B4-BE49-F238E27FC236}">
              <a16:creationId xmlns:a16="http://schemas.microsoft.com/office/drawing/2014/main" id="{D0C3D6CF-79F6-42B4-9BD8-31E7DE64FAE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3" name="Host Control  272" hidden="1">
          <a:extLst>
            <a:ext uri="{FF2B5EF4-FFF2-40B4-BE49-F238E27FC236}">
              <a16:creationId xmlns:a16="http://schemas.microsoft.com/office/drawing/2014/main" id="{B0D46EBE-2228-42B4-B8ED-59FF7A20A3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4" name="Host Control  273" hidden="1">
          <a:extLst>
            <a:ext uri="{FF2B5EF4-FFF2-40B4-BE49-F238E27FC236}">
              <a16:creationId xmlns:a16="http://schemas.microsoft.com/office/drawing/2014/main" id="{D1E1CFF0-A23E-4DBB-B706-41E70C837B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5" name="Host Control  274" hidden="1">
          <a:extLst>
            <a:ext uri="{FF2B5EF4-FFF2-40B4-BE49-F238E27FC236}">
              <a16:creationId xmlns:a16="http://schemas.microsoft.com/office/drawing/2014/main" id="{3DE1391B-CAE9-401F-BFA8-138916BD440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6" name="Host Control  275" hidden="1">
          <a:extLst>
            <a:ext uri="{FF2B5EF4-FFF2-40B4-BE49-F238E27FC236}">
              <a16:creationId xmlns:a16="http://schemas.microsoft.com/office/drawing/2014/main" id="{0D300EFB-1F22-4CD4-AE24-3648B6DCA7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7" name="Host Control  276" hidden="1">
          <a:extLst>
            <a:ext uri="{FF2B5EF4-FFF2-40B4-BE49-F238E27FC236}">
              <a16:creationId xmlns:a16="http://schemas.microsoft.com/office/drawing/2014/main" id="{AC9C8BEB-3AF5-447E-B12D-202D4684254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8" name="Host Control  277" hidden="1">
          <a:extLst>
            <a:ext uri="{FF2B5EF4-FFF2-40B4-BE49-F238E27FC236}">
              <a16:creationId xmlns:a16="http://schemas.microsoft.com/office/drawing/2014/main" id="{C986F142-D520-4D18-B374-3809CCFF4D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9" name="Host Control  278" hidden="1">
          <a:extLst>
            <a:ext uri="{FF2B5EF4-FFF2-40B4-BE49-F238E27FC236}">
              <a16:creationId xmlns:a16="http://schemas.microsoft.com/office/drawing/2014/main" id="{13AC6226-63E2-40EB-958E-DD61BD73A0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0" name="Host Control  279" hidden="1">
          <a:extLst>
            <a:ext uri="{FF2B5EF4-FFF2-40B4-BE49-F238E27FC236}">
              <a16:creationId xmlns:a16="http://schemas.microsoft.com/office/drawing/2014/main" id="{80D92EE1-DABC-4B1E-A2FC-B0B959500C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1" name="Host Control  280" hidden="1">
          <a:extLst>
            <a:ext uri="{FF2B5EF4-FFF2-40B4-BE49-F238E27FC236}">
              <a16:creationId xmlns:a16="http://schemas.microsoft.com/office/drawing/2014/main" id="{DFACF3EE-DFAC-4ED5-B0F6-E12C816FC7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2" name="Host Control  281" hidden="1">
          <a:extLst>
            <a:ext uri="{FF2B5EF4-FFF2-40B4-BE49-F238E27FC236}">
              <a16:creationId xmlns:a16="http://schemas.microsoft.com/office/drawing/2014/main" id="{AC457BD2-BA5B-40D8-9FE9-FCFC45F968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3" name="Host Control  282" hidden="1">
          <a:extLst>
            <a:ext uri="{FF2B5EF4-FFF2-40B4-BE49-F238E27FC236}">
              <a16:creationId xmlns:a16="http://schemas.microsoft.com/office/drawing/2014/main" id="{7F7C1BED-4670-4679-A4B1-6D8E060DA0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4" name="Host Control  283" hidden="1">
          <a:extLst>
            <a:ext uri="{FF2B5EF4-FFF2-40B4-BE49-F238E27FC236}">
              <a16:creationId xmlns:a16="http://schemas.microsoft.com/office/drawing/2014/main" id="{0FD07E60-3160-4087-BFC8-1B0FC0B7691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5" name="Host Control  284" hidden="1">
          <a:extLst>
            <a:ext uri="{FF2B5EF4-FFF2-40B4-BE49-F238E27FC236}">
              <a16:creationId xmlns:a16="http://schemas.microsoft.com/office/drawing/2014/main" id="{10EFCC1A-2433-411C-AE44-CCFE37BDD8F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6" name="Host Control  285" hidden="1">
          <a:extLst>
            <a:ext uri="{FF2B5EF4-FFF2-40B4-BE49-F238E27FC236}">
              <a16:creationId xmlns:a16="http://schemas.microsoft.com/office/drawing/2014/main" id="{159092DE-186C-4B38-A293-113C89237CF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7" name="Host Control  286" hidden="1">
          <a:extLst>
            <a:ext uri="{FF2B5EF4-FFF2-40B4-BE49-F238E27FC236}">
              <a16:creationId xmlns:a16="http://schemas.microsoft.com/office/drawing/2014/main" id="{D394C659-7FA6-425B-8EF8-4B354F98FE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8" name="Host Control  287" hidden="1">
          <a:extLst>
            <a:ext uri="{FF2B5EF4-FFF2-40B4-BE49-F238E27FC236}">
              <a16:creationId xmlns:a16="http://schemas.microsoft.com/office/drawing/2014/main" id="{532E2D6A-52CD-4523-A662-A986BFDAC16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9" name="Host Control  288" hidden="1">
          <a:extLst>
            <a:ext uri="{FF2B5EF4-FFF2-40B4-BE49-F238E27FC236}">
              <a16:creationId xmlns:a16="http://schemas.microsoft.com/office/drawing/2014/main" id="{00D77F77-4FD5-4238-A3EF-519D912E44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0" name="Host Control  289" hidden="1">
          <a:extLst>
            <a:ext uri="{FF2B5EF4-FFF2-40B4-BE49-F238E27FC236}">
              <a16:creationId xmlns:a16="http://schemas.microsoft.com/office/drawing/2014/main" id="{39F3D10D-41FF-45F8-BFFE-8B0C8C8FB9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1" name="Host Control  290" hidden="1">
          <a:extLst>
            <a:ext uri="{FF2B5EF4-FFF2-40B4-BE49-F238E27FC236}">
              <a16:creationId xmlns:a16="http://schemas.microsoft.com/office/drawing/2014/main" id="{E7F20687-04D5-4A53-B96C-9A57334132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2" name="Host Control  291" hidden="1">
          <a:extLst>
            <a:ext uri="{FF2B5EF4-FFF2-40B4-BE49-F238E27FC236}">
              <a16:creationId xmlns:a16="http://schemas.microsoft.com/office/drawing/2014/main" id="{54E78A63-E27A-4B97-B34A-12D07A8D50A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3" name="Host Control  292" hidden="1">
          <a:extLst>
            <a:ext uri="{FF2B5EF4-FFF2-40B4-BE49-F238E27FC236}">
              <a16:creationId xmlns:a16="http://schemas.microsoft.com/office/drawing/2014/main" id="{7803094D-EA76-43EC-A0B9-EE974FA666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4" name="Host Control  293" hidden="1">
          <a:extLst>
            <a:ext uri="{FF2B5EF4-FFF2-40B4-BE49-F238E27FC236}">
              <a16:creationId xmlns:a16="http://schemas.microsoft.com/office/drawing/2014/main" id="{2ECAF215-4A04-4896-AA81-4F4314C9FA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5" name="Host Control  294" hidden="1">
          <a:extLst>
            <a:ext uri="{FF2B5EF4-FFF2-40B4-BE49-F238E27FC236}">
              <a16:creationId xmlns:a16="http://schemas.microsoft.com/office/drawing/2014/main" id="{6B4AFED7-E6D4-452F-B864-A424975644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6" name="Host Control  295" hidden="1">
          <a:extLst>
            <a:ext uri="{FF2B5EF4-FFF2-40B4-BE49-F238E27FC236}">
              <a16:creationId xmlns:a16="http://schemas.microsoft.com/office/drawing/2014/main" id="{2EFD1726-776B-4194-8983-610EDC8318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7" name="Host Control  296" hidden="1">
          <a:extLst>
            <a:ext uri="{FF2B5EF4-FFF2-40B4-BE49-F238E27FC236}">
              <a16:creationId xmlns:a16="http://schemas.microsoft.com/office/drawing/2014/main" id="{62EC97AD-0E33-493B-B012-EA11DB146A2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28495" cy="304800"/>
    <xdr:sp macro="" textlink="">
      <xdr:nvSpPr>
        <xdr:cNvPr id="4178" name="Host Control  32">
          <a:extLst>
            <a:ext uri="{FF2B5EF4-FFF2-40B4-BE49-F238E27FC236}">
              <a16:creationId xmlns:a16="http://schemas.microsoft.com/office/drawing/2014/main" id="{A8769F4E-9695-40A2-A1A9-1CBF94A5CFD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79" name="Host Control  33">
          <a:extLst>
            <a:ext uri="{FF2B5EF4-FFF2-40B4-BE49-F238E27FC236}">
              <a16:creationId xmlns:a16="http://schemas.microsoft.com/office/drawing/2014/main" id="{A65469FC-639C-431B-AE55-4FF57DD62B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0" name="Host Control  34">
          <a:extLst>
            <a:ext uri="{FF2B5EF4-FFF2-40B4-BE49-F238E27FC236}">
              <a16:creationId xmlns:a16="http://schemas.microsoft.com/office/drawing/2014/main" id="{47BDBBE4-C5D1-487E-B044-A111C37BCF4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1" name="Host Control  35">
          <a:extLst>
            <a:ext uri="{FF2B5EF4-FFF2-40B4-BE49-F238E27FC236}">
              <a16:creationId xmlns:a16="http://schemas.microsoft.com/office/drawing/2014/main" id="{E8E5B32C-5190-4948-A857-BAD3E850C85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2" name="Host Control  36">
          <a:extLst>
            <a:ext uri="{FF2B5EF4-FFF2-40B4-BE49-F238E27FC236}">
              <a16:creationId xmlns:a16="http://schemas.microsoft.com/office/drawing/2014/main" id="{B0012ED9-4B38-4EF5-907C-FD8DEC78CD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3" name="Host Control  37">
          <a:extLst>
            <a:ext uri="{FF2B5EF4-FFF2-40B4-BE49-F238E27FC236}">
              <a16:creationId xmlns:a16="http://schemas.microsoft.com/office/drawing/2014/main" id="{BAB11D04-BC48-46C5-9D21-26D7D0073F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4" name="Host Control  38">
          <a:extLst>
            <a:ext uri="{FF2B5EF4-FFF2-40B4-BE49-F238E27FC236}">
              <a16:creationId xmlns:a16="http://schemas.microsoft.com/office/drawing/2014/main" id="{E783D57D-3D6B-41C7-A4FE-2AE78683BF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5" name="Host Control  39">
          <a:extLst>
            <a:ext uri="{FF2B5EF4-FFF2-40B4-BE49-F238E27FC236}">
              <a16:creationId xmlns:a16="http://schemas.microsoft.com/office/drawing/2014/main" id="{A41C882C-0613-4814-B402-25864C4C6AB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6" name="Host Control  40">
          <a:extLst>
            <a:ext uri="{FF2B5EF4-FFF2-40B4-BE49-F238E27FC236}">
              <a16:creationId xmlns:a16="http://schemas.microsoft.com/office/drawing/2014/main" id="{E2ED8F6B-5D1A-41DE-972C-46BF9E6503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7" name="Host Control  41">
          <a:extLst>
            <a:ext uri="{FF2B5EF4-FFF2-40B4-BE49-F238E27FC236}">
              <a16:creationId xmlns:a16="http://schemas.microsoft.com/office/drawing/2014/main" id="{6D9A7902-4D67-49A8-BFE1-2948F332AB0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8" name="Host Control  42">
          <a:extLst>
            <a:ext uri="{FF2B5EF4-FFF2-40B4-BE49-F238E27FC236}">
              <a16:creationId xmlns:a16="http://schemas.microsoft.com/office/drawing/2014/main" id="{0615596D-4ECC-4EAE-89AC-6A3C299860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9" name="Host Control  43">
          <a:extLst>
            <a:ext uri="{FF2B5EF4-FFF2-40B4-BE49-F238E27FC236}">
              <a16:creationId xmlns:a16="http://schemas.microsoft.com/office/drawing/2014/main" id="{7A6F61CD-46A8-47B2-831D-5C679280EE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0" name="Host Control  44">
          <a:extLst>
            <a:ext uri="{FF2B5EF4-FFF2-40B4-BE49-F238E27FC236}">
              <a16:creationId xmlns:a16="http://schemas.microsoft.com/office/drawing/2014/main" id="{3860D405-BE0B-401E-BE54-92944E93AD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1" name="Host Control  45">
          <a:extLst>
            <a:ext uri="{FF2B5EF4-FFF2-40B4-BE49-F238E27FC236}">
              <a16:creationId xmlns:a16="http://schemas.microsoft.com/office/drawing/2014/main" id="{59596EC7-7282-446D-8ED2-DCD7695E15A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2" name="Host Control  46">
          <a:extLst>
            <a:ext uri="{FF2B5EF4-FFF2-40B4-BE49-F238E27FC236}">
              <a16:creationId xmlns:a16="http://schemas.microsoft.com/office/drawing/2014/main" id="{AF86B734-0464-43DC-8120-948F2F3F6A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3" name="Host Control  47">
          <a:extLst>
            <a:ext uri="{FF2B5EF4-FFF2-40B4-BE49-F238E27FC236}">
              <a16:creationId xmlns:a16="http://schemas.microsoft.com/office/drawing/2014/main" id="{BEBB6158-7FCF-45BA-BFC2-BCAA597793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4" name="Host Control  48">
          <a:extLst>
            <a:ext uri="{FF2B5EF4-FFF2-40B4-BE49-F238E27FC236}">
              <a16:creationId xmlns:a16="http://schemas.microsoft.com/office/drawing/2014/main" id="{E87AE280-4D7C-4465-9960-EBB37F4E15D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5" name="Host Control  49">
          <a:extLst>
            <a:ext uri="{FF2B5EF4-FFF2-40B4-BE49-F238E27FC236}">
              <a16:creationId xmlns:a16="http://schemas.microsoft.com/office/drawing/2014/main" id="{8ED58D76-8337-4A4A-AA52-C2DFD9A3E4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6" name="Host Control  50">
          <a:extLst>
            <a:ext uri="{FF2B5EF4-FFF2-40B4-BE49-F238E27FC236}">
              <a16:creationId xmlns:a16="http://schemas.microsoft.com/office/drawing/2014/main" id="{A63C4A40-B8E7-4ED3-B422-A2323792D30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7" name="Host Control  51">
          <a:extLst>
            <a:ext uri="{FF2B5EF4-FFF2-40B4-BE49-F238E27FC236}">
              <a16:creationId xmlns:a16="http://schemas.microsoft.com/office/drawing/2014/main" id="{0287110E-0D5D-43C7-A6A1-D4409E916C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8" name="Host Control  52">
          <a:extLst>
            <a:ext uri="{FF2B5EF4-FFF2-40B4-BE49-F238E27FC236}">
              <a16:creationId xmlns:a16="http://schemas.microsoft.com/office/drawing/2014/main" id="{156E8BD9-B8DC-492E-84BC-5B4F0F05C4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9" name="Host Control  53">
          <a:extLst>
            <a:ext uri="{FF2B5EF4-FFF2-40B4-BE49-F238E27FC236}">
              <a16:creationId xmlns:a16="http://schemas.microsoft.com/office/drawing/2014/main" id="{9C8942A2-283A-4678-86EB-B9B15440A67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0" name="Host Control  54">
          <a:extLst>
            <a:ext uri="{FF2B5EF4-FFF2-40B4-BE49-F238E27FC236}">
              <a16:creationId xmlns:a16="http://schemas.microsoft.com/office/drawing/2014/main" id="{80BE9B79-3A94-4613-8A65-1369843E0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1" name="Host Control  55">
          <a:extLst>
            <a:ext uri="{FF2B5EF4-FFF2-40B4-BE49-F238E27FC236}">
              <a16:creationId xmlns:a16="http://schemas.microsoft.com/office/drawing/2014/main" id="{AB49C4BC-D44F-4CBC-AD17-36DC126B68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2" name="Host Control  56">
          <a:extLst>
            <a:ext uri="{FF2B5EF4-FFF2-40B4-BE49-F238E27FC236}">
              <a16:creationId xmlns:a16="http://schemas.microsoft.com/office/drawing/2014/main" id="{65ACF0AD-734E-4DFA-91A9-57C65EC6B8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3" name="Host Control  57">
          <a:extLst>
            <a:ext uri="{FF2B5EF4-FFF2-40B4-BE49-F238E27FC236}">
              <a16:creationId xmlns:a16="http://schemas.microsoft.com/office/drawing/2014/main" id="{77647528-5F31-4C78-B0C8-DC0F3697E42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4" name="Host Control  58">
          <a:extLst>
            <a:ext uri="{FF2B5EF4-FFF2-40B4-BE49-F238E27FC236}">
              <a16:creationId xmlns:a16="http://schemas.microsoft.com/office/drawing/2014/main" id="{CDB19532-6989-4E75-AC60-D65DDACF33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5" name="Host Control  59">
          <a:extLst>
            <a:ext uri="{FF2B5EF4-FFF2-40B4-BE49-F238E27FC236}">
              <a16:creationId xmlns:a16="http://schemas.microsoft.com/office/drawing/2014/main" id="{25632918-840A-42BC-9B45-01B5290A9C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6" name="Host Control  60">
          <a:extLst>
            <a:ext uri="{FF2B5EF4-FFF2-40B4-BE49-F238E27FC236}">
              <a16:creationId xmlns:a16="http://schemas.microsoft.com/office/drawing/2014/main" id="{6D6DC73C-693F-4C1C-A85F-A4758B0EB1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7" name="Host Control  61">
          <a:extLst>
            <a:ext uri="{FF2B5EF4-FFF2-40B4-BE49-F238E27FC236}">
              <a16:creationId xmlns:a16="http://schemas.microsoft.com/office/drawing/2014/main" id="{02EA4158-F318-40BB-8E3A-08A8158CD0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8" name="Host Control  65">
          <a:extLst>
            <a:ext uri="{FF2B5EF4-FFF2-40B4-BE49-F238E27FC236}">
              <a16:creationId xmlns:a16="http://schemas.microsoft.com/office/drawing/2014/main" id="{B5EE77B2-80F6-4FD2-A88D-80ED293031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9" name="Host Control  66">
          <a:extLst>
            <a:ext uri="{FF2B5EF4-FFF2-40B4-BE49-F238E27FC236}">
              <a16:creationId xmlns:a16="http://schemas.microsoft.com/office/drawing/2014/main" id="{ADF86FE2-EAD4-4C44-8E11-5B45159465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0" name="Host Control  67">
          <a:extLst>
            <a:ext uri="{FF2B5EF4-FFF2-40B4-BE49-F238E27FC236}">
              <a16:creationId xmlns:a16="http://schemas.microsoft.com/office/drawing/2014/main" id="{46FFB7EF-9173-4F81-8253-C09CCB7191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1" name="Host Control  68">
          <a:extLst>
            <a:ext uri="{FF2B5EF4-FFF2-40B4-BE49-F238E27FC236}">
              <a16:creationId xmlns:a16="http://schemas.microsoft.com/office/drawing/2014/main" id="{A91087FF-ACFB-4C31-A2A6-040A48B1D5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2" name="Host Control  69">
          <a:extLst>
            <a:ext uri="{FF2B5EF4-FFF2-40B4-BE49-F238E27FC236}">
              <a16:creationId xmlns:a16="http://schemas.microsoft.com/office/drawing/2014/main" id="{90C7F630-243E-4F18-82B2-29DECA8E086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3" name="Host Control  70">
          <a:extLst>
            <a:ext uri="{FF2B5EF4-FFF2-40B4-BE49-F238E27FC236}">
              <a16:creationId xmlns:a16="http://schemas.microsoft.com/office/drawing/2014/main" id="{A5830E35-2F31-4A45-B71D-31CEF96D034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4" name="Host Control  71">
          <a:extLst>
            <a:ext uri="{FF2B5EF4-FFF2-40B4-BE49-F238E27FC236}">
              <a16:creationId xmlns:a16="http://schemas.microsoft.com/office/drawing/2014/main" id="{678A73E4-2D88-423A-97CD-6F1DEC252B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5" name="Host Control  72">
          <a:extLst>
            <a:ext uri="{FF2B5EF4-FFF2-40B4-BE49-F238E27FC236}">
              <a16:creationId xmlns:a16="http://schemas.microsoft.com/office/drawing/2014/main" id="{01A6FFD7-2333-4CC7-9453-38FC60585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6" name="Host Control  73">
          <a:extLst>
            <a:ext uri="{FF2B5EF4-FFF2-40B4-BE49-F238E27FC236}">
              <a16:creationId xmlns:a16="http://schemas.microsoft.com/office/drawing/2014/main" id="{49745DF0-6912-4F45-908F-6A42C6F5FB7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7" name="Host Control  74">
          <a:extLst>
            <a:ext uri="{FF2B5EF4-FFF2-40B4-BE49-F238E27FC236}">
              <a16:creationId xmlns:a16="http://schemas.microsoft.com/office/drawing/2014/main" id="{E24E371C-BCE2-4AB5-849C-C4F450C74B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8" name="Host Control  75">
          <a:extLst>
            <a:ext uri="{FF2B5EF4-FFF2-40B4-BE49-F238E27FC236}">
              <a16:creationId xmlns:a16="http://schemas.microsoft.com/office/drawing/2014/main" id="{5F1FA597-8212-4D34-95F6-18D6FF12307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9" name="Host Control  76">
          <a:extLst>
            <a:ext uri="{FF2B5EF4-FFF2-40B4-BE49-F238E27FC236}">
              <a16:creationId xmlns:a16="http://schemas.microsoft.com/office/drawing/2014/main" id="{F9D86450-E8EE-4A91-AC4A-7B73C1BBFA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0" name="Host Control  77">
          <a:extLst>
            <a:ext uri="{FF2B5EF4-FFF2-40B4-BE49-F238E27FC236}">
              <a16:creationId xmlns:a16="http://schemas.microsoft.com/office/drawing/2014/main" id="{98ECBE4D-A0A5-40A7-855A-09FB2A96364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1" name="Host Control  78">
          <a:extLst>
            <a:ext uri="{FF2B5EF4-FFF2-40B4-BE49-F238E27FC236}">
              <a16:creationId xmlns:a16="http://schemas.microsoft.com/office/drawing/2014/main" id="{7903C686-BE8A-4D5F-939B-C870B20F53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2" name="Host Control  79">
          <a:extLst>
            <a:ext uri="{FF2B5EF4-FFF2-40B4-BE49-F238E27FC236}">
              <a16:creationId xmlns:a16="http://schemas.microsoft.com/office/drawing/2014/main" id="{0B252BBD-6361-4ADD-AC03-DE093B3F8D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3" name="Host Control  80">
          <a:extLst>
            <a:ext uri="{FF2B5EF4-FFF2-40B4-BE49-F238E27FC236}">
              <a16:creationId xmlns:a16="http://schemas.microsoft.com/office/drawing/2014/main" id="{99FE71DE-0C2C-4468-BD53-7B21E0C4FB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4" name="Host Control  81">
          <a:extLst>
            <a:ext uri="{FF2B5EF4-FFF2-40B4-BE49-F238E27FC236}">
              <a16:creationId xmlns:a16="http://schemas.microsoft.com/office/drawing/2014/main" id="{21DC6B0F-E83A-4355-98EB-2D553EB1E5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5" name="Host Control  82">
          <a:extLst>
            <a:ext uri="{FF2B5EF4-FFF2-40B4-BE49-F238E27FC236}">
              <a16:creationId xmlns:a16="http://schemas.microsoft.com/office/drawing/2014/main" id="{7171AEFC-2B65-4A85-BCCF-D291CE1627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6" name="Host Control  83">
          <a:extLst>
            <a:ext uri="{FF2B5EF4-FFF2-40B4-BE49-F238E27FC236}">
              <a16:creationId xmlns:a16="http://schemas.microsoft.com/office/drawing/2014/main" id="{00D88CD0-EAB3-49BD-8CD6-D373D59C0AE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7" name="Host Control  84">
          <a:extLst>
            <a:ext uri="{FF2B5EF4-FFF2-40B4-BE49-F238E27FC236}">
              <a16:creationId xmlns:a16="http://schemas.microsoft.com/office/drawing/2014/main" id="{6CAC9415-AF19-4FD8-8895-D5FD6228E37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8" name="Host Control  85">
          <a:extLst>
            <a:ext uri="{FF2B5EF4-FFF2-40B4-BE49-F238E27FC236}">
              <a16:creationId xmlns:a16="http://schemas.microsoft.com/office/drawing/2014/main" id="{D8AF8C2B-3A05-4F2D-9CBA-04B4AEF52B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9" name="Host Control  86">
          <a:extLst>
            <a:ext uri="{FF2B5EF4-FFF2-40B4-BE49-F238E27FC236}">
              <a16:creationId xmlns:a16="http://schemas.microsoft.com/office/drawing/2014/main" id="{825DE808-E169-4D90-8C46-5BA67D5647D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0" name="Host Control  87">
          <a:extLst>
            <a:ext uri="{FF2B5EF4-FFF2-40B4-BE49-F238E27FC236}">
              <a16:creationId xmlns:a16="http://schemas.microsoft.com/office/drawing/2014/main" id="{DC17003C-7903-4C6A-9B7A-DF61854C7E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1" name="Host Control  88">
          <a:extLst>
            <a:ext uri="{FF2B5EF4-FFF2-40B4-BE49-F238E27FC236}">
              <a16:creationId xmlns:a16="http://schemas.microsoft.com/office/drawing/2014/main" id="{23D6A000-6EFC-459D-A8E5-02B314D66A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2" name="Host Control  89">
          <a:extLst>
            <a:ext uri="{FF2B5EF4-FFF2-40B4-BE49-F238E27FC236}">
              <a16:creationId xmlns:a16="http://schemas.microsoft.com/office/drawing/2014/main" id="{B6EA1823-E769-4F70-B405-758ABF363C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3" name="Host Control  90">
          <a:extLst>
            <a:ext uri="{FF2B5EF4-FFF2-40B4-BE49-F238E27FC236}">
              <a16:creationId xmlns:a16="http://schemas.microsoft.com/office/drawing/2014/main" id="{0B1B7810-BD92-4F06-9503-C4EC321DFC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4" name="Host Control  91">
          <a:extLst>
            <a:ext uri="{FF2B5EF4-FFF2-40B4-BE49-F238E27FC236}">
              <a16:creationId xmlns:a16="http://schemas.microsoft.com/office/drawing/2014/main" id="{DC99E803-DC93-4EB3-BA45-B91400E56BE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5" name="Host Control  92">
          <a:extLst>
            <a:ext uri="{FF2B5EF4-FFF2-40B4-BE49-F238E27FC236}">
              <a16:creationId xmlns:a16="http://schemas.microsoft.com/office/drawing/2014/main" id="{086530C5-0514-47D7-8A0F-FCC2D89D77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6" name="Host Control  93">
          <a:extLst>
            <a:ext uri="{FF2B5EF4-FFF2-40B4-BE49-F238E27FC236}">
              <a16:creationId xmlns:a16="http://schemas.microsoft.com/office/drawing/2014/main" id="{C82F1EC7-39DD-4F4B-AA42-91BD65A18F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7" name="Host Control  94">
          <a:extLst>
            <a:ext uri="{FF2B5EF4-FFF2-40B4-BE49-F238E27FC236}">
              <a16:creationId xmlns:a16="http://schemas.microsoft.com/office/drawing/2014/main" id="{3E85E85A-415B-424A-8918-91382CE51D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8" name="Host Control  98">
          <a:extLst>
            <a:ext uri="{FF2B5EF4-FFF2-40B4-BE49-F238E27FC236}">
              <a16:creationId xmlns:a16="http://schemas.microsoft.com/office/drawing/2014/main" id="{BA4F20A8-2FBB-42C5-8ACC-0A07CD6752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9" name="Host Control  99">
          <a:extLst>
            <a:ext uri="{FF2B5EF4-FFF2-40B4-BE49-F238E27FC236}">
              <a16:creationId xmlns:a16="http://schemas.microsoft.com/office/drawing/2014/main" id="{CE8229A4-A278-4CF1-9923-8C40E347DB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0" name="Host Control  100">
          <a:extLst>
            <a:ext uri="{FF2B5EF4-FFF2-40B4-BE49-F238E27FC236}">
              <a16:creationId xmlns:a16="http://schemas.microsoft.com/office/drawing/2014/main" id="{0BE5BF4C-9F49-437D-A806-2CA62A4CE3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1" name="Host Control  101">
          <a:extLst>
            <a:ext uri="{FF2B5EF4-FFF2-40B4-BE49-F238E27FC236}">
              <a16:creationId xmlns:a16="http://schemas.microsoft.com/office/drawing/2014/main" id="{A869DF5A-0214-40B8-BF3B-081C3C3573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2" name="Host Control  102">
          <a:extLst>
            <a:ext uri="{FF2B5EF4-FFF2-40B4-BE49-F238E27FC236}">
              <a16:creationId xmlns:a16="http://schemas.microsoft.com/office/drawing/2014/main" id="{B76ADC4C-F4EA-48E3-A4D0-B191E45F1D3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3" name="Host Control  103">
          <a:extLst>
            <a:ext uri="{FF2B5EF4-FFF2-40B4-BE49-F238E27FC236}">
              <a16:creationId xmlns:a16="http://schemas.microsoft.com/office/drawing/2014/main" id="{4FD319EB-E3F5-499A-8417-748768975D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4" name="Host Control  104">
          <a:extLst>
            <a:ext uri="{FF2B5EF4-FFF2-40B4-BE49-F238E27FC236}">
              <a16:creationId xmlns:a16="http://schemas.microsoft.com/office/drawing/2014/main" id="{924E3537-664D-4B8A-92C6-17FEBECFDD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5" name="Host Control  105">
          <a:extLst>
            <a:ext uri="{FF2B5EF4-FFF2-40B4-BE49-F238E27FC236}">
              <a16:creationId xmlns:a16="http://schemas.microsoft.com/office/drawing/2014/main" id="{5CDD3B91-267F-47E8-8D56-E3D73C8FC2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6" name="Host Control  106">
          <a:extLst>
            <a:ext uri="{FF2B5EF4-FFF2-40B4-BE49-F238E27FC236}">
              <a16:creationId xmlns:a16="http://schemas.microsoft.com/office/drawing/2014/main" id="{B2E737D2-BE0B-4D89-8928-8E9E81AB6E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7" name="Host Control  107">
          <a:extLst>
            <a:ext uri="{FF2B5EF4-FFF2-40B4-BE49-F238E27FC236}">
              <a16:creationId xmlns:a16="http://schemas.microsoft.com/office/drawing/2014/main" id="{12E0FC8B-EAF9-4FE0-ACD8-E9206DA58FE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8" name="Host Control  108">
          <a:extLst>
            <a:ext uri="{FF2B5EF4-FFF2-40B4-BE49-F238E27FC236}">
              <a16:creationId xmlns:a16="http://schemas.microsoft.com/office/drawing/2014/main" id="{7CD63271-B7D1-4D22-8407-0540B7D795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9" name="Host Control  109">
          <a:extLst>
            <a:ext uri="{FF2B5EF4-FFF2-40B4-BE49-F238E27FC236}">
              <a16:creationId xmlns:a16="http://schemas.microsoft.com/office/drawing/2014/main" id="{88A076DB-A908-47A1-89BA-471A71C2C3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0" name="Host Control  110">
          <a:extLst>
            <a:ext uri="{FF2B5EF4-FFF2-40B4-BE49-F238E27FC236}">
              <a16:creationId xmlns:a16="http://schemas.microsoft.com/office/drawing/2014/main" id="{52CFCCE7-6456-4C68-B2AE-45F4D8836C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1" name="Host Control  111">
          <a:extLst>
            <a:ext uri="{FF2B5EF4-FFF2-40B4-BE49-F238E27FC236}">
              <a16:creationId xmlns:a16="http://schemas.microsoft.com/office/drawing/2014/main" id="{307DB2EA-CD86-440D-AB1A-6DA2E22C5B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2" name="Host Control  112">
          <a:extLst>
            <a:ext uri="{FF2B5EF4-FFF2-40B4-BE49-F238E27FC236}">
              <a16:creationId xmlns:a16="http://schemas.microsoft.com/office/drawing/2014/main" id="{CCD83636-511B-4974-879A-BAB5DD30196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3" name="Host Control  113">
          <a:extLst>
            <a:ext uri="{FF2B5EF4-FFF2-40B4-BE49-F238E27FC236}">
              <a16:creationId xmlns:a16="http://schemas.microsoft.com/office/drawing/2014/main" id="{7FECA30B-A58F-482F-8ADA-103E16710A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4" name="Host Control  114">
          <a:extLst>
            <a:ext uri="{FF2B5EF4-FFF2-40B4-BE49-F238E27FC236}">
              <a16:creationId xmlns:a16="http://schemas.microsoft.com/office/drawing/2014/main" id="{9D9E66AB-3CB8-4E92-BF10-2C045194F5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5" name="Host Control  115">
          <a:extLst>
            <a:ext uri="{FF2B5EF4-FFF2-40B4-BE49-F238E27FC236}">
              <a16:creationId xmlns:a16="http://schemas.microsoft.com/office/drawing/2014/main" id="{167B69DF-3A78-4D22-ABD7-1BD977BBCB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6" name="Host Control  116">
          <a:extLst>
            <a:ext uri="{FF2B5EF4-FFF2-40B4-BE49-F238E27FC236}">
              <a16:creationId xmlns:a16="http://schemas.microsoft.com/office/drawing/2014/main" id="{2F468704-FA91-41EB-B36B-4436A6A14C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7" name="Host Control  117">
          <a:extLst>
            <a:ext uri="{FF2B5EF4-FFF2-40B4-BE49-F238E27FC236}">
              <a16:creationId xmlns:a16="http://schemas.microsoft.com/office/drawing/2014/main" id="{22261406-8793-4D6F-AE92-ECB1334D70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8" name="Host Control  118">
          <a:extLst>
            <a:ext uri="{FF2B5EF4-FFF2-40B4-BE49-F238E27FC236}">
              <a16:creationId xmlns:a16="http://schemas.microsoft.com/office/drawing/2014/main" id="{F70F3DAA-AAB8-4A93-AE1E-4EE293CC1D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9" name="Host Control  119">
          <a:extLst>
            <a:ext uri="{FF2B5EF4-FFF2-40B4-BE49-F238E27FC236}">
              <a16:creationId xmlns:a16="http://schemas.microsoft.com/office/drawing/2014/main" id="{398892BB-7AC9-41A3-BFCB-92CFC02308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0" name="Host Control  120">
          <a:extLst>
            <a:ext uri="{FF2B5EF4-FFF2-40B4-BE49-F238E27FC236}">
              <a16:creationId xmlns:a16="http://schemas.microsoft.com/office/drawing/2014/main" id="{55F3F150-70B9-43D2-9C71-0328441E6AB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1" name="Host Control  121">
          <a:extLst>
            <a:ext uri="{FF2B5EF4-FFF2-40B4-BE49-F238E27FC236}">
              <a16:creationId xmlns:a16="http://schemas.microsoft.com/office/drawing/2014/main" id="{8C9092B4-2959-4816-9AE7-012C18396D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2" name="Host Control  122">
          <a:extLst>
            <a:ext uri="{FF2B5EF4-FFF2-40B4-BE49-F238E27FC236}">
              <a16:creationId xmlns:a16="http://schemas.microsoft.com/office/drawing/2014/main" id="{8277B837-57E0-4B0A-883A-B6245F7A57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3" name="Host Control  123">
          <a:extLst>
            <a:ext uri="{FF2B5EF4-FFF2-40B4-BE49-F238E27FC236}">
              <a16:creationId xmlns:a16="http://schemas.microsoft.com/office/drawing/2014/main" id="{FD275C1C-6BDB-489D-AC6F-22521FFD1E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4" name="Host Control  124">
          <a:extLst>
            <a:ext uri="{FF2B5EF4-FFF2-40B4-BE49-F238E27FC236}">
              <a16:creationId xmlns:a16="http://schemas.microsoft.com/office/drawing/2014/main" id="{011F3750-372F-4813-8F82-9E1AD2142A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5" name="Host Control  125">
          <a:extLst>
            <a:ext uri="{FF2B5EF4-FFF2-40B4-BE49-F238E27FC236}">
              <a16:creationId xmlns:a16="http://schemas.microsoft.com/office/drawing/2014/main" id="{83BC04FC-DFBF-4955-999B-98BFA8F66E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6" name="Host Control  126">
          <a:extLst>
            <a:ext uri="{FF2B5EF4-FFF2-40B4-BE49-F238E27FC236}">
              <a16:creationId xmlns:a16="http://schemas.microsoft.com/office/drawing/2014/main" id="{6BE59A99-D568-408C-ADB0-5E6B176D98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7" name="Host Control  127">
          <a:extLst>
            <a:ext uri="{FF2B5EF4-FFF2-40B4-BE49-F238E27FC236}">
              <a16:creationId xmlns:a16="http://schemas.microsoft.com/office/drawing/2014/main" id="{48B1D558-521B-460E-8F27-DA84F7D5BA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8" name="Host Control  135">
          <a:extLst>
            <a:ext uri="{FF2B5EF4-FFF2-40B4-BE49-F238E27FC236}">
              <a16:creationId xmlns:a16="http://schemas.microsoft.com/office/drawing/2014/main" id="{6C11BC5F-F6AE-4821-A21E-892CC1626D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9" name="Host Control  136">
          <a:extLst>
            <a:ext uri="{FF2B5EF4-FFF2-40B4-BE49-F238E27FC236}">
              <a16:creationId xmlns:a16="http://schemas.microsoft.com/office/drawing/2014/main" id="{F73BAD44-9BC6-4300-A6FC-E22C44C94B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0" name="Host Control  137">
          <a:extLst>
            <a:ext uri="{FF2B5EF4-FFF2-40B4-BE49-F238E27FC236}">
              <a16:creationId xmlns:a16="http://schemas.microsoft.com/office/drawing/2014/main" id="{4760D6D7-36D4-476E-AA62-5893216CAA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1" name="Host Control  138">
          <a:extLst>
            <a:ext uri="{FF2B5EF4-FFF2-40B4-BE49-F238E27FC236}">
              <a16:creationId xmlns:a16="http://schemas.microsoft.com/office/drawing/2014/main" id="{99AB17FE-05DA-4C14-B0DE-310316082A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2" name="Host Control  139">
          <a:extLst>
            <a:ext uri="{FF2B5EF4-FFF2-40B4-BE49-F238E27FC236}">
              <a16:creationId xmlns:a16="http://schemas.microsoft.com/office/drawing/2014/main" id="{41ED2560-8E57-4CC7-853E-8533FB5DA3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3" name="Host Control  140">
          <a:extLst>
            <a:ext uri="{FF2B5EF4-FFF2-40B4-BE49-F238E27FC236}">
              <a16:creationId xmlns:a16="http://schemas.microsoft.com/office/drawing/2014/main" id="{966CE5D9-748C-49C4-8714-DC0C8EC637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4" name="Host Control  141">
          <a:extLst>
            <a:ext uri="{FF2B5EF4-FFF2-40B4-BE49-F238E27FC236}">
              <a16:creationId xmlns:a16="http://schemas.microsoft.com/office/drawing/2014/main" id="{C7B698D5-7A0C-499A-8802-6161EF02ED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5" name="Host Control  142">
          <a:extLst>
            <a:ext uri="{FF2B5EF4-FFF2-40B4-BE49-F238E27FC236}">
              <a16:creationId xmlns:a16="http://schemas.microsoft.com/office/drawing/2014/main" id="{B4B9EB5D-B891-48AF-8817-888E3C38F7B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6" name="Host Control  143">
          <a:extLst>
            <a:ext uri="{FF2B5EF4-FFF2-40B4-BE49-F238E27FC236}">
              <a16:creationId xmlns:a16="http://schemas.microsoft.com/office/drawing/2014/main" id="{DF4AD91B-AF83-4079-8120-FD725EB4CCF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7" name="Host Control  144">
          <a:extLst>
            <a:ext uri="{FF2B5EF4-FFF2-40B4-BE49-F238E27FC236}">
              <a16:creationId xmlns:a16="http://schemas.microsoft.com/office/drawing/2014/main" id="{34F3E491-78E7-4CB8-8EC3-2FE334B9AA6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8" name="Host Control  145">
          <a:extLst>
            <a:ext uri="{FF2B5EF4-FFF2-40B4-BE49-F238E27FC236}">
              <a16:creationId xmlns:a16="http://schemas.microsoft.com/office/drawing/2014/main" id="{A8C880E7-8107-417F-906A-5543E32A01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9" name="Host Control  146">
          <a:extLst>
            <a:ext uri="{FF2B5EF4-FFF2-40B4-BE49-F238E27FC236}">
              <a16:creationId xmlns:a16="http://schemas.microsoft.com/office/drawing/2014/main" id="{E9800503-F1B6-45EB-928A-F2114C332D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0" name="Host Control  147">
          <a:extLst>
            <a:ext uri="{FF2B5EF4-FFF2-40B4-BE49-F238E27FC236}">
              <a16:creationId xmlns:a16="http://schemas.microsoft.com/office/drawing/2014/main" id="{F763710D-FCBB-43AB-BCC5-3C31A3AC6E4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1" name="Host Control  148">
          <a:extLst>
            <a:ext uri="{FF2B5EF4-FFF2-40B4-BE49-F238E27FC236}">
              <a16:creationId xmlns:a16="http://schemas.microsoft.com/office/drawing/2014/main" id="{1CDEFAAB-588B-4B3D-A093-CBDE53FD832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2" name="Host Control  149">
          <a:extLst>
            <a:ext uri="{FF2B5EF4-FFF2-40B4-BE49-F238E27FC236}">
              <a16:creationId xmlns:a16="http://schemas.microsoft.com/office/drawing/2014/main" id="{45293A6F-E6C6-4C4A-886D-E1D4EBEFF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3" name="Host Control  150">
          <a:extLst>
            <a:ext uri="{FF2B5EF4-FFF2-40B4-BE49-F238E27FC236}">
              <a16:creationId xmlns:a16="http://schemas.microsoft.com/office/drawing/2014/main" id="{4FB5A7ED-9DA2-49F4-A584-A84C47E1E4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4" name="Host Control  151">
          <a:extLst>
            <a:ext uri="{FF2B5EF4-FFF2-40B4-BE49-F238E27FC236}">
              <a16:creationId xmlns:a16="http://schemas.microsoft.com/office/drawing/2014/main" id="{453BD1D1-0DA0-4E3E-8E11-6B4F8844BD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5" name="Host Control  152">
          <a:extLst>
            <a:ext uri="{FF2B5EF4-FFF2-40B4-BE49-F238E27FC236}">
              <a16:creationId xmlns:a16="http://schemas.microsoft.com/office/drawing/2014/main" id="{EBAB563E-EF45-4FCB-B1EA-4C8E642B8B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6" name="Host Control  153">
          <a:extLst>
            <a:ext uri="{FF2B5EF4-FFF2-40B4-BE49-F238E27FC236}">
              <a16:creationId xmlns:a16="http://schemas.microsoft.com/office/drawing/2014/main" id="{9AAA3A95-A48C-4CBB-B3A6-8CA6602E863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7" name="Host Control  154">
          <a:extLst>
            <a:ext uri="{FF2B5EF4-FFF2-40B4-BE49-F238E27FC236}">
              <a16:creationId xmlns:a16="http://schemas.microsoft.com/office/drawing/2014/main" id="{B1843731-7B31-40E3-B2FC-A562F21B9CA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8" name="Host Control  155">
          <a:extLst>
            <a:ext uri="{FF2B5EF4-FFF2-40B4-BE49-F238E27FC236}">
              <a16:creationId xmlns:a16="http://schemas.microsoft.com/office/drawing/2014/main" id="{4B7A9E81-7FF0-47D6-BA75-D8407C615F0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9" name="Host Control  156">
          <a:extLst>
            <a:ext uri="{FF2B5EF4-FFF2-40B4-BE49-F238E27FC236}">
              <a16:creationId xmlns:a16="http://schemas.microsoft.com/office/drawing/2014/main" id="{6289DC23-47B4-4C1E-B471-B3D44B9F7E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0" name="Host Control  157">
          <a:extLst>
            <a:ext uri="{FF2B5EF4-FFF2-40B4-BE49-F238E27FC236}">
              <a16:creationId xmlns:a16="http://schemas.microsoft.com/office/drawing/2014/main" id="{1DB33E77-6037-42DC-A3D5-CE9DD9A987A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1" name="Host Control  158">
          <a:extLst>
            <a:ext uri="{FF2B5EF4-FFF2-40B4-BE49-F238E27FC236}">
              <a16:creationId xmlns:a16="http://schemas.microsoft.com/office/drawing/2014/main" id="{CE4EC823-D693-4607-B8BB-1DE1FFBCAA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2" name="Host Control  159">
          <a:extLst>
            <a:ext uri="{FF2B5EF4-FFF2-40B4-BE49-F238E27FC236}">
              <a16:creationId xmlns:a16="http://schemas.microsoft.com/office/drawing/2014/main" id="{3D24FCCF-B461-4B26-B84E-22222D085EF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3" name="Host Control  160">
          <a:extLst>
            <a:ext uri="{FF2B5EF4-FFF2-40B4-BE49-F238E27FC236}">
              <a16:creationId xmlns:a16="http://schemas.microsoft.com/office/drawing/2014/main" id="{4F5F666A-21EC-4D36-BBA0-F167537245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4" name="Host Control  161">
          <a:extLst>
            <a:ext uri="{FF2B5EF4-FFF2-40B4-BE49-F238E27FC236}">
              <a16:creationId xmlns:a16="http://schemas.microsoft.com/office/drawing/2014/main" id="{898B7198-8F6E-47A0-A334-CF49FED15FA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5" name="Host Control  162">
          <a:extLst>
            <a:ext uri="{FF2B5EF4-FFF2-40B4-BE49-F238E27FC236}">
              <a16:creationId xmlns:a16="http://schemas.microsoft.com/office/drawing/2014/main" id="{80EAB58E-576D-4E9C-9A57-61A936D42A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6" name="Host Control  163">
          <a:extLst>
            <a:ext uri="{FF2B5EF4-FFF2-40B4-BE49-F238E27FC236}">
              <a16:creationId xmlns:a16="http://schemas.microsoft.com/office/drawing/2014/main" id="{06F240CC-9840-4772-91F6-ABFF4DE1153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7" name="Host Control  164">
          <a:extLst>
            <a:ext uri="{FF2B5EF4-FFF2-40B4-BE49-F238E27FC236}">
              <a16:creationId xmlns:a16="http://schemas.microsoft.com/office/drawing/2014/main" id="{D7693A1D-9F3C-4D2E-B286-9FCD19F66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8" name="Host Control  168">
          <a:extLst>
            <a:ext uri="{FF2B5EF4-FFF2-40B4-BE49-F238E27FC236}">
              <a16:creationId xmlns:a16="http://schemas.microsoft.com/office/drawing/2014/main" id="{FDF9D787-94FF-4C93-8C9C-24DBD85AB16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9" name="Host Control  169">
          <a:extLst>
            <a:ext uri="{FF2B5EF4-FFF2-40B4-BE49-F238E27FC236}">
              <a16:creationId xmlns:a16="http://schemas.microsoft.com/office/drawing/2014/main" id="{B2290D49-AC8A-4B67-A26B-04626DC27D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0" name="Host Control  170">
          <a:extLst>
            <a:ext uri="{FF2B5EF4-FFF2-40B4-BE49-F238E27FC236}">
              <a16:creationId xmlns:a16="http://schemas.microsoft.com/office/drawing/2014/main" id="{D70200BB-8791-4C5D-A81F-F9F95755177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1" name="Host Control  171">
          <a:extLst>
            <a:ext uri="{FF2B5EF4-FFF2-40B4-BE49-F238E27FC236}">
              <a16:creationId xmlns:a16="http://schemas.microsoft.com/office/drawing/2014/main" id="{8081E079-D47D-4060-9793-DD433EC2C2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2" name="Host Control  172">
          <a:extLst>
            <a:ext uri="{FF2B5EF4-FFF2-40B4-BE49-F238E27FC236}">
              <a16:creationId xmlns:a16="http://schemas.microsoft.com/office/drawing/2014/main" id="{CCF92329-6479-4356-831F-7236764F5EF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3" name="Host Control  173">
          <a:extLst>
            <a:ext uri="{FF2B5EF4-FFF2-40B4-BE49-F238E27FC236}">
              <a16:creationId xmlns:a16="http://schemas.microsoft.com/office/drawing/2014/main" id="{D40C4EFF-4234-4344-8081-62FA7D663F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4" name="Host Control  174">
          <a:extLst>
            <a:ext uri="{FF2B5EF4-FFF2-40B4-BE49-F238E27FC236}">
              <a16:creationId xmlns:a16="http://schemas.microsoft.com/office/drawing/2014/main" id="{FDD62370-C0DA-42A3-AE5C-28E0D9A8F7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5" name="Host Control  175">
          <a:extLst>
            <a:ext uri="{FF2B5EF4-FFF2-40B4-BE49-F238E27FC236}">
              <a16:creationId xmlns:a16="http://schemas.microsoft.com/office/drawing/2014/main" id="{6A7A798F-9B45-40B5-B1D0-47F48021950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6" name="Host Control  176">
          <a:extLst>
            <a:ext uri="{FF2B5EF4-FFF2-40B4-BE49-F238E27FC236}">
              <a16:creationId xmlns:a16="http://schemas.microsoft.com/office/drawing/2014/main" id="{C458C9A6-D5EE-4F51-983B-FDBF72631B4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7" name="Host Control  177">
          <a:extLst>
            <a:ext uri="{FF2B5EF4-FFF2-40B4-BE49-F238E27FC236}">
              <a16:creationId xmlns:a16="http://schemas.microsoft.com/office/drawing/2014/main" id="{EE4655FB-C166-469D-B62A-464539A2A6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8" name="Host Control  178">
          <a:extLst>
            <a:ext uri="{FF2B5EF4-FFF2-40B4-BE49-F238E27FC236}">
              <a16:creationId xmlns:a16="http://schemas.microsoft.com/office/drawing/2014/main" id="{18F36432-8D2A-4590-8ECE-239FE2F7524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9" name="Host Control  179">
          <a:extLst>
            <a:ext uri="{FF2B5EF4-FFF2-40B4-BE49-F238E27FC236}">
              <a16:creationId xmlns:a16="http://schemas.microsoft.com/office/drawing/2014/main" id="{3A01A43A-038B-4BFA-814D-DA6B61F8C75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0" name="Host Control  180">
          <a:extLst>
            <a:ext uri="{FF2B5EF4-FFF2-40B4-BE49-F238E27FC236}">
              <a16:creationId xmlns:a16="http://schemas.microsoft.com/office/drawing/2014/main" id="{9C2569EB-5BCD-4F08-B420-4A41936172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1" name="Host Control  181">
          <a:extLst>
            <a:ext uri="{FF2B5EF4-FFF2-40B4-BE49-F238E27FC236}">
              <a16:creationId xmlns:a16="http://schemas.microsoft.com/office/drawing/2014/main" id="{6B00DFFF-C1B9-43BD-9397-EB8A14B7CC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2" name="Host Control  182">
          <a:extLst>
            <a:ext uri="{FF2B5EF4-FFF2-40B4-BE49-F238E27FC236}">
              <a16:creationId xmlns:a16="http://schemas.microsoft.com/office/drawing/2014/main" id="{AA3BD143-9B6C-42C1-B0C4-CED0E021E8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3" name="Host Control  183">
          <a:extLst>
            <a:ext uri="{FF2B5EF4-FFF2-40B4-BE49-F238E27FC236}">
              <a16:creationId xmlns:a16="http://schemas.microsoft.com/office/drawing/2014/main" id="{3FFA4109-6072-4F1A-8EB2-305CB6835E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4" name="Host Control  184">
          <a:extLst>
            <a:ext uri="{FF2B5EF4-FFF2-40B4-BE49-F238E27FC236}">
              <a16:creationId xmlns:a16="http://schemas.microsoft.com/office/drawing/2014/main" id="{E4F17EF7-EE70-4D91-BA7C-72A5150D7A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5" name="Host Control  185">
          <a:extLst>
            <a:ext uri="{FF2B5EF4-FFF2-40B4-BE49-F238E27FC236}">
              <a16:creationId xmlns:a16="http://schemas.microsoft.com/office/drawing/2014/main" id="{09E0562A-1253-436E-8D2E-C2D61339205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6" name="Host Control  186">
          <a:extLst>
            <a:ext uri="{FF2B5EF4-FFF2-40B4-BE49-F238E27FC236}">
              <a16:creationId xmlns:a16="http://schemas.microsoft.com/office/drawing/2014/main" id="{13687377-C019-40A7-B42B-3C1C16CAB5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7" name="Host Control  187">
          <a:extLst>
            <a:ext uri="{FF2B5EF4-FFF2-40B4-BE49-F238E27FC236}">
              <a16:creationId xmlns:a16="http://schemas.microsoft.com/office/drawing/2014/main" id="{96142F57-2FA3-45FA-8F61-4CAA41B60D5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8" name="Host Control  188">
          <a:extLst>
            <a:ext uri="{FF2B5EF4-FFF2-40B4-BE49-F238E27FC236}">
              <a16:creationId xmlns:a16="http://schemas.microsoft.com/office/drawing/2014/main" id="{0F88B336-CFB9-40F1-ADA7-9005102BEE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9" name="Host Control  189">
          <a:extLst>
            <a:ext uri="{FF2B5EF4-FFF2-40B4-BE49-F238E27FC236}">
              <a16:creationId xmlns:a16="http://schemas.microsoft.com/office/drawing/2014/main" id="{E32E6D86-4F35-4BF3-A3C0-5E80E7E41C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0" name="Host Control  190">
          <a:extLst>
            <a:ext uri="{FF2B5EF4-FFF2-40B4-BE49-F238E27FC236}">
              <a16:creationId xmlns:a16="http://schemas.microsoft.com/office/drawing/2014/main" id="{8BACAC61-5158-4500-86FB-ABB1EC6517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1" name="Host Control  191">
          <a:extLst>
            <a:ext uri="{FF2B5EF4-FFF2-40B4-BE49-F238E27FC236}">
              <a16:creationId xmlns:a16="http://schemas.microsoft.com/office/drawing/2014/main" id="{A645D1C7-7356-4D54-AC41-D819D3C76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2" name="Host Control  192">
          <a:extLst>
            <a:ext uri="{FF2B5EF4-FFF2-40B4-BE49-F238E27FC236}">
              <a16:creationId xmlns:a16="http://schemas.microsoft.com/office/drawing/2014/main" id="{70EE55D3-489D-44F6-A2F2-6ED9ECD5BB3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3" name="Host Control  193">
          <a:extLst>
            <a:ext uri="{FF2B5EF4-FFF2-40B4-BE49-F238E27FC236}">
              <a16:creationId xmlns:a16="http://schemas.microsoft.com/office/drawing/2014/main" id="{EB67D509-D2DC-4654-9FCF-06C8DAD588F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4" name="Host Control  194">
          <a:extLst>
            <a:ext uri="{FF2B5EF4-FFF2-40B4-BE49-F238E27FC236}">
              <a16:creationId xmlns:a16="http://schemas.microsoft.com/office/drawing/2014/main" id="{6FA836D2-1863-4386-9B68-DD5E3DCD37B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5" name="Host Control  195">
          <a:extLst>
            <a:ext uri="{FF2B5EF4-FFF2-40B4-BE49-F238E27FC236}">
              <a16:creationId xmlns:a16="http://schemas.microsoft.com/office/drawing/2014/main" id="{E0297A5E-3E20-4139-BE16-4EE5790D90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6" name="Host Control  196">
          <a:extLst>
            <a:ext uri="{FF2B5EF4-FFF2-40B4-BE49-F238E27FC236}">
              <a16:creationId xmlns:a16="http://schemas.microsoft.com/office/drawing/2014/main" id="{30F515DD-9E41-4633-8055-797C5020C43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7" name="Host Control  197">
          <a:extLst>
            <a:ext uri="{FF2B5EF4-FFF2-40B4-BE49-F238E27FC236}">
              <a16:creationId xmlns:a16="http://schemas.microsoft.com/office/drawing/2014/main" id="{29A84501-8255-4969-81CB-0D5AA27318E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8" name="Host Control  201" hidden="1">
          <a:extLst>
            <a:ext uri="{FF2B5EF4-FFF2-40B4-BE49-F238E27FC236}">
              <a16:creationId xmlns:a16="http://schemas.microsoft.com/office/drawing/2014/main" id="{C28522B0-A580-4876-9EFE-5B10C2693DF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9" name="Host Control  202" hidden="1">
          <a:extLst>
            <a:ext uri="{FF2B5EF4-FFF2-40B4-BE49-F238E27FC236}">
              <a16:creationId xmlns:a16="http://schemas.microsoft.com/office/drawing/2014/main" id="{39F7F7BD-E1F4-4B3F-B861-28862B613C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0" name="Host Control  203" hidden="1">
          <a:extLst>
            <a:ext uri="{FF2B5EF4-FFF2-40B4-BE49-F238E27FC236}">
              <a16:creationId xmlns:a16="http://schemas.microsoft.com/office/drawing/2014/main" id="{5952C166-6272-454B-91B1-DBA8FA2329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1" name="Host Control  204" hidden="1">
          <a:extLst>
            <a:ext uri="{FF2B5EF4-FFF2-40B4-BE49-F238E27FC236}">
              <a16:creationId xmlns:a16="http://schemas.microsoft.com/office/drawing/2014/main" id="{648DFD27-B81B-4717-8764-C9F2D13CFB4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2" name="Host Control  205" hidden="1">
          <a:extLst>
            <a:ext uri="{FF2B5EF4-FFF2-40B4-BE49-F238E27FC236}">
              <a16:creationId xmlns:a16="http://schemas.microsoft.com/office/drawing/2014/main" id="{ACA86476-3A6D-492F-9D21-96F08CB70C2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3" name="Host Control  206" hidden="1">
          <a:extLst>
            <a:ext uri="{FF2B5EF4-FFF2-40B4-BE49-F238E27FC236}">
              <a16:creationId xmlns:a16="http://schemas.microsoft.com/office/drawing/2014/main" id="{C5DC9ABB-321E-4477-85DE-C4E2CC22EA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4" name="Host Control  207" hidden="1">
          <a:extLst>
            <a:ext uri="{FF2B5EF4-FFF2-40B4-BE49-F238E27FC236}">
              <a16:creationId xmlns:a16="http://schemas.microsoft.com/office/drawing/2014/main" id="{5E3E7098-12A4-41DE-8F7E-973F8D52486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5" name="Host Control  208" hidden="1">
          <a:extLst>
            <a:ext uri="{FF2B5EF4-FFF2-40B4-BE49-F238E27FC236}">
              <a16:creationId xmlns:a16="http://schemas.microsoft.com/office/drawing/2014/main" id="{CA3C5B03-FD35-4F29-997D-35BABEFD36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6" name="Host Control  209" hidden="1">
          <a:extLst>
            <a:ext uri="{FF2B5EF4-FFF2-40B4-BE49-F238E27FC236}">
              <a16:creationId xmlns:a16="http://schemas.microsoft.com/office/drawing/2014/main" id="{9CBED307-505C-4FE8-AF17-01ABB23880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7" name="Host Control  210" hidden="1">
          <a:extLst>
            <a:ext uri="{FF2B5EF4-FFF2-40B4-BE49-F238E27FC236}">
              <a16:creationId xmlns:a16="http://schemas.microsoft.com/office/drawing/2014/main" id="{FE2D0CF6-BBA9-49DD-B3B0-B79ADF9ED3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8" name="Host Control  211" hidden="1">
          <a:extLst>
            <a:ext uri="{FF2B5EF4-FFF2-40B4-BE49-F238E27FC236}">
              <a16:creationId xmlns:a16="http://schemas.microsoft.com/office/drawing/2014/main" id="{1E7C8667-EF95-4431-8021-1D4FDD653A5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9" name="Host Control  212" hidden="1">
          <a:extLst>
            <a:ext uri="{FF2B5EF4-FFF2-40B4-BE49-F238E27FC236}">
              <a16:creationId xmlns:a16="http://schemas.microsoft.com/office/drawing/2014/main" id="{596CF66F-6681-4E20-B600-A40A62ECBA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0" name="Host Control  213" hidden="1">
          <a:extLst>
            <a:ext uri="{FF2B5EF4-FFF2-40B4-BE49-F238E27FC236}">
              <a16:creationId xmlns:a16="http://schemas.microsoft.com/office/drawing/2014/main" id="{53BE0E3B-0A11-4552-919C-D2DB143968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1" name="Host Control  214" hidden="1">
          <a:extLst>
            <a:ext uri="{FF2B5EF4-FFF2-40B4-BE49-F238E27FC236}">
              <a16:creationId xmlns:a16="http://schemas.microsoft.com/office/drawing/2014/main" id="{5FA3E5B3-4976-45A0-9A91-773D90B47B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2" name="Host Control  215" hidden="1">
          <a:extLst>
            <a:ext uri="{FF2B5EF4-FFF2-40B4-BE49-F238E27FC236}">
              <a16:creationId xmlns:a16="http://schemas.microsoft.com/office/drawing/2014/main" id="{1C0CF89A-C226-4CB7-B290-1227C274B6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3" name="Host Control  216" hidden="1">
          <a:extLst>
            <a:ext uri="{FF2B5EF4-FFF2-40B4-BE49-F238E27FC236}">
              <a16:creationId xmlns:a16="http://schemas.microsoft.com/office/drawing/2014/main" id="{34FAEEB0-3834-45F6-AD9F-57381F19A2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4" name="Host Control  217" hidden="1">
          <a:extLst>
            <a:ext uri="{FF2B5EF4-FFF2-40B4-BE49-F238E27FC236}">
              <a16:creationId xmlns:a16="http://schemas.microsoft.com/office/drawing/2014/main" id="{59B00DA1-5BB1-4718-909F-0A55CE4B5E3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5" name="Host Control  218" hidden="1">
          <a:extLst>
            <a:ext uri="{FF2B5EF4-FFF2-40B4-BE49-F238E27FC236}">
              <a16:creationId xmlns:a16="http://schemas.microsoft.com/office/drawing/2014/main" id="{BA2DC3E2-5D69-42CB-9FB9-C2800312E2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6" name="Host Control  219" hidden="1">
          <a:extLst>
            <a:ext uri="{FF2B5EF4-FFF2-40B4-BE49-F238E27FC236}">
              <a16:creationId xmlns:a16="http://schemas.microsoft.com/office/drawing/2014/main" id="{E534EAA4-DB66-4E02-BA62-5429BDFEC85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7" name="Host Control  220" hidden="1">
          <a:extLst>
            <a:ext uri="{FF2B5EF4-FFF2-40B4-BE49-F238E27FC236}">
              <a16:creationId xmlns:a16="http://schemas.microsoft.com/office/drawing/2014/main" id="{DA3F1C2A-BBE5-4B38-B074-3AE838483AF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8" name="Host Control  221" hidden="1">
          <a:extLst>
            <a:ext uri="{FF2B5EF4-FFF2-40B4-BE49-F238E27FC236}">
              <a16:creationId xmlns:a16="http://schemas.microsoft.com/office/drawing/2014/main" id="{CC3824C0-5B41-4B27-A593-ED821C8127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9" name="Host Control  222" hidden="1">
          <a:extLst>
            <a:ext uri="{FF2B5EF4-FFF2-40B4-BE49-F238E27FC236}">
              <a16:creationId xmlns:a16="http://schemas.microsoft.com/office/drawing/2014/main" id="{D67ADD8C-46B8-48C9-BF17-F79E2A69542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0" name="Host Control  223" hidden="1">
          <a:extLst>
            <a:ext uri="{FF2B5EF4-FFF2-40B4-BE49-F238E27FC236}">
              <a16:creationId xmlns:a16="http://schemas.microsoft.com/office/drawing/2014/main" id="{CD43E8DB-F698-4ACD-A7B9-1AAD4BFAD77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1" name="Host Control  224" hidden="1">
          <a:extLst>
            <a:ext uri="{FF2B5EF4-FFF2-40B4-BE49-F238E27FC236}">
              <a16:creationId xmlns:a16="http://schemas.microsoft.com/office/drawing/2014/main" id="{8F2FEF88-BACF-4CCA-95C6-3E564A6948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2" name="Host Control  225" hidden="1">
          <a:extLst>
            <a:ext uri="{FF2B5EF4-FFF2-40B4-BE49-F238E27FC236}">
              <a16:creationId xmlns:a16="http://schemas.microsoft.com/office/drawing/2014/main" id="{A8B9FFA7-5A5B-422E-A821-2AA321EFAF6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3" name="Host Control  226" hidden="1">
          <a:extLst>
            <a:ext uri="{FF2B5EF4-FFF2-40B4-BE49-F238E27FC236}">
              <a16:creationId xmlns:a16="http://schemas.microsoft.com/office/drawing/2014/main" id="{6D32289B-497D-4110-8912-FDC1FCBDA21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4" name="Host Control  227" hidden="1">
          <a:extLst>
            <a:ext uri="{FF2B5EF4-FFF2-40B4-BE49-F238E27FC236}">
              <a16:creationId xmlns:a16="http://schemas.microsoft.com/office/drawing/2014/main" id="{4F1D27F8-2EE4-4837-A3FC-546587E570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5" name="Host Control  228" hidden="1">
          <a:extLst>
            <a:ext uri="{FF2B5EF4-FFF2-40B4-BE49-F238E27FC236}">
              <a16:creationId xmlns:a16="http://schemas.microsoft.com/office/drawing/2014/main" id="{EC3CC77D-5499-4298-8D4E-D5350DDF0F5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6" name="Host Control  229" hidden="1">
          <a:extLst>
            <a:ext uri="{FF2B5EF4-FFF2-40B4-BE49-F238E27FC236}">
              <a16:creationId xmlns:a16="http://schemas.microsoft.com/office/drawing/2014/main" id="{CFC88ABF-1C6F-497D-8897-916A107BD49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7" name="Host Control  230" hidden="1">
          <a:extLst>
            <a:ext uri="{FF2B5EF4-FFF2-40B4-BE49-F238E27FC236}">
              <a16:creationId xmlns:a16="http://schemas.microsoft.com/office/drawing/2014/main" id="{242A4FA6-A950-4C5D-93AC-6A3346FBA2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8" name="Host Control  234" hidden="1">
          <a:extLst>
            <a:ext uri="{FF2B5EF4-FFF2-40B4-BE49-F238E27FC236}">
              <a16:creationId xmlns:a16="http://schemas.microsoft.com/office/drawing/2014/main" id="{BAE6EECA-CDAF-43EB-8C4A-71313CA978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9" name="Host Control  235" hidden="1">
          <a:extLst>
            <a:ext uri="{FF2B5EF4-FFF2-40B4-BE49-F238E27FC236}">
              <a16:creationId xmlns:a16="http://schemas.microsoft.com/office/drawing/2014/main" id="{3C4E894C-B770-41E3-AB6A-B0DAF922460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0" name="Host Control  236" hidden="1">
          <a:extLst>
            <a:ext uri="{FF2B5EF4-FFF2-40B4-BE49-F238E27FC236}">
              <a16:creationId xmlns:a16="http://schemas.microsoft.com/office/drawing/2014/main" id="{955B8FB9-2FC0-4942-8A42-135A5CCBC2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1" name="Host Control  237" hidden="1">
          <a:extLst>
            <a:ext uri="{FF2B5EF4-FFF2-40B4-BE49-F238E27FC236}">
              <a16:creationId xmlns:a16="http://schemas.microsoft.com/office/drawing/2014/main" id="{C6435A9A-5D51-45FE-971A-B00BC46CF8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2" name="Host Control  238" hidden="1">
          <a:extLst>
            <a:ext uri="{FF2B5EF4-FFF2-40B4-BE49-F238E27FC236}">
              <a16:creationId xmlns:a16="http://schemas.microsoft.com/office/drawing/2014/main" id="{148CB9F9-104F-44A7-84DC-AB1EC6ED0A6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3" name="Host Control  239" hidden="1">
          <a:extLst>
            <a:ext uri="{FF2B5EF4-FFF2-40B4-BE49-F238E27FC236}">
              <a16:creationId xmlns:a16="http://schemas.microsoft.com/office/drawing/2014/main" id="{89239F93-4E9B-4E33-ABA0-9505B650D8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4" name="Host Control  240" hidden="1">
          <a:extLst>
            <a:ext uri="{FF2B5EF4-FFF2-40B4-BE49-F238E27FC236}">
              <a16:creationId xmlns:a16="http://schemas.microsoft.com/office/drawing/2014/main" id="{02198661-F1FB-467D-B780-66B8AC3DB2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5" name="Host Control  241" hidden="1">
          <a:extLst>
            <a:ext uri="{FF2B5EF4-FFF2-40B4-BE49-F238E27FC236}">
              <a16:creationId xmlns:a16="http://schemas.microsoft.com/office/drawing/2014/main" id="{2F4C2EAF-A25A-49BA-B6BD-D46622DEA8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6" name="Host Control  242" hidden="1">
          <a:extLst>
            <a:ext uri="{FF2B5EF4-FFF2-40B4-BE49-F238E27FC236}">
              <a16:creationId xmlns:a16="http://schemas.microsoft.com/office/drawing/2014/main" id="{1A41C366-2F8C-496C-B312-CCEA6E55CBF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7" name="Host Control  243" hidden="1">
          <a:extLst>
            <a:ext uri="{FF2B5EF4-FFF2-40B4-BE49-F238E27FC236}">
              <a16:creationId xmlns:a16="http://schemas.microsoft.com/office/drawing/2014/main" id="{E8159FE8-245E-43C8-AA4F-DA406ED0FE0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8" name="Host Control  244" hidden="1">
          <a:extLst>
            <a:ext uri="{FF2B5EF4-FFF2-40B4-BE49-F238E27FC236}">
              <a16:creationId xmlns:a16="http://schemas.microsoft.com/office/drawing/2014/main" id="{3FE8E73F-204F-407B-8F3E-AEB0F9AB2B9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9" name="Host Control  245" hidden="1">
          <a:extLst>
            <a:ext uri="{FF2B5EF4-FFF2-40B4-BE49-F238E27FC236}">
              <a16:creationId xmlns:a16="http://schemas.microsoft.com/office/drawing/2014/main" id="{0F8A20C3-5749-4B20-ACBD-5C1F0C80377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0" name="Host Control  246" hidden="1">
          <a:extLst>
            <a:ext uri="{FF2B5EF4-FFF2-40B4-BE49-F238E27FC236}">
              <a16:creationId xmlns:a16="http://schemas.microsoft.com/office/drawing/2014/main" id="{3FCF564F-84F3-4E83-B6D2-79DE4A3F47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1" name="Host Control  247" hidden="1">
          <a:extLst>
            <a:ext uri="{FF2B5EF4-FFF2-40B4-BE49-F238E27FC236}">
              <a16:creationId xmlns:a16="http://schemas.microsoft.com/office/drawing/2014/main" id="{BF9C02A8-4CDA-4D68-AFA2-3F5E029B43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2" name="Host Control  248" hidden="1">
          <a:extLst>
            <a:ext uri="{FF2B5EF4-FFF2-40B4-BE49-F238E27FC236}">
              <a16:creationId xmlns:a16="http://schemas.microsoft.com/office/drawing/2014/main" id="{5F880880-7ABC-4E36-91E9-71E72BF421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3" name="Host Control  249" hidden="1">
          <a:extLst>
            <a:ext uri="{FF2B5EF4-FFF2-40B4-BE49-F238E27FC236}">
              <a16:creationId xmlns:a16="http://schemas.microsoft.com/office/drawing/2014/main" id="{CDDE1DE4-2356-4432-83BD-8105E70C1A9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4" name="Host Control  250" hidden="1">
          <a:extLst>
            <a:ext uri="{FF2B5EF4-FFF2-40B4-BE49-F238E27FC236}">
              <a16:creationId xmlns:a16="http://schemas.microsoft.com/office/drawing/2014/main" id="{A154F081-22F0-4E09-B957-6E177CFFEE5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5" name="Host Control  251" hidden="1">
          <a:extLst>
            <a:ext uri="{FF2B5EF4-FFF2-40B4-BE49-F238E27FC236}">
              <a16:creationId xmlns:a16="http://schemas.microsoft.com/office/drawing/2014/main" id="{68F0037B-C69E-4D70-9EDC-019D21F1D23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6" name="Host Control  252" hidden="1">
          <a:extLst>
            <a:ext uri="{FF2B5EF4-FFF2-40B4-BE49-F238E27FC236}">
              <a16:creationId xmlns:a16="http://schemas.microsoft.com/office/drawing/2014/main" id="{24BE2DD7-9F7C-4027-8737-7C11E6C4E3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7" name="Host Control  253" hidden="1">
          <a:extLst>
            <a:ext uri="{FF2B5EF4-FFF2-40B4-BE49-F238E27FC236}">
              <a16:creationId xmlns:a16="http://schemas.microsoft.com/office/drawing/2014/main" id="{0195A49E-E652-4A7D-BFCC-33CE8110AB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8" name="Host Control  254" hidden="1">
          <a:extLst>
            <a:ext uri="{FF2B5EF4-FFF2-40B4-BE49-F238E27FC236}">
              <a16:creationId xmlns:a16="http://schemas.microsoft.com/office/drawing/2014/main" id="{9E657753-180D-4614-BA5C-63FD43D938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9" name="Host Control  255" hidden="1">
          <a:extLst>
            <a:ext uri="{FF2B5EF4-FFF2-40B4-BE49-F238E27FC236}">
              <a16:creationId xmlns:a16="http://schemas.microsoft.com/office/drawing/2014/main" id="{5D539411-E802-4B6F-8315-CAEE3B8EEE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0" name="Host Control  256" hidden="1">
          <a:extLst>
            <a:ext uri="{FF2B5EF4-FFF2-40B4-BE49-F238E27FC236}">
              <a16:creationId xmlns:a16="http://schemas.microsoft.com/office/drawing/2014/main" id="{AC43066E-1F95-49AE-86BD-FEB440544BA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1" name="Host Control  257" hidden="1">
          <a:extLst>
            <a:ext uri="{FF2B5EF4-FFF2-40B4-BE49-F238E27FC236}">
              <a16:creationId xmlns:a16="http://schemas.microsoft.com/office/drawing/2014/main" id="{C7727824-65DC-4767-B2A3-0C2ED0794DD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2" name="Host Control  258" hidden="1">
          <a:extLst>
            <a:ext uri="{FF2B5EF4-FFF2-40B4-BE49-F238E27FC236}">
              <a16:creationId xmlns:a16="http://schemas.microsoft.com/office/drawing/2014/main" id="{12A15B75-4D81-489C-A8DF-77D330BDB5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3" name="Host Control  259" hidden="1">
          <a:extLst>
            <a:ext uri="{FF2B5EF4-FFF2-40B4-BE49-F238E27FC236}">
              <a16:creationId xmlns:a16="http://schemas.microsoft.com/office/drawing/2014/main" id="{9BF29210-4985-4C11-9703-94687FD644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4" name="Host Control  260" hidden="1">
          <a:extLst>
            <a:ext uri="{FF2B5EF4-FFF2-40B4-BE49-F238E27FC236}">
              <a16:creationId xmlns:a16="http://schemas.microsoft.com/office/drawing/2014/main" id="{D3562E8F-E3FA-4CC0-A827-4FC31DB24EE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5" name="Host Control  261" hidden="1">
          <a:extLst>
            <a:ext uri="{FF2B5EF4-FFF2-40B4-BE49-F238E27FC236}">
              <a16:creationId xmlns:a16="http://schemas.microsoft.com/office/drawing/2014/main" id="{B18D7DCF-FC02-4745-8D15-004C30E1BD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6" name="Host Control  262" hidden="1">
          <a:extLst>
            <a:ext uri="{FF2B5EF4-FFF2-40B4-BE49-F238E27FC236}">
              <a16:creationId xmlns:a16="http://schemas.microsoft.com/office/drawing/2014/main" id="{5D1BA4E0-D018-4C8A-865F-61EEE13A00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7" name="Host Control  263" hidden="1">
          <a:extLst>
            <a:ext uri="{FF2B5EF4-FFF2-40B4-BE49-F238E27FC236}">
              <a16:creationId xmlns:a16="http://schemas.microsoft.com/office/drawing/2014/main" id="{8530AB5F-ADB2-499B-84A2-1C807732BF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8" name="Host Control  267" hidden="1">
          <a:extLst>
            <a:ext uri="{FF2B5EF4-FFF2-40B4-BE49-F238E27FC236}">
              <a16:creationId xmlns:a16="http://schemas.microsoft.com/office/drawing/2014/main" id="{2C3CBFF9-C509-4EA4-8522-FDB924B7EF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9" name="Host Control  268" hidden="1">
          <a:extLst>
            <a:ext uri="{FF2B5EF4-FFF2-40B4-BE49-F238E27FC236}">
              <a16:creationId xmlns:a16="http://schemas.microsoft.com/office/drawing/2014/main" id="{CB42AEF8-4A00-43D6-84D2-696DCDB430B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0" name="Host Control  269" hidden="1">
          <a:extLst>
            <a:ext uri="{FF2B5EF4-FFF2-40B4-BE49-F238E27FC236}">
              <a16:creationId xmlns:a16="http://schemas.microsoft.com/office/drawing/2014/main" id="{3B3B72C9-A0D8-46E4-B41F-07D59923CEC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1" name="Host Control  270" hidden="1">
          <a:extLst>
            <a:ext uri="{FF2B5EF4-FFF2-40B4-BE49-F238E27FC236}">
              <a16:creationId xmlns:a16="http://schemas.microsoft.com/office/drawing/2014/main" id="{90D84721-DF2A-4E3A-A947-BCFF88A8943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2" name="Host Control  271" hidden="1">
          <a:extLst>
            <a:ext uri="{FF2B5EF4-FFF2-40B4-BE49-F238E27FC236}">
              <a16:creationId xmlns:a16="http://schemas.microsoft.com/office/drawing/2014/main" id="{4E81F653-D103-4D92-852B-C426D9106D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3" name="Host Control  272" hidden="1">
          <a:extLst>
            <a:ext uri="{FF2B5EF4-FFF2-40B4-BE49-F238E27FC236}">
              <a16:creationId xmlns:a16="http://schemas.microsoft.com/office/drawing/2014/main" id="{E1C1C81B-A36F-4744-9E05-9FF96EEB7A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4" name="Host Control  273" hidden="1">
          <a:extLst>
            <a:ext uri="{FF2B5EF4-FFF2-40B4-BE49-F238E27FC236}">
              <a16:creationId xmlns:a16="http://schemas.microsoft.com/office/drawing/2014/main" id="{C204A0B7-459D-40BC-96F8-515EBB4604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5" name="Host Control  274" hidden="1">
          <a:extLst>
            <a:ext uri="{FF2B5EF4-FFF2-40B4-BE49-F238E27FC236}">
              <a16:creationId xmlns:a16="http://schemas.microsoft.com/office/drawing/2014/main" id="{F36A3F0C-392C-47F1-AC27-736D609FA14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6" name="Host Control  275" hidden="1">
          <a:extLst>
            <a:ext uri="{FF2B5EF4-FFF2-40B4-BE49-F238E27FC236}">
              <a16:creationId xmlns:a16="http://schemas.microsoft.com/office/drawing/2014/main" id="{71AA9BB6-8B99-4E80-B42A-8E569A22D0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7" name="Host Control  276" hidden="1">
          <a:extLst>
            <a:ext uri="{FF2B5EF4-FFF2-40B4-BE49-F238E27FC236}">
              <a16:creationId xmlns:a16="http://schemas.microsoft.com/office/drawing/2014/main" id="{BDA40479-2E67-4777-886C-5C775BFE9DF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8" name="Host Control  277" hidden="1">
          <a:extLst>
            <a:ext uri="{FF2B5EF4-FFF2-40B4-BE49-F238E27FC236}">
              <a16:creationId xmlns:a16="http://schemas.microsoft.com/office/drawing/2014/main" id="{34607424-850F-4BBA-8715-D9C0206D48F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9" name="Host Control  278" hidden="1">
          <a:extLst>
            <a:ext uri="{FF2B5EF4-FFF2-40B4-BE49-F238E27FC236}">
              <a16:creationId xmlns:a16="http://schemas.microsoft.com/office/drawing/2014/main" id="{1F83C7AC-E76B-4826-807B-C246D1B4179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0" name="Host Control  279" hidden="1">
          <a:extLst>
            <a:ext uri="{FF2B5EF4-FFF2-40B4-BE49-F238E27FC236}">
              <a16:creationId xmlns:a16="http://schemas.microsoft.com/office/drawing/2014/main" id="{72672B73-9180-4F6E-8F7A-E4B09A657B5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1" name="Host Control  280" hidden="1">
          <a:extLst>
            <a:ext uri="{FF2B5EF4-FFF2-40B4-BE49-F238E27FC236}">
              <a16:creationId xmlns:a16="http://schemas.microsoft.com/office/drawing/2014/main" id="{093523E8-FDA9-4EC8-A61E-D22B55AFD7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2" name="Host Control  281" hidden="1">
          <a:extLst>
            <a:ext uri="{FF2B5EF4-FFF2-40B4-BE49-F238E27FC236}">
              <a16:creationId xmlns:a16="http://schemas.microsoft.com/office/drawing/2014/main" id="{5608FA50-FEA8-4140-8273-1F876A2BC3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3" name="Host Control  282" hidden="1">
          <a:extLst>
            <a:ext uri="{FF2B5EF4-FFF2-40B4-BE49-F238E27FC236}">
              <a16:creationId xmlns:a16="http://schemas.microsoft.com/office/drawing/2014/main" id="{DA17D911-F498-4F6C-8064-C0BCDECB1D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4" name="Host Control  283" hidden="1">
          <a:extLst>
            <a:ext uri="{FF2B5EF4-FFF2-40B4-BE49-F238E27FC236}">
              <a16:creationId xmlns:a16="http://schemas.microsoft.com/office/drawing/2014/main" id="{F4C0CE32-BBBE-4CC0-B451-9E03953D32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5" name="Host Control  284" hidden="1">
          <a:extLst>
            <a:ext uri="{FF2B5EF4-FFF2-40B4-BE49-F238E27FC236}">
              <a16:creationId xmlns:a16="http://schemas.microsoft.com/office/drawing/2014/main" id="{D998DBC9-3B59-42FD-A818-93A9964304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6" name="Host Control  285" hidden="1">
          <a:extLst>
            <a:ext uri="{FF2B5EF4-FFF2-40B4-BE49-F238E27FC236}">
              <a16:creationId xmlns:a16="http://schemas.microsoft.com/office/drawing/2014/main" id="{9BA57C6A-B762-46D7-A78E-50F2F11A85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7" name="Host Control  286" hidden="1">
          <a:extLst>
            <a:ext uri="{FF2B5EF4-FFF2-40B4-BE49-F238E27FC236}">
              <a16:creationId xmlns:a16="http://schemas.microsoft.com/office/drawing/2014/main" id="{5028D3B4-EE45-434B-B3E4-FCFC085F2F9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8" name="Host Control  287" hidden="1">
          <a:extLst>
            <a:ext uri="{FF2B5EF4-FFF2-40B4-BE49-F238E27FC236}">
              <a16:creationId xmlns:a16="http://schemas.microsoft.com/office/drawing/2014/main" id="{7C91DA3A-F59F-4DEC-94C3-8E713FE8D45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9" name="Host Control  288" hidden="1">
          <a:extLst>
            <a:ext uri="{FF2B5EF4-FFF2-40B4-BE49-F238E27FC236}">
              <a16:creationId xmlns:a16="http://schemas.microsoft.com/office/drawing/2014/main" id="{3A9B4DEA-D215-46E4-9693-CC4C08521C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0" name="Host Control  289" hidden="1">
          <a:extLst>
            <a:ext uri="{FF2B5EF4-FFF2-40B4-BE49-F238E27FC236}">
              <a16:creationId xmlns:a16="http://schemas.microsoft.com/office/drawing/2014/main" id="{EC505B36-3E67-426A-B6BA-26E340CAB6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1" name="Host Control  290" hidden="1">
          <a:extLst>
            <a:ext uri="{FF2B5EF4-FFF2-40B4-BE49-F238E27FC236}">
              <a16:creationId xmlns:a16="http://schemas.microsoft.com/office/drawing/2014/main" id="{ED00DC25-2BE7-4DF0-ABC2-7A06F50DD95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2" name="Host Control  291" hidden="1">
          <a:extLst>
            <a:ext uri="{FF2B5EF4-FFF2-40B4-BE49-F238E27FC236}">
              <a16:creationId xmlns:a16="http://schemas.microsoft.com/office/drawing/2014/main" id="{51CA3329-3DE9-4572-A8BD-7A177187758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3" name="Host Control  292" hidden="1">
          <a:extLst>
            <a:ext uri="{FF2B5EF4-FFF2-40B4-BE49-F238E27FC236}">
              <a16:creationId xmlns:a16="http://schemas.microsoft.com/office/drawing/2014/main" id="{23ACC557-1F8E-425D-BC6B-DCD8B08B35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4" name="Host Control  293" hidden="1">
          <a:extLst>
            <a:ext uri="{FF2B5EF4-FFF2-40B4-BE49-F238E27FC236}">
              <a16:creationId xmlns:a16="http://schemas.microsoft.com/office/drawing/2014/main" id="{35BC79DF-A99D-4689-B3BC-115EA98909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5" name="Host Control  294" hidden="1">
          <a:extLst>
            <a:ext uri="{FF2B5EF4-FFF2-40B4-BE49-F238E27FC236}">
              <a16:creationId xmlns:a16="http://schemas.microsoft.com/office/drawing/2014/main" id="{C2661E8B-9D23-441A-8AC4-948467BCBA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6" name="Host Control  295" hidden="1">
          <a:extLst>
            <a:ext uri="{FF2B5EF4-FFF2-40B4-BE49-F238E27FC236}">
              <a16:creationId xmlns:a16="http://schemas.microsoft.com/office/drawing/2014/main" id="{4E7FB6C7-62CE-40DD-A74E-837BEC033C5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7" name="Host Control  296" hidden="1">
          <a:extLst>
            <a:ext uri="{FF2B5EF4-FFF2-40B4-BE49-F238E27FC236}">
              <a16:creationId xmlns:a16="http://schemas.microsoft.com/office/drawing/2014/main" id="{8F12C8F0-91E6-40A7-9B9A-3692F2D1AB4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8" name="Host Control  483" hidden="1">
          <a:extLst>
            <a:ext uri="{FF2B5EF4-FFF2-40B4-BE49-F238E27FC236}">
              <a16:creationId xmlns:a16="http://schemas.microsoft.com/office/drawing/2014/main" id="{9410DC5D-0564-4A04-AFA7-FAA55AA0C45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19" name="Host Control  484" hidden="1">
          <a:extLst>
            <a:ext uri="{FF2B5EF4-FFF2-40B4-BE49-F238E27FC236}">
              <a16:creationId xmlns:a16="http://schemas.microsoft.com/office/drawing/2014/main" id="{78B6EDBB-9BA8-433F-AEB0-806BDD59798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0" name="Host Control  485" hidden="1">
          <a:extLst>
            <a:ext uri="{FF2B5EF4-FFF2-40B4-BE49-F238E27FC236}">
              <a16:creationId xmlns:a16="http://schemas.microsoft.com/office/drawing/2014/main" id="{2853B871-CFDF-4DF4-A2B2-380F4973B2E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1" name="Host Control  486" hidden="1">
          <a:extLst>
            <a:ext uri="{FF2B5EF4-FFF2-40B4-BE49-F238E27FC236}">
              <a16:creationId xmlns:a16="http://schemas.microsoft.com/office/drawing/2014/main" id="{94719EBF-63B3-4DDA-974C-C4351122C4D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2" name="Host Control  487" hidden="1">
          <a:extLst>
            <a:ext uri="{FF2B5EF4-FFF2-40B4-BE49-F238E27FC236}">
              <a16:creationId xmlns:a16="http://schemas.microsoft.com/office/drawing/2014/main" id="{64D2F286-8A42-47D5-B8A8-1650CE2ACF1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3" name="Host Control  488" hidden="1">
          <a:extLst>
            <a:ext uri="{FF2B5EF4-FFF2-40B4-BE49-F238E27FC236}">
              <a16:creationId xmlns:a16="http://schemas.microsoft.com/office/drawing/2014/main" id="{524A77BA-7E86-4F66-92B2-EF6547E6EAE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4" name="Host Control  489" hidden="1">
          <a:extLst>
            <a:ext uri="{FF2B5EF4-FFF2-40B4-BE49-F238E27FC236}">
              <a16:creationId xmlns:a16="http://schemas.microsoft.com/office/drawing/2014/main" id="{FDBF5DC6-41DB-4BD9-9CF5-712EBF8EDF8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5" name="Host Control  490" hidden="1">
          <a:extLst>
            <a:ext uri="{FF2B5EF4-FFF2-40B4-BE49-F238E27FC236}">
              <a16:creationId xmlns:a16="http://schemas.microsoft.com/office/drawing/2014/main" id="{C2CD624C-D3F0-4328-9627-DDBF5AC1423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6" name="Host Control  491" hidden="1">
          <a:extLst>
            <a:ext uri="{FF2B5EF4-FFF2-40B4-BE49-F238E27FC236}">
              <a16:creationId xmlns:a16="http://schemas.microsoft.com/office/drawing/2014/main" id="{DB9983FB-525D-4C73-8699-FC4AA7252EE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7" name="Host Control  492" hidden="1">
          <a:extLst>
            <a:ext uri="{FF2B5EF4-FFF2-40B4-BE49-F238E27FC236}">
              <a16:creationId xmlns:a16="http://schemas.microsoft.com/office/drawing/2014/main" id="{1ED8F49D-2676-41AD-9255-551C9E291CD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8" name="Host Control  493" hidden="1">
          <a:extLst>
            <a:ext uri="{FF2B5EF4-FFF2-40B4-BE49-F238E27FC236}">
              <a16:creationId xmlns:a16="http://schemas.microsoft.com/office/drawing/2014/main" id="{CAE1D83C-1B19-40A3-B527-CE4B7D4824E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9" name="Host Control  494" hidden="1">
          <a:extLst>
            <a:ext uri="{FF2B5EF4-FFF2-40B4-BE49-F238E27FC236}">
              <a16:creationId xmlns:a16="http://schemas.microsoft.com/office/drawing/2014/main" id="{1F41DBFD-CEE1-4137-A900-5C1B2B373142}"/>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0" name="Host Control  495" hidden="1">
          <a:extLst>
            <a:ext uri="{FF2B5EF4-FFF2-40B4-BE49-F238E27FC236}">
              <a16:creationId xmlns:a16="http://schemas.microsoft.com/office/drawing/2014/main" id="{F96A53D1-8E58-452D-8F1F-CE6113E6D31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1" name="Host Control  496" hidden="1">
          <a:extLst>
            <a:ext uri="{FF2B5EF4-FFF2-40B4-BE49-F238E27FC236}">
              <a16:creationId xmlns:a16="http://schemas.microsoft.com/office/drawing/2014/main" id="{9293CCB3-7CB4-446C-B04F-B26E3F61C30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2" name="Host Control  497" hidden="1">
          <a:extLst>
            <a:ext uri="{FF2B5EF4-FFF2-40B4-BE49-F238E27FC236}">
              <a16:creationId xmlns:a16="http://schemas.microsoft.com/office/drawing/2014/main" id="{10A40B8E-3CA1-4887-8906-87EFE0EAE0D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3" name="Host Control  498" hidden="1">
          <a:extLst>
            <a:ext uri="{FF2B5EF4-FFF2-40B4-BE49-F238E27FC236}">
              <a16:creationId xmlns:a16="http://schemas.microsoft.com/office/drawing/2014/main" id="{EA130ECD-0D52-429F-984D-07095A597ED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4" name="Host Control  499" hidden="1">
          <a:extLst>
            <a:ext uri="{FF2B5EF4-FFF2-40B4-BE49-F238E27FC236}">
              <a16:creationId xmlns:a16="http://schemas.microsoft.com/office/drawing/2014/main" id="{23CC3AEC-5DD4-4824-AFB8-43C566DA07F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5" name="Host Control  500" hidden="1">
          <a:extLst>
            <a:ext uri="{FF2B5EF4-FFF2-40B4-BE49-F238E27FC236}">
              <a16:creationId xmlns:a16="http://schemas.microsoft.com/office/drawing/2014/main" id="{14AF74E4-B4AB-476D-9825-E3212CD50EC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6" name="Host Control  501" hidden="1">
          <a:extLst>
            <a:ext uri="{FF2B5EF4-FFF2-40B4-BE49-F238E27FC236}">
              <a16:creationId xmlns:a16="http://schemas.microsoft.com/office/drawing/2014/main" id="{E4E2AD64-EC1B-4303-9809-E1892E1710F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7" name="Host Control  502" hidden="1">
          <a:extLst>
            <a:ext uri="{FF2B5EF4-FFF2-40B4-BE49-F238E27FC236}">
              <a16:creationId xmlns:a16="http://schemas.microsoft.com/office/drawing/2014/main" id="{9963F19C-052C-463A-A454-94BB0DEF57E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8" name="Host Control  503" hidden="1">
          <a:extLst>
            <a:ext uri="{FF2B5EF4-FFF2-40B4-BE49-F238E27FC236}">
              <a16:creationId xmlns:a16="http://schemas.microsoft.com/office/drawing/2014/main" id="{66942E78-79D9-45D1-ADC5-91DB38725D1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9" name="Host Control  504" hidden="1">
          <a:extLst>
            <a:ext uri="{FF2B5EF4-FFF2-40B4-BE49-F238E27FC236}">
              <a16:creationId xmlns:a16="http://schemas.microsoft.com/office/drawing/2014/main" id="{53139FBC-348D-4967-AD27-96E53276F02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0" name="Host Control  505" hidden="1">
          <a:extLst>
            <a:ext uri="{FF2B5EF4-FFF2-40B4-BE49-F238E27FC236}">
              <a16:creationId xmlns:a16="http://schemas.microsoft.com/office/drawing/2014/main" id="{46389414-F425-4870-8965-1082434553C2}"/>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1" name="Host Control  506" hidden="1">
          <a:extLst>
            <a:ext uri="{FF2B5EF4-FFF2-40B4-BE49-F238E27FC236}">
              <a16:creationId xmlns:a16="http://schemas.microsoft.com/office/drawing/2014/main" id="{CD41530B-9216-4624-94AC-551BD30BD13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2" name="Host Control  507" hidden="1">
          <a:extLst>
            <a:ext uri="{FF2B5EF4-FFF2-40B4-BE49-F238E27FC236}">
              <a16:creationId xmlns:a16="http://schemas.microsoft.com/office/drawing/2014/main" id="{36360FD4-621F-42FD-8C83-8AB725A58A1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3" name="Host Control  508" hidden="1">
          <a:extLst>
            <a:ext uri="{FF2B5EF4-FFF2-40B4-BE49-F238E27FC236}">
              <a16:creationId xmlns:a16="http://schemas.microsoft.com/office/drawing/2014/main" id="{DF49A145-AED3-4AEC-8FBE-C4EF9F25260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4" name="Host Control  509" hidden="1">
          <a:extLst>
            <a:ext uri="{FF2B5EF4-FFF2-40B4-BE49-F238E27FC236}">
              <a16:creationId xmlns:a16="http://schemas.microsoft.com/office/drawing/2014/main" id="{17DB8675-C812-4355-AAB5-06D8B947D19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5" name="Host Control  510" hidden="1">
          <a:extLst>
            <a:ext uri="{FF2B5EF4-FFF2-40B4-BE49-F238E27FC236}">
              <a16:creationId xmlns:a16="http://schemas.microsoft.com/office/drawing/2014/main" id="{B1785A87-EE18-495C-9B05-9D9123072F01}"/>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6" name="Host Control  511" hidden="1">
          <a:extLst>
            <a:ext uri="{FF2B5EF4-FFF2-40B4-BE49-F238E27FC236}">
              <a16:creationId xmlns:a16="http://schemas.microsoft.com/office/drawing/2014/main" id="{93C88346-8FA6-441A-8A8E-B8A5990D7D4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7" name="Host Control  512" hidden="1">
          <a:extLst>
            <a:ext uri="{FF2B5EF4-FFF2-40B4-BE49-F238E27FC236}">
              <a16:creationId xmlns:a16="http://schemas.microsoft.com/office/drawing/2014/main" id="{77D700DA-A54D-40F0-90EA-F97711E683F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2248535" cy="304800"/>
    <xdr:sp macro="" textlink="">
      <xdr:nvSpPr>
        <xdr:cNvPr id="4448" name="Host Control  517" hidden="1">
          <a:extLst>
            <a:ext uri="{FF2B5EF4-FFF2-40B4-BE49-F238E27FC236}">
              <a16:creationId xmlns:a16="http://schemas.microsoft.com/office/drawing/2014/main" id="{53ED7536-C6D7-4848-B768-93AEFA04903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49" name="Host Control  518" hidden="1">
          <a:extLst>
            <a:ext uri="{FF2B5EF4-FFF2-40B4-BE49-F238E27FC236}">
              <a16:creationId xmlns:a16="http://schemas.microsoft.com/office/drawing/2014/main" id="{5C4FB192-1EE7-4431-BEED-985D73716F4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0" name="Host Control  519" hidden="1">
          <a:extLst>
            <a:ext uri="{FF2B5EF4-FFF2-40B4-BE49-F238E27FC236}">
              <a16:creationId xmlns:a16="http://schemas.microsoft.com/office/drawing/2014/main" id="{8BDB47EA-F00E-41EE-BCF2-990F5184496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1" name="Host Control  520" hidden="1">
          <a:extLst>
            <a:ext uri="{FF2B5EF4-FFF2-40B4-BE49-F238E27FC236}">
              <a16:creationId xmlns:a16="http://schemas.microsoft.com/office/drawing/2014/main" id="{7C9D08DD-C365-439D-B162-F5DCD4D6B82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2" name="Host Control  521" hidden="1">
          <a:extLst>
            <a:ext uri="{FF2B5EF4-FFF2-40B4-BE49-F238E27FC236}">
              <a16:creationId xmlns:a16="http://schemas.microsoft.com/office/drawing/2014/main" id="{0BD26155-F263-45FA-A3DB-FAE2CD49261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3" name="Host Control  522" hidden="1">
          <a:extLst>
            <a:ext uri="{FF2B5EF4-FFF2-40B4-BE49-F238E27FC236}">
              <a16:creationId xmlns:a16="http://schemas.microsoft.com/office/drawing/2014/main" id="{7B3C1A25-5D04-4866-9883-79A01E1CC9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4" name="Host Control  523" hidden="1">
          <a:extLst>
            <a:ext uri="{FF2B5EF4-FFF2-40B4-BE49-F238E27FC236}">
              <a16:creationId xmlns:a16="http://schemas.microsoft.com/office/drawing/2014/main" id="{ED6E30A2-C1CD-42A9-8E9D-30BADD73D0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5" name="Host Control  524" hidden="1">
          <a:extLst>
            <a:ext uri="{FF2B5EF4-FFF2-40B4-BE49-F238E27FC236}">
              <a16:creationId xmlns:a16="http://schemas.microsoft.com/office/drawing/2014/main" id="{83BC2822-D00E-496B-AD7E-60FD7FB3A32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6" name="Host Control  525" hidden="1">
          <a:extLst>
            <a:ext uri="{FF2B5EF4-FFF2-40B4-BE49-F238E27FC236}">
              <a16:creationId xmlns:a16="http://schemas.microsoft.com/office/drawing/2014/main" id="{C29E008E-4832-4381-8CF2-12FCF32DF59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7" name="Host Control  526" hidden="1">
          <a:extLst>
            <a:ext uri="{FF2B5EF4-FFF2-40B4-BE49-F238E27FC236}">
              <a16:creationId xmlns:a16="http://schemas.microsoft.com/office/drawing/2014/main" id="{2058FEBE-4236-416F-83E1-8EFA4EE734C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8" name="Host Control  527" hidden="1">
          <a:extLst>
            <a:ext uri="{FF2B5EF4-FFF2-40B4-BE49-F238E27FC236}">
              <a16:creationId xmlns:a16="http://schemas.microsoft.com/office/drawing/2014/main" id="{712E972D-4A61-46EF-BD10-D98D87C1ABA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9" name="Host Control  528" hidden="1">
          <a:extLst>
            <a:ext uri="{FF2B5EF4-FFF2-40B4-BE49-F238E27FC236}">
              <a16:creationId xmlns:a16="http://schemas.microsoft.com/office/drawing/2014/main" id="{4C196D43-5729-409A-B6EA-E8C5C8B42E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0" name="Host Control  529" hidden="1">
          <a:extLst>
            <a:ext uri="{FF2B5EF4-FFF2-40B4-BE49-F238E27FC236}">
              <a16:creationId xmlns:a16="http://schemas.microsoft.com/office/drawing/2014/main" id="{15AA544E-70FB-4AB1-8D80-D7038D746EC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1" name="Host Control  530" hidden="1">
          <a:extLst>
            <a:ext uri="{FF2B5EF4-FFF2-40B4-BE49-F238E27FC236}">
              <a16:creationId xmlns:a16="http://schemas.microsoft.com/office/drawing/2014/main" id="{54AAD092-B8CC-4317-8A2C-743D75665F8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2" name="Host Control  531" hidden="1">
          <a:extLst>
            <a:ext uri="{FF2B5EF4-FFF2-40B4-BE49-F238E27FC236}">
              <a16:creationId xmlns:a16="http://schemas.microsoft.com/office/drawing/2014/main" id="{1867D878-EAFA-4821-B0B6-1079486D8FB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3" name="Host Control  532" hidden="1">
          <a:extLst>
            <a:ext uri="{FF2B5EF4-FFF2-40B4-BE49-F238E27FC236}">
              <a16:creationId xmlns:a16="http://schemas.microsoft.com/office/drawing/2014/main" id="{4FFDB378-D14A-4070-9B4D-34929021AB5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4" name="Host Control  533" hidden="1">
          <a:extLst>
            <a:ext uri="{FF2B5EF4-FFF2-40B4-BE49-F238E27FC236}">
              <a16:creationId xmlns:a16="http://schemas.microsoft.com/office/drawing/2014/main" id="{64BEFD44-0F74-470E-899B-97D34157A14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5" name="Host Control  534" hidden="1">
          <a:extLst>
            <a:ext uri="{FF2B5EF4-FFF2-40B4-BE49-F238E27FC236}">
              <a16:creationId xmlns:a16="http://schemas.microsoft.com/office/drawing/2014/main" id="{4F5B8E56-D83D-4025-9A6C-88B90B9C640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6" name="Host Control  535" hidden="1">
          <a:extLst>
            <a:ext uri="{FF2B5EF4-FFF2-40B4-BE49-F238E27FC236}">
              <a16:creationId xmlns:a16="http://schemas.microsoft.com/office/drawing/2014/main" id="{1E12BBEC-E5B4-408E-91F1-3128D5F1089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7" name="Host Control  536" hidden="1">
          <a:extLst>
            <a:ext uri="{FF2B5EF4-FFF2-40B4-BE49-F238E27FC236}">
              <a16:creationId xmlns:a16="http://schemas.microsoft.com/office/drawing/2014/main" id="{F4586699-2387-4C9F-AE75-1DEE8CF6DAB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8" name="Host Control  537" hidden="1">
          <a:extLst>
            <a:ext uri="{FF2B5EF4-FFF2-40B4-BE49-F238E27FC236}">
              <a16:creationId xmlns:a16="http://schemas.microsoft.com/office/drawing/2014/main" id="{DB537554-5A0C-4BBB-B185-EAE15E0AD8E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9" name="Host Control  538" hidden="1">
          <a:extLst>
            <a:ext uri="{FF2B5EF4-FFF2-40B4-BE49-F238E27FC236}">
              <a16:creationId xmlns:a16="http://schemas.microsoft.com/office/drawing/2014/main" id="{E843F3C3-2981-4F88-AF24-5065BD22C29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0" name="Host Control  539" hidden="1">
          <a:extLst>
            <a:ext uri="{FF2B5EF4-FFF2-40B4-BE49-F238E27FC236}">
              <a16:creationId xmlns:a16="http://schemas.microsoft.com/office/drawing/2014/main" id="{0A258BF0-554B-4335-ADF6-2E7626CB78D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1" name="Host Control  540" hidden="1">
          <a:extLst>
            <a:ext uri="{FF2B5EF4-FFF2-40B4-BE49-F238E27FC236}">
              <a16:creationId xmlns:a16="http://schemas.microsoft.com/office/drawing/2014/main" id="{09E0B6FE-2459-4293-A6A6-21A2F52094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2" name="Host Control  541" hidden="1">
          <a:extLst>
            <a:ext uri="{FF2B5EF4-FFF2-40B4-BE49-F238E27FC236}">
              <a16:creationId xmlns:a16="http://schemas.microsoft.com/office/drawing/2014/main" id="{B3F79523-315B-43A4-946E-FF147F395F3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3" name="Host Control  542" hidden="1">
          <a:extLst>
            <a:ext uri="{FF2B5EF4-FFF2-40B4-BE49-F238E27FC236}">
              <a16:creationId xmlns:a16="http://schemas.microsoft.com/office/drawing/2014/main" id="{677DE3C9-7E21-4060-AC11-58289854B22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4" name="Host Control  543" hidden="1">
          <a:extLst>
            <a:ext uri="{FF2B5EF4-FFF2-40B4-BE49-F238E27FC236}">
              <a16:creationId xmlns:a16="http://schemas.microsoft.com/office/drawing/2014/main" id="{9B123206-3E28-496A-BE0A-78095FD9C07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5" name="Host Control  544" hidden="1">
          <a:extLst>
            <a:ext uri="{FF2B5EF4-FFF2-40B4-BE49-F238E27FC236}">
              <a16:creationId xmlns:a16="http://schemas.microsoft.com/office/drawing/2014/main" id="{CF391F75-BEAE-4D82-9DCE-58A0A05D878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6" name="Host Control  545" hidden="1">
          <a:extLst>
            <a:ext uri="{FF2B5EF4-FFF2-40B4-BE49-F238E27FC236}">
              <a16:creationId xmlns:a16="http://schemas.microsoft.com/office/drawing/2014/main" id="{656B164B-B989-43DE-8E39-1AAE95D1907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7" name="Host Control  583" hidden="1">
          <a:extLst>
            <a:ext uri="{FF2B5EF4-FFF2-40B4-BE49-F238E27FC236}">
              <a16:creationId xmlns:a16="http://schemas.microsoft.com/office/drawing/2014/main" id="{066160B5-3DDD-43C5-96AA-8E3FF1049DF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8" name="Host Control  584" hidden="1">
          <a:extLst>
            <a:ext uri="{FF2B5EF4-FFF2-40B4-BE49-F238E27FC236}">
              <a16:creationId xmlns:a16="http://schemas.microsoft.com/office/drawing/2014/main" id="{51D82A0D-9593-4940-BF87-A76D56EE732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9" name="Host Control  585" hidden="1">
          <a:extLst>
            <a:ext uri="{FF2B5EF4-FFF2-40B4-BE49-F238E27FC236}">
              <a16:creationId xmlns:a16="http://schemas.microsoft.com/office/drawing/2014/main" id="{A2168865-4CB0-4E30-9C53-54869EC5409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0" name="Host Control  586" hidden="1">
          <a:extLst>
            <a:ext uri="{FF2B5EF4-FFF2-40B4-BE49-F238E27FC236}">
              <a16:creationId xmlns:a16="http://schemas.microsoft.com/office/drawing/2014/main" id="{70C2CE9E-6647-4EE7-AACB-607B9E67204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1" name="Host Control  587" hidden="1">
          <a:extLst>
            <a:ext uri="{FF2B5EF4-FFF2-40B4-BE49-F238E27FC236}">
              <a16:creationId xmlns:a16="http://schemas.microsoft.com/office/drawing/2014/main" id="{142682DE-23DF-400F-9204-F565660666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2" name="Host Control  588" hidden="1">
          <a:extLst>
            <a:ext uri="{FF2B5EF4-FFF2-40B4-BE49-F238E27FC236}">
              <a16:creationId xmlns:a16="http://schemas.microsoft.com/office/drawing/2014/main" id="{4685E233-7845-4483-BC48-EC981882F46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3" name="Host Control  589" hidden="1">
          <a:extLst>
            <a:ext uri="{FF2B5EF4-FFF2-40B4-BE49-F238E27FC236}">
              <a16:creationId xmlns:a16="http://schemas.microsoft.com/office/drawing/2014/main" id="{87EBBBBA-BD1B-430E-B315-50D8B730B6F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4" name="Host Control  590" hidden="1">
          <a:extLst>
            <a:ext uri="{FF2B5EF4-FFF2-40B4-BE49-F238E27FC236}">
              <a16:creationId xmlns:a16="http://schemas.microsoft.com/office/drawing/2014/main" id="{5B8541FC-DB80-4E1F-BDAB-8438552E635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5" name="Host Control  591" hidden="1">
          <a:extLst>
            <a:ext uri="{FF2B5EF4-FFF2-40B4-BE49-F238E27FC236}">
              <a16:creationId xmlns:a16="http://schemas.microsoft.com/office/drawing/2014/main" id="{1F2418F8-6900-41EA-8BBB-8EB5E833ECC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6" name="Host Control  592" hidden="1">
          <a:extLst>
            <a:ext uri="{FF2B5EF4-FFF2-40B4-BE49-F238E27FC236}">
              <a16:creationId xmlns:a16="http://schemas.microsoft.com/office/drawing/2014/main" id="{4402C719-9FFD-406A-AA93-55515838151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7" name="Host Control  593" hidden="1">
          <a:extLst>
            <a:ext uri="{FF2B5EF4-FFF2-40B4-BE49-F238E27FC236}">
              <a16:creationId xmlns:a16="http://schemas.microsoft.com/office/drawing/2014/main" id="{4B1B544B-14D0-4843-B5C7-F7BDD5D7D64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8" name="Host Control  594" hidden="1">
          <a:extLst>
            <a:ext uri="{FF2B5EF4-FFF2-40B4-BE49-F238E27FC236}">
              <a16:creationId xmlns:a16="http://schemas.microsoft.com/office/drawing/2014/main" id="{9A41669B-2412-4E3A-B286-8807A28C15F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9" name="Host Control  595" hidden="1">
          <a:extLst>
            <a:ext uri="{FF2B5EF4-FFF2-40B4-BE49-F238E27FC236}">
              <a16:creationId xmlns:a16="http://schemas.microsoft.com/office/drawing/2014/main" id="{167136CB-D8E4-438B-9B54-75EF4855FF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0" name="Host Control  596" hidden="1">
          <a:extLst>
            <a:ext uri="{FF2B5EF4-FFF2-40B4-BE49-F238E27FC236}">
              <a16:creationId xmlns:a16="http://schemas.microsoft.com/office/drawing/2014/main" id="{55A7ACFE-F807-412A-87EC-7C85BD0C3DF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1" name="Host Control  597" hidden="1">
          <a:extLst>
            <a:ext uri="{FF2B5EF4-FFF2-40B4-BE49-F238E27FC236}">
              <a16:creationId xmlns:a16="http://schemas.microsoft.com/office/drawing/2014/main" id="{DFC91266-B0EE-4BE8-8865-AC622CD9F7B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2" name="Host Control  598" hidden="1">
          <a:extLst>
            <a:ext uri="{FF2B5EF4-FFF2-40B4-BE49-F238E27FC236}">
              <a16:creationId xmlns:a16="http://schemas.microsoft.com/office/drawing/2014/main" id="{BAE4CA31-DA12-427E-A34F-16286005A06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3" name="Host Control  599" hidden="1">
          <a:extLst>
            <a:ext uri="{FF2B5EF4-FFF2-40B4-BE49-F238E27FC236}">
              <a16:creationId xmlns:a16="http://schemas.microsoft.com/office/drawing/2014/main" id="{9395E90D-8429-4F6B-9672-EF0E035B1CC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4" name="Host Control  600" hidden="1">
          <a:extLst>
            <a:ext uri="{FF2B5EF4-FFF2-40B4-BE49-F238E27FC236}">
              <a16:creationId xmlns:a16="http://schemas.microsoft.com/office/drawing/2014/main" id="{9673486C-D98E-4A0C-8DDF-0FF5CC7862B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5" name="Host Control  601" hidden="1">
          <a:extLst>
            <a:ext uri="{FF2B5EF4-FFF2-40B4-BE49-F238E27FC236}">
              <a16:creationId xmlns:a16="http://schemas.microsoft.com/office/drawing/2014/main" id="{7BD01885-B2E1-4E2A-8AE5-150891AF56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6" name="Host Control  602" hidden="1">
          <a:extLst>
            <a:ext uri="{FF2B5EF4-FFF2-40B4-BE49-F238E27FC236}">
              <a16:creationId xmlns:a16="http://schemas.microsoft.com/office/drawing/2014/main" id="{8FA1B7AC-CAE2-45C3-B88C-3A23BF695F5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7" name="Host Control  603" hidden="1">
          <a:extLst>
            <a:ext uri="{FF2B5EF4-FFF2-40B4-BE49-F238E27FC236}">
              <a16:creationId xmlns:a16="http://schemas.microsoft.com/office/drawing/2014/main" id="{363FD8E5-D7DA-4A50-9F51-9349F2FA609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8" name="Host Control  604" hidden="1">
          <a:extLst>
            <a:ext uri="{FF2B5EF4-FFF2-40B4-BE49-F238E27FC236}">
              <a16:creationId xmlns:a16="http://schemas.microsoft.com/office/drawing/2014/main" id="{BDE1BF6A-4E61-439F-999A-C1FA5C6D61F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9" name="Host Control  605" hidden="1">
          <a:extLst>
            <a:ext uri="{FF2B5EF4-FFF2-40B4-BE49-F238E27FC236}">
              <a16:creationId xmlns:a16="http://schemas.microsoft.com/office/drawing/2014/main" id="{33A577F2-41F3-4277-A3D9-D607904E4FC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0" name="Host Control  606" hidden="1">
          <a:extLst>
            <a:ext uri="{FF2B5EF4-FFF2-40B4-BE49-F238E27FC236}">
              <a16:creationId xmlns:a16="http://schemas.microsoft.com/office/drawing/2014/main" id="{68B0165F-317E-4CC2-8D54-F6D9134EBF5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1" name="Host Control  607" hidden="1">
          <a:extLst>
            <a:ext uri="{FF2B5EF4-FFF2-40B4-BE49-F238E27FC236}">
              <a16:creationId xmlns:a16="http://schemas.microsoft.com/office/drawing/2014/main" id="{480D2B84-D8DB-4612-91DB-1BCBCE20E9A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2" name="Host Control  608" hidden="1">
          <a:extLst>
            <a:ext uri="{FF2B5EF4-FFF2-40B4-BE49-F238E27FC236}">
              <a16:creationId xmlns:a16="http://schemas.microsoft.com/office/drawing/2014/main" id="{81C230D5-245B-4D7C-88EA-48FF234616E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3" name="Host Control  609" hidden="1">
          <a:extLst>
            <a:ext uri="{FF2B5EF4-FFF2-40B4-BE49-F238E27FC236}">
              <a16:creationId xmlns:a16="http://schemas.microsoft.com/office/drawing/2014/main" id="{075A131B-7EC6-4ED6-B025-4396AF441A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4" name="Host Control  610" hidden="1">
          <a:extLst>
            <a:ext uri="{FF2B5EF4-FFF2-40B4-BE49-F238E27FC236}">
              <a16:creationId xmlns:a16="http://schemas.microsoft.com/office/drawing/2014/main" id="{22430ED9-DF7F-4471-BB3C-B2A48ACFF25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5" name="Host Control  611" hidden="1">
          <a:extLst>
            <a:ext uri="{FF2B5EF4-FFF2-40B4-BE49-F238E27FC236}">
              <a16:creationId xmlns:a16="http://schemas.microsoft.com/office/drawing/2014/main" id="{1BE15FCA-65D9-4FD5-B172-E4F8ED8CA9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1928495" cy="304800"/>
    <xdr:sp macro="" textlink="">
      <xdr:nvSpPr>
        <xdr:cNvPr id="4506" name="Host Control  483" hidden="1">
          <a:extLst>
            <a:ext uri="{FF2B5EF4-FFF2-40B4-BE49-F238E27FC236}">
              <a16:creationId xmlns:a16="http://schemas.microsoft.com/office/drawing/2014/main" id="{DABC3285-D68A-4F48-A84F-78DD883894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7" name="Host Control  484" hidden="1">
          <a:extLst>
            <a:ext uri="{FF2B5EF4-FFF2-40B4-BE49-F238E27FC236}">
              <a16:creationId xmlns:a16="http://schemas.microsoft.com/office/drawing/2014/main" id="{BAB7394D-03EE-4339-AFDF-84A26F9ECCE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8" name="Host Control  485" hidden="1">
          <a:extLst>
            <a:ext uri="{FF2B5EF4-FFF2-40B4-BE49-F238E27FC236}">
              <a16:creationId xmlns:a16="http://schemas.microsoft.com/office/drawing/2014/main" id="{07BB56B0-E722-48A2-ABE4-5365101A4BB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9" name="Host Control  486" hidden="1">
          <a:extLst>
            <a:ext uri="{FF2B5EF4-FFF2-40B4-BE49-F238E27FC236}">
              <a16:creationId xmlns:a16="http://schemas.microsoft.com/office/drawing/2014/main" id="{1EDED810-4EEF-439C-AA32-FE8B5F0D5D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0" name="Host Control  487" hidden="1">
          <a:extLst>
            <a:ext uri="{FF2B5EF4-FFF2-40B4-BE49-F238E27FC236}">
              <a16:creationId xmlns:a16="http://schemas.microsoft.com/office/drawing/2014/main" id="{D9C1A84A-DEC0-4BD6-8E4C-08F4DE133E7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1" name="Host Control  488" hidden="1">
          <a:extLst>
            <a:ext uri="{FF2B5EF4-FFF2-40B4-BE49-F238E27FC236}">
              <a16:creationId xmlns:a16="http://schemas.microsoft.com/office/drawing/2014/main" id="{1F18DA69-CE84-42EF-B202-5F4048EC9C8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2" name="Host Control  489" hidden="1">
          <a:extLst>
            <a:ext uri="{FF2B5EF4-FFF2-40B4-BE49-F238E27FC236}">
              <a16:creationId xmlns:a16="http://schemas.microsoft.com/office/drawing/2014/main" id="{A0CC44BA-E336-4429-968E-19C6000653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3" name="Host Control  490" hidden="1">
          <a:extLst>
            <a:ext uri="{FF2B5EF4-FFF2-40B4-BE49-F238E27FC236}">
              <a16:creationId xmlns:a16="http://schemas.microsoft.com/office/drawing/2014/main" id="{F091F598-10C4-4616-B189-2985856619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4" name="Host Control  491" hidden="1">
          <a:extLst>
            <a:ext uri="{FF2B5EF4-FFF2-40B4-BE49-F238E27FC236}">
              <a16:creationId xmlns:a16="http://schemas.microsoft.com/office/drawing/2014/main" id="{4F1718F1-F20C-4536-8201-D37CA30411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5" name="Host Control  492" hidden="1">
          <a:extLst>
            <a:ext uri="{FF2B5EF4-FFF2-40B4-BE49-F238E27FC236}">
              <a16:creationId xmlns:a16="http://schemas.microsoft.com/office/drawing/2014/main" id="{0C686A2C-315D-4068-9D89-2C970F756C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6" name="Host Control  493" hidden="1">
          <a:extLst>
            <a:ext uri="{FF2B5EF4-FFF2-40B4-BE49-F238E27FC236}">
              <a16:creationId xmlns:a16="http://schemas.microsoft.com/office/drawing/2014/main" id="{6750DF1D-220E-4C0E-AE79-A40F78F45C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7" name="Host Control  494" hidden="1">
          <a:extLst>
            <a:ext uri="{FF2B5EF4-FFF2-40B4-BE49-F238E27FC236}">
              <a16:creationId xmlns:a16="http://schemas.microsoft.com/office/drawing/2014/main" id="{E71093D9-6E5C-44B0-85D4-B2413B5DEDA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8" name="Host Control  495" hidden="1">
          <a:extLst>
            <a:ext uri="{FF2B5EF4-FFF2-40B4-BE49-F238E27FC236}">
              <a16:creationId xmlns:a16="http://schemas.microsoft.com/office/drawing/2014/main" id="{71C5527C-087D-468B-8BC2-DBEB3DD950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9" name="Host Control  496" hidden="1">
          <a:extLst>
            <a:ext uri="{FF2B5EF4-FFF2-40B4-BE49-F238E27FC236}">
              <a16:creationId xmlns:a16="http://schemas.microsoft.com/office/drawing/2014/main" id="{39A08845-A91D-47C1-90F4-563742D53D0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0" name="Host Control  497" hidden="1">
          <a:extLst>
            <a:ext uri="{FF2B5EF4-FFF2-40B4-BE49-F238E27FC236}">
              <a16:creationId xmlns:a16="http://schemas.microsoft.com/office/drawing/2014/main" id="{08C7F5C3-9E81-4E2E-BF86-609EED5D97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1" name="Host Control  498" hidden="1">
          <a:extLst>
            <a:ext uri="{FF2B5EF4-FFF2-40B4-BE49-F238E27FC236}">
              <a16:creationId xmlns:a16="http://schemas.microsoft.com/office/drawing/2014/main" id="{886B8F98-F9F9-423B-BD8A-D9962D1429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2" name="Host Control  499" hidden="1">
          <a:extLst>
            <a:ext uri="{FF2B5EF4-FFF2-40B4-BE49-F238E27FC236}">
              <a16:creationId xmlns:a16="http://schemas.microsoft.com/office/drawing/2014/main" id="{F18B97FC-7354-4AC7-8A00-6041942CBD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3" name="Host Control  500" hidden="1">
          <a:extLst>
            <a:ext uri="{FF2B5EF4-FFF2-40B4-BE49-F238E27FC236}">
              <a16:creationId xmlns:a16="http://schemas.microsoft.com/office/drawing/2014/main" id="{D2C8EADB-02C1-4A42-BFA1-AD537AB25B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4" name="Host Control  501" hidden="1">
          <a:extLst>
            <a:ext uri="{FF2B5EF4-FFF2-40B4-BE49-F238E27FC236}">
              <a16:creationId xmlns:a16="http://schemas.microsoft.com/office/drawing/2014/main" id="{25909918-5231-41DA-851B-760B6450762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5" name="Host Control  502" hidden="1">
          <a:extLst>
            <a:ext uri="{FF2B5EF4-FFF2-40B4-BE49-F238E27FC236}">
              <a16:creationId xmlns:a16="http://schemas.microsoft.com/office/drawing/2014/main" id="{1F209392-EA52-4BD2-824C-5D2CB679810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6" name="Host Control  503" hidden="1">
          <a:extLst>
            <a:ext uri="{FF2B5EF4-FFF2-40B4-BE49-F238E27FC236}">
              <a16:creationId xmlns:a16="http://schemas.microsoft.com/office/drawing/2014/main" id="{07E6F33B-F743-44EE-831D-769A8CA723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7" name="Host Control  504" hidden="1">
          <a:extLst>
            <a:ext uri="{FF2B5EF4-FFF2-40B4-BE49-F238E27FC236}">
              <a16:creationId xmlns:a16="http://schemas.microsoft.com/office/drawing/2014/main" id="{F541F27D-C4F8-4C72-8ADB-62225455A3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8" name="Host Control  505" hidden="1">
          <a:extLst>
            <a:ext uri="{FF2B5EF4-FFF2-40B4-BE49-F238E27FC236}">
              <a16:creationId xmlns:a16="http://schemas.microsoft.com/office/drawing/2014/main" id="{025EE870-C76C-4076-8933-2FD6B2EEAA2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9" name="Host Control  506" hidden="1">
          <a:extLst>
            <a:ext uri="{FF2B5EF4-FFF2-40B4-BE49-F238E27FC236}">
              <a16:creationId xmlns:a16="http://schemas.microsoft.com/office/drawing/2014/main" id="{FF49ABA9-6A29-415F-B5E8-1F6A857841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0" name="Host Control  507" hidden="1">
          <a:extLst>
            <a:ext uri="{FF2B5EF4-FFF2-40B4-BE49-F238E27FC236}">
              <a16:creationId xmlns:a16="http://schemas.microsoft.com/office/drawing/2014/main" id="{44C21050-4AEA-4A45-BD50-F12DCF7EAC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1" name="Host Control  508" hidden="1">
          <a:extLst>
            <a:ext uri="{FF2B5EF4-FFF2-40B4-BE49-F238E27FC236}">
              <a16:creationId xmlns:a16="http://schemas.microsoft.com/office/drawing/2014/main" id="{895150CF-4B56-47DD-92DD-270F065A6B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2" name="Host Control  509" hidden="1">
          <a:extLst>
            <a:ext uri="{FF2B5EF4-FFF2-40B4-BE49-F238E27FC236}">
              <a16:creationId xmlns:a16="http://schemas.microsoft.com/office/drawing/2014/main" id="{DB192810-E076-4480-A672-6134CA479F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3" name="Host Control  510" hidden="1">
          <a:extLst>
            <a:ext uri="{FF2B5EF4-FFF2-40B4-BE49-F238E27FC236}">
              <a16:creationId xmlns:a16="http://schemas.microsoft.com/office/drawing/2014/main" id="{96434AC2-4771-42DE-9847-79588847FE1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4" name="Host Control  511" hidden="1">
          <a:extLst>
            <a:ext uri="{FF2B5EF4-FFF2-40B4-BE49-F238E27FC236}">
              <a16:creationId xmlns:a16="http://schemas.microsoft.com/office/drawing/2014/main" id="{4A46ACF7-1C87-4D98-8F5A-DBD2F817E4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5" name="Host Control  512" hidden="1">
          <a:extLst>
            <a:ext uri="{FF2B5EF4-FFF2-40B4-BE49-F238E27FC236}">
              <a16:creationId xmlns:a16="http://schemas.microsoft.com/office/drawing/2014/main" id="{C2CEA1A7-9698-4AAE-A6FD-03E332A3C04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6" name="Host Control  517" hidden="1">
          <a:extLst>
            <a:ext uri="{FF2B5EF4-FFF2-40B4-BE49-F238E27FC236}">
              <a16:creationId xmlns:a16="http://schemas.microsoft.com/office/drawing/2014/main" id="{4E447F7E-67CD-4E2C-87CB-89404FFC046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7" name="Host Control  518" hidden="1">
          <a:extLst>
            <a:ext uri="{FF2B5EF4-FFF2-40B4-BE49-F238E27FC236}">
              <a16:creationId xmlns:a16="http://schemas.microsoft.com/office/drawing/2014/main" id="{289A4497-5C0C-4CF5-AA68-9B9BBFB9430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8" name="Host Control  519" hidden="1">
          <a:extLst>
            <a:ext uri="{FF2B5EF4-FFF2-40B4-BE49-F238E27FC236}">
              <a16:creationId xmlns:a16="http://schemas.microsoft.com/office/drawing/2014/main" id="{B0DD36D2-CD45-4487-8EEC-24930DF1E0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9" name="Host Control  520" hidden="1">
          <a:extLst>
            <a:ext uri="{FF2B5EF4-FFF2-40B4-BE49-F238E27FC236}">
              <a16:creationId xmlns:a16="http://schemas.microsoft.com/office/drawing/2014/main" id="{7CC74BC7-C283-4091-8B22-F8FD1A3E6AA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0" name="Host Control  521" hidden="1">
          <a:extLst>
            <a:ext uri="{FF2B5EF4-FFF2-40B4-BE49-F238E27FC236}">
              <a16:creationId xmlns:a16="http://schemas.microsoft.com/office/drawing/2014/main" id="{1FB935DF-0E68-4B6F-811A-9943B3BE6B9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1" name="Host Control  522" hidden="1">
          <a:extLst>
            <a:ext uri="{FF2B5EF4-FFF2-40B4-BE49-F238E27FC236}">
              <a16:creationId xmlns:a16="http://schemas.microsoft.com/office/drawing/2014/main" id="{F1CA65A3-A741-4AB6-8B99-81B3B84FD5F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2" name="Host Control  523" hidden="1">
          <a:extLst>
            <a:ext uri="{FF2B5EF4-FFF2-40B4-BE49-F238E27FC236}">
              <a16:creationId xmlns:a16="http://schemas.microsoft.com/office/drawing/2014/main" id="{458CA2CA-0FF9-4335-B105-EB04F3971A2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3" name="Host Control  524" hidden="1">
          <a:extLst>
            <a:ext uri="{FF2B5EF4-FFF2-40B4-BE49-F238E27FC236}">
              <a16:creationId xmlns:a16="http://schemas.microsoft.com/office/drawing/2014/main" id="{1906A866-8663-49CF-B2A7-6BF7636067D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4" name="Host Control  525" hidden="1">
          <a:extLst>
            <a:ext uri="{FF2B5EF4-FFF2-40B4-BE49-F238E27FC236}">
              <a16:creationId xmlns:a16="http://schemas.microsoft.com/office/drawing/2014/main" id="{1B5BA532-78E3-4FBB-A66B-EA1BAD892BD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5" name="Host Control  526" hidden="1">
          <a:extLst>
            <a:ext uri="{FF2B5EF4-FFF2-40B4-BE49-F238E27FC236}">
              <a16:creationId xmlns:a16="http://schemas.microsoft.com/office/drawing/2014/main" id="{0C745A60-D1D3-49C1-8C8A-DC86A49AA6E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6" name="Host Control  527" hidden="1">
          <a:extLst>
            <a:ext uri="{FF2B5EF4-FFF2-40B4-BE49-F238E27FC236}">
              <a16:creationId xmlns:a16="http://schemas.microsoft.com/office/drawing/2014/main" id="{36BDE938-35AD-4CE1-A9C3-CA89BC31912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7" name="Host Control  528" hidden="1">
          <a:extLst>
            <a:ext uri="{FF2B5EF4-FFF2-40B4-BE49-F238E27FC236}">
              <a16:creationId xmlns:a16="http://schemas.microsoft.com/office/drawing/2014/main" id="{3FD8FC61-67A5-47F4-A723-8AAC04240CE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8" name="Host Control  529" hidden="1">
          <a:extLst>
            <a:ext uri="{FF2B5EF4-FFF2-40B4-BE49-F238E27FC236}">
              <a16:creationId xmlns:a16="http://schemas.microsoft.com/office/drawing/2014/main" id="{4E44A31E-DE79-4F76-8634-5D1FB8CBDA5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9" name="Host Control  530" hidden="1">
          <a:extLst>
            <a:ext uri="{FF2B5EF4-FFF2-40B4-BE49-F238E27FC236}">
              <a16:creationId xmlns:a16="http://schemas.microsoft.com/office/drawing/2014/main" id="{8D158F05-4234-4654-AF22-5A888A894AB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0" name="Host Control  531" hidden="1">
          <a:extLst>
            <a:ext uri="{FF2B5EF4-FFF2-40B4-BE49-F238E27FC236}">
              <a16:creationId xmlns:a16="http://schemas.microsoft.com/office/drawing/2014/main" id="{2EB09788-099F-4E4A-AD99-121E789B428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1" name="Host Control  532" hidden="1">
          <a:extLst>
            <a:ext uri="{FF2B5EF4-FFF2-40B4-BE49-F238E27FC236}">
              <a16:creationId xmlns:a16="http://schemas.microsoft.com/office/drawing/2014/main" id="{E0C85347-5F36-490D-82DA-6BD7077FA9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2" name="Host Control  533" hidden="1">
          <a:extLst>
            <a:ext uri="{FF2B5EF4-FFF2-40B4-BE49-F238E27FC236}">
              <a16:creationId xmlns:a16="http://schemas.microsoft.com/office/drawing/2014/main" id="{796273C8-ACCC-41EA-913B-1A246F8E60B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3" name="Host Control  534" hidden="1">
          <a:extLst>
            <a:ext uri="{FF2B5EF4-FFF2-40B4-BE49-F238E27FC236}">
              <a16:creationId xmlns:a16="http://schemas.microsoft.com/office/drawing/2014/main" id="{6A953249-6B77-4FD9-AB1D-1CFE382EF7B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4" name="Host Control  535" hidden="1">
          <a:extLst>
            <a:ext uri="{FF2B5EF4-FFF2-40B4-BE49-F238E27FC236}">
              <a16:creationId xmlns:a16="http://schemas.microsoft.com/office/drawing/2014/main" id="{6980C2C5-BB36-4321-926D-773AAA9394E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5" name="Host Control  536" hidden="1">
          <a:extLst>
            <a:ext uri="{FF2B5EF4-FFF2-40B4-BE49-F238E27FC236}">
              <a16:creationId xmlns:a16="http://schemas.microsoft.com/office/drawing/2014/main" id="{0145D089-3A98-45D9-9BBD-2E89A99081B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6" name="Host Control  537" hidden="1">
          <a:extLst>
            <a:ext uri="{FF2B5EF4-FFF2-40B4-BE49-F238E27FC236}">
              <a16:creationId xmlns:a16="http://schemas.microsoft.com/office/drawing/2014/main" id="{53CDC56B-F1FD-4201-9038-E8AAEECC157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7" name="Host Control  538" hidden="1">
          <a:extLst>
            <a:ext uri="{FF2B5EF4-FFF2-40B4-BE49-F238E27FC236}">
              <a16:creationId xmlns:a16="http://schemas.microsoft.com/office/drawing/2014/main" id="{9E87D90F-7A47-4E3D-9196-05282799D11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8" name="Host Control  539" hidden="1">
          <a:extLst>
            <a:ext uri="{FF2B5EF4-FFF2-40B4-BE49-F238E27FC236}">
              <a16:creationId xmlns:a16="http://schemas.microsoft.com/office/drawing/2014/main" id="{11D4824D-8493-48F7-949F-08888F15BA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9" name="Host Control  540" hidden="1">
          <a:extLst>
            <a:ext uri="{FF2B5EF4-FFF2-40B4-BE49-F238E27FC236}">
              <a16:creationId xmlns:a16="http://schemas.microsoft.com/office/drawing/2014/main" id="{4CCCAD4B-B04D-46C6-BE08-4A9FA5F50BA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0" name="Host Control  541" hidden="1">
          <a:extLst>
            <a:ext uri="{FF2B5EF4-FFF2-40B4-BE49-F238E27FC236}">
              <a16:creationId xmlns:a16="http://schemas.microsoft.com/office/drawing/2014/main" id="{1F1C3A8C-2027-455C-A85B-B1E5834CB3E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1" name="Host Control  542" hidden="1">
          <a:extLst>
            <a:ext uri="{FF2B5EF4-FFF2-40B4-BE49-F238E27FC236}">
              <a16:creationId xmlns:a16="http://schemas.microsoft.com/office/drawing/2014/main" id="{62DFAE57-CAD0-47E8-846E-30B1BD4A1D9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2" name="Host Control  543" hidden="1">
          <a:extLst>
            <a:ext uri="{FF2B5EF4-FFF2-40B4-BE49-F238E27FC236}">
              <a16:creationId xmlns:a16="http://schemas.microsoft.com/office/drawing/2014/main" id="{6DC70274-7DD2-454C-922D-7A6E2DC65D4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3" name="Host Control  544" hidden="1">
          <a:extLst>
            <a:ext uri="{FF2B5EF4-FFF2-40B4-BE49-F238E27FC236}">
              <a16:creationId xmlns:a16="http://schemas.microsoft.com/office/drawing/2014/main" id="{3729548D-7944-4FE2-B06F-D783A5E1046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4" name="Host Control  545" hidden="1">
          <a:extLst>
            <a:ext uri="{FF2B5EF4-FFF2-40B4-BE49-F238E27FC236}">
              <a16:creationId xmlns:a16="http://schemas.microsoft.com/office/drawing/2014/main" id="{BFFCBD8C-2A07-4626-AF2E-B1BCDE997A5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5" name="Host Control  583" hidden="1">
          <a:extLst>
            <a:ext uri="{FF2B5EF4-FFF2-40B4-BE49-F238E27FC236}">
              <a16:creationId xmlns:a16="http://schemas.microsoft.com/office/drawing/2014/main" id="{C21D92F5-49C1-45F0-8771-1A9BE81B50E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6" name="Host Control  584" hidden="1">
          <a:extLst>
            <a:ext uri="{FF2B5EF4-FFF2-40B4-BE49-F238E27FC236}">
              <a16:creationId xmlns:a16="http://schemas.microsoft.com/office/drawing/2014/main" id="{95F5C0AF-1EF3-4B60-B9F9-FF31E54CBFE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7" name="Host Control  585" hidden="1">
          <a:extLst>
            <a:ext uri="{FF2B5EF4-FFF2-40B4-BE49-F238E27FC236}">
              <a16:creationId xmlns:a16="http://schemas.microsoft.com/office/drawing/2014/main" id="{5315A7CC-358E-4CAE-AB9B-CEC83AB523B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8" name="Host Control  586" hidden="1">
          <a:extLst>
            <a:ext uri="{FF2B5EF4-FFF2-40B4-BE49-F238E27FC236}">
              <a16:creationId xmlns:a16="http://schemas.microsoft.com/office/drawing/2014/main" id="{7FDE3112-7AC6-4D07-9CB8-58A9E16121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9" name="Host Control  587" hidden="1">
          <a:extLst>
            <a:ext uri="{FF2B5EF4-FFF2-40B4-BE49-F238E27FC236}">
              <a16:creationId xmlns:a16="http://schemas.microsoft.com/office/drawing/2014/main" id="{E8246EEE-D196-437B-AA62-DF177818001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0" name="Host Control  588" hidden="1">
          <a:extLst>
            <a:ext uri="{FF2B5EF4-FFF2-40B4-BE49-F238E27FC236}">
              <a16:creationId xmlns:a16="http://schemas.microsoft.com/office/drawing/2014/main" id="{3F6D45EC-4B2F-4C36-B6FF-AE8ADB490BC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1" name="Host Control  589" hidden="1">
          <a:extLst>
            <a:ext uri="{FF2B5EF4-FFF2-40B4-BE49-F238E27FC236}">
              <a16:creationId xmlns:a16="http://schemas.microsoft.com/office/drawing/2014/main" id="{649E15DD-0A17-44E8-BD07-21CEF322015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2" name="Host Control  590" hidden="1">
          <a:extLst>
            <a:ext uri="{FF2B5EF4-FFF2-40B4-BE49-F238E27FC236}">
              <a16:creationId xmlns:a16="http://schemas.microsoft.com/office/drawing/2014/main" id="{17312EED-A13C-4EB6-9277-809E62B55D7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3" name="Host Control  591" hidden="1">
          <a:extLst>
            <a:ext uri="{FF2B5EF4-FFF2-40B4-BE49-F238E27FC236}">
              <a16:creationId xmlns:a16="http://schemas.microsoft.com/office/drawing/2014/main" id="{7BAA3898-83EA-4778-BA10-ABF5AF103C9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4" name="Host Control  592" hidden="1">
          <a:extLst>
            <a:ext uri="{FF2B5EF4-FFF2-40B4-BE49-F238E27FC236}">
              <a16:creationId xmlns:a16="http://schemas.microsoft.com/office/drawing/2014/main" id="{137D5E7F-D930-4133-945A-15E71738D4F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5" name="Host Control  593" hidden="1">
          <a:extLst>
            <a:ext uri="{FF2B5EF4-FFF2-40B4-BE49-F238E27FC236}">
              <a16:creationId xmlns:a16="http://schemas.microsoft.com/office/drawing/2014/main" id="{DB643760-504E-470C-A54A-CCCB0164204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6" name="Host Control  594" hidden="1">
          <a:extLst>
            <a:ext uri="{FF2B5EF4-FFF2-40B4-BE49-F238E27FC236}">
              <a16:creationId xmlns:a16="http://schemas.microsoft.com/office/drawing/2014/main" id="{75EEF1D0-2DAA-4EDB-A513-AC6E15EA6E8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7" name="Host Control  595" hidden="1">
          <a:extLst>
            <a:ext uri="{FF2B5EF4-FFF2-40B4-BE49-F238E27FC236}">
              <a16:creationId xmlns:a16="http://schemas.microsoft.com/office/drawing/2014/main" id="{FD7D4838-973F-4F3D-8DAC-9A37014A379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8" name="Host Control  596" hidden="1">
          <a:extLst>
            <a:ext uri="{FF2B5EF4-FFF2-40B4-BE49-F238E27FC236}">
              <a16:creationId xmlns:a16="http://schemas.microsoft.com/office/drawing/2014/main" id="{C86FDC45-DF4B-45A4-8776-7923A9B553D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9" name="Host Control  597" hidden="1">
          <a:extLst>
            <a:ext uri="{FF2B5EF4-FFF2-40B4-BE49-F238E27FC236}">
              <a16:creationId xmlns:a16="http://schemas.microsoft.com/office/drawing/2014/main" id="{903905DD-309D-45A2-AA97-D86D9826C92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0" name="Host Control  598" hidden="1">
          <a:extLst>
            <a:ext uri="{FF2B5EF4-FFF2-40B4-BE49-F238E27FC236}">
              <a16:creationId xmlns:a16="http://schemas.microsoft.com/office/drawing/2014/main" id="{6C1B4C56-E77F-4660-8F7E-BD27C2F4F82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1" name="Host Control  599" hidden="1">
          <a:extLst>
            <a:ext uri="{FF2B5EF4-FFF2-40B4-BE49-F238E27FC236}">
              <a16:creationId xmlns:a16="http://schemas.microsoft.com/office/drawing/2014/main" id="{9CDFCC79-07C3-449D-98DF-C3F976BB703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2" name="Host Control  600" hidden="1">
          <a:extLst>
            <a:ext uri="{FF2B5EF4-FFF2-40B4-BE49-F238E27FC236}">
              <a16:creationId xmlns:a16="http://schemas.microsoft.com/office/drawing/2014/main" id="{6B787C01-247A-43C8-87D3-CDEF2D07885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3" name="Host Control  601" hidden="1">
          <a:extLst>
            <a:ext uri="{FF2B5EF4-FFF2-40B4-BE49-F238E27FC236}">
              <a16:creationId xmlns:a16="http://schemas.microsoft.com/office/drawing/2014/main" id="{9801746D-1057-46A2-A405-3DF2B4D890E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4" name="Host Control  602" hidden="1">
          <a:extLst>
            <a:ext uri="{FF2B5EF4-FFF2-40B4-BE49-F238E27FC236}">
              <a16:creationId xmlns:a16="http://schemas.microsoft.com/office/drawing/2014/main" id="{EB4784F1-6BDA-4EBF-AACC-90BE341CE82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5" name="Host Control  603" hidden="1">
          <a:extLst>
            <a:ext uri="{FF2B5EF4-FFF2-40B4-BE49-F238E27FC236}">
              <a16:creationId xmlns:a16="http://schemas.microsoft.com/office/drawing/2014/main" id="{08201DF3-3342-45F2-A566-DBADF9EBF661}"/>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6" name="Host Control  604" hidden="1">
          <a:extLst>
            <a:ext uri="{FF2B5EF4-FFF2-40B4-BE49-F238E27FC236}">
              <a16:creationId xmlns:a16="http://schemas.microsoft.com/office/drawing/2014/main" id="{E2C7CFF1-3129-48B2-9D6A-2DD049162FA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7" name="Host Control  605" hidden="1">
          <a:extLst>
            <a:ext uri="{FF2B5EF4-FFF2-40B4-BE49-F238E27FC236}">
              <a16:creationId xmlns:a16="http://schemas.microsoft.com/office/drawing/2014/main" id="{720E3FCB-0979-4749-81FC-D0C82CF0BED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8" name="Host Control  606" hidden="1">
          <a:extLst>
            <a:ext uri="{FF2B5EF4-FFF2-40B4-BE49-F238E27FC236}">
              <a16:creationId xmlns:a16="http://schemas.microsoft.com/office/drawing/2014/main" id="{239AB733-D535-4861-80A2-EAD1D1F63FC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9" name="Host Control  607" hidden="1">
          <a:extLst>
            <a:ext uri="{FF2B5EF4-FFF2-40B4-BE49-F238E27FC236}">
              <a16:creationId xmlns:a16="http://schemas.microsoft.com/office/drawing/2014/main" id="{B6337B26-D49F-490A-80D3-4AE19FF804A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0" name="Host Control  608" hidden="1">
          <a:extLst>
            <a:ext uri="{FF2B5EF4-FFF2-40B4-BE49-F238E27FC236}">
              <a16:creationId xmlns:a16="http://schemas.microsoft.com/office/drawing/2014/main" id="{8FFC2C85-FCDF-495E-BB80-91DC3D3D57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1" name="Host Control  609" hidden="1">
          <a:extLst>
            <a:ext uri="{FF2B5EF4-FFF2-40B4-BE49-F238E27FC236}">
              <a16:creationId xmlns:a16="http://schemas.microsoft.com/office/drawing/2014/main" id="{02D7A0D9-8541-4EAB-B9A3-D142C479A1B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2" name="Host Control  610" hidden="1">
          <a:extLst>
            <a:ext uri="{FF2B5EF4-FFF2-40B4-BE49-F238E27FC236}">
              <a16:creationId xmlns:a16="http://schemas.microsoft.com/office/drawing/2014/main" id="{6FD47603-1A45-4F6E-B5A6-7627B52A25B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3" name="Host Control  611" hidden="1">
          <a:extLst>
            <a:ext uri="{FF2B5EF4-FFF2-40B4-BE49-F238E27FC236}">
              <a16:creationId xmlns:a16="http://schemas.microsoft.com/office/drawing/2014/main" id="{331662F2-DF8F-4DEA-90C7-91184707E0A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32305" cy="304800"/>
    <xdr:sp macro="" textlink="">
      <xdr:nvSpPr>
        <xdr:cNvPr id="4594" name="Host Control  32" hidden="1">
          <a:extLst>
            <a:ext uri="{FF2B5EF4-FFF2-40B4-BE49-F238E27FC236}">
              <a16:creationId xmlns:a16="http://schemas.microsoft.com/office/drawing/2014/main" id="{84B23D58-56C0-4378-BAEA-0C18166F23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5" name="Host Control  33" hidden="1">
          <a:extLst>
            <a:ext uri="{FF2B5EF4-FFF2-40B4-BE49-F238E27FC236}">
              <a16:creationId xmlns:a16="http://schemas.microsoft.com/office/drawing/2014/main" id="{50C0697E-998D-42A0-B94B-C638CA7269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6" name="Host Control  34" hidden="1">
          <a:extLst>
            <a:ext uri="{FF2B5EF4-FFF2-40B4-BE49-F238E27FC236}">
              <a16:creationId xmlns:a16="http://schemas.microsoft.com/office/drawing/2014/main" id="{B802C09F-DCDB-4D3A-A675-D925A0CCA7E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7" name="Host Control  35" hidden="1">
          <a:extLst>
            <a:ext uri="{FF2B5EF4-FFF2-40B4-BE49-F238E27FC236}">
              <a16:creationId xmlns:a16="http://schemas.microsoft.com/office/drawing/2014/main" id="{EDA985B6-7D9B-4BDD-B1F6-2BCD817497F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8" name="Host Control  36" hidden="1">
          <a:extLst>
            <a:ext uri="{FF2B5EF4-FFF2-40B4-BE49-F238E27FC236}">
              <a16:creationId xmlns:a16="http://schemas.microsoft.com/office/drawing/2014/main" id="{8A3B7E7A-4F6B-42EA-B08A-D26F110F77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9" name="Host Control  37" hidden="1">
          <a:extLst>
            <a:ext uri="{FF2B5EF4-FFF2-40B4-BE49-F238E27FC236}">
              <a16:creationId xmlns:a16="http://schemas.microsoft.com/office/drawing/2014/main" id="{15A26BE7-4339-482C-B1A2-1BB27D21D0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0" name="Host Control  38" hidden="1">
          <a:extLst>
            <a:ext uri="{FF2B5EF4-FFF2-40B4-BE49-F238E27FC236}">
              <a16:creationId xmlns:a16="http://schemas.microsoft.com/office/drawing/2014/main" id="{21E573C0-A45A-433B-9692-DDFD0211EF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1" name="Host Control  39" hidden="1">
          <a:extLst>
            <a:ext uri="{FF2B5EF4-FFF2-40B4-BE49-F238E27FC236}">
              <a16:creationId xmlns:a16="http://schemas.microsoft.com/office/drawing/2014/main" id="{D72A6914-D4FC-48B8-8D09-F3F4B66288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2" name="Host Control  40" hidden="1">
          <a:extLst>
            <a:ext uri="{FF2B5EF4-FFF2-40B4-BE49-F238E27FC236}">
              <a16:creationId xmlns:a16="http://schemas.microsoft.com/office/drawing/2014/main" id="{6C9F475A-AEBC-40F2-ADA1-1B00FFE6E6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3" name="Host Control  41" hidden="1">
          <a:extLst>
            <a:ext uri="{FF2B5EF4-FFF2-40B4-BE49-F238E27FC236}">
              <a16:creationId xmlns:a16="http://schemas.microsoft.com/office/drawing/2014/main" id="{3158ABA2-635C-4059-90E7-851515E18F2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4" name="Host Control  42" hidden="1">
          <a:extLst>
            <a:ext uri="{FF2B5EF4-FFF2-40B4-BE49-F238E27FC236}">
              <a16:creationId xmlns:a16="http://schemas.microsoft.com/office/drawing/2014/main" id="{DBDBC08E-B18F-46E9-A86C-B839173DA4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5" name="Host Control  43" hidden="1">
          <a:extLst>
            <a:ext uri="{FF2B5EF4-FFF2-40B4-BE49-F238E27FC236}">
              <a16:creationId xmlns:a16="http://schemas.microsoft.com/office/drawing/2014/main" id="{BC9671E5-22A1-4A17-A76A-1813B50C26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6" name="Host Control  44" hidden="1">
          <a:extLst>
            <a:ext uri="{FF2B5EF4-FFF2-40B4-BE49-F238E27FC236}">
              <a16:creationId xmlns:a16="http://schemas.microsoft.com/office/drawing/2014/main" id="{1F5E08D1-3938-4970-AA74-F2E0E64302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7" name="Host Control  45" hidden="1">
          <a:extLst>
            <a:ext uri="{FF2B5EF4-FFF2-40B4-BE49-F238E27FC236}">
              <a16:creationId xmlns:a16="http://schemas.microsoft.com/office/drawing/2014/main" id="{9D3DE4B4-846E-4B23-80E2-8C91E56225F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8" name="Host Control  46" hidden="1">
          <a:extLst>
            <a:ext uri="{FF2B5EF4-FFF2-40B4-BE49-F238E27FC236}">
              <a16:creationId xmlns:a16="http://schemas.microsoft.com/office/drawing/2014/main" id="{51F2E087-7A31-42B7-9171-CC1F583ADDA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9" name="Host Control  47" hidden="1">
          <a:extLst>
            <a:ext uri="{FF2B5EF4-FFF2-40B4-BE49-F238E27FC236}">
              <a16:creationId xmlns:a16="http://schemas.microsoft.com/office/drawing/2014/main" id="{F1417FAA-2089-4224-A856-352E6FD5B5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0" name="Host Control  48" hidden="1">
          <a:extLst>
            <a:ext uri="{FF2B5EF4-FFF2-40B4-BE49-F238E27FC236}">
              <a16:creationId xmlns:a16="http://schemas.microsoft.com/office/drawing/2014/main" id="{A4BEE5BC-FEC9-4E0F-A0D0-FD9B9321F2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1" name="Host Control  49" hidden="1">
          <a:extLst>
            <a:ext uri="{FF2B5EF4-FFF2-40B4-BE49-F238E27FC236}">
              <a16:creationId xmlns:a16="http://schemas.microsoft.com/office/drawing/2014/main" id="{4EC13CB0-8EEA-4478-AF25-3943EDA0D0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2" name="Host Control  50" hidden="1">
          <a:extLst>
            <a:ext uri="{FF2B5EF4-FFF2-40B4-BE49-F238E27FC236}">
              <a16:creationId xmlns:a16="http://schemas.microsoft.com/office/drawing/2014/main" id="{3A623445-6A1F-4EC6-85B9-9E202287B23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3" name="Host Control  51" hidden="1">
          <a:extLst>
            <a:ext uri="{FF2B5EF4-FFF2-40B4-BE49-F238E27FC236}">
              <a16:creationId xmlns:a16="http://schemas.microsoft.com/office/drawing/2014/main" id="{4D8C7590-784A-4DA7-A808-0A5DF38EC5A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4" name="Host Control  52" hidden="1">
          <a:extLst>
            <a:ext uri="{FF2B5EF4-FFF2-40B4-BE49-F238E27FC236}">
              <a16:creationId xmlns:a16="http://schemas.microsoft.com/office/drawing/2014/main" id="{0D0E345D-6976-4F4A-8662-5474AC42EB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5" name="Host Control  53" hidden="1">
          <a:extLst>
            <a:ext uri="{FF2B5EF4-FFF2-40B4-BE49-F238E27FC236}">
              <a16:creationId xmlns:a16="http://schemas.microsoft.com/office/drawing/2014/main" id="{508C2681-3B43-44FC-B995-35E58C1DACC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6" name="Host Control  54" hidden="1">
          <a:extLst>
            <a:ext uri="{FF2B5EF4-FFF2-40B4-BE49-F238E27FC236}">
              <a16:creationId xmlns:a16="http://schemas.microsoft.com/office/drawing/2014/main" id="{FEAFE1F7-4EDA-4BA4-BD1A-872078BDB5E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7" name="Host Control  55" hidden="1">
          <a:extLst>
            <a:ext uri="{FF2B5EF4-FFF2-40B4-BE49-F238E27FC236}">
              <a16:creationId xmlns:a16="http://schemas.microsoft.com/office/drawing/2014/main" id="{4E72CDBC-A803-4355-BA9E-3E2C30EA83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8" name="Host Control  56" hidden="1">
          <a:extLst>
            <a:ext uri="{FF2B5EF4-FFF2-40B4-BE49-F238E27FC236}">
              <a16:creationId xmlns:a16="http://schemas.microsoft.com/office/drawing/2014/main" id="{57929403-F25A-4EA7-9705-89E84FBDBA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9" name="Host Control  57" hidden="1">
          <a:extLst>
            <a:ext uri="{FF2B5EF4-FFF2-40B4-BE49-F238E27FC236}">
              <a16:creationId xmlns:a16="http://schemas.microsoft.com/office/drawing/2014/main" id="{FCEE02BA-2707-47D3-937D-C99BD8B21C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0" name="Host Control  58" hidden="1">
          <a:extLst>
            <a:ext uri="{FF2B5EF4-FFF2-40B4-BE49-F238E27FC236}">
              <a16:creationId xmlns:a16="http://schemas.microsoft.com/office/drawing/2014/main" id="{D4933360-6B46-4AB9-8699-E0B9C7D323D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1" name="Host Control  59" hidden="1">
          <a:extLst>
            <a:ext uri="{FF2B5EF4-FFF2-40B4-BE49-F238E27FC236}">
              <a16:creationId xmlns:a16="http://schemas.microsoft.com/office/drawing/2014/main" id="{4E7DB32F-EA90-4A73-9587-EF196E4FC3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2" name="Host Control  60" hidden="1">
          <a:extLst>
            <a:ext uri="{FF2B5EF4-FFF2-40B4-BE49-F238E27FC236}">
              <a16:creationId xmlns:a16="http://schemas.microsoft.com/office/drawing/2014/main" id="{3CB2AA20-4530-4786-B4F9-4A5693DD83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3" name="Host Control  61" hidden="1">
          <a:extLst>
            <a:ext uri="{FF2B5EF4-FFF2-40B4-BE49-F238E27FC236}">
              <a16:creationId xmlns:a16="http://schemas.microsoft.com/office/drawing/2014/main" id="{420B8D79-1DCF-4725-8DBD-6B8DF6C3842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4" name="Host Control  65" hidden="1">
          <a:extLst>
            <a:ext uri="{FF2B5EF4-FFF2-40B4-BE49-F238E27FC236}">
              <a16:creationId xmlns:a16="http://schemas.microsoft.com/office/drawing/2014/main" id="{0C42DD29-7608-4946-996B-28DCD926B0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5" name="Host Control  66" hidden="1">
          <a:extLst>
            <a:ext uri="{FF2B5EF4-FFF2-40B4-BE49-F238E27FC236}">
              <a16:creationId xmlns:a16="http://schemas.microsoft.com/office/drawing/2014/main" id="{8E37DCE1-4C4F-4787-B591-8B1913D89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6" name="Host Control  67" hidden="1">
          <a:extLst>
            <a:ext uri="{FF2B5EF4-FFF2-40B4-BE49-F238E27FC236}">
              <a16:creationId xmlns:a16="http://schemas.microsoft.com/office/drawing/2014/main" id="{6A4CBB82-475F-4B68-8170-5ECF255ED6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7" name="Host Control  68" hidden="1">
          <a:extLst>
            <a:ext uri="{FF2B5EF4-FFF2-40B4-BE49-F238E27FC236}">
              <a16:creationId xmlns:a16="http://schemas.microsoft.com/office/drawing/2014/main" id="{0C4A052F-822A-4EB2-94BD-AC1C8662D9A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8" name="Host Control  69" hidden="1">
          <a:extLst>
            <a:ext uri="{FF2B5EF4-FFF2-40B4-BE49-F238E27FC236}">
              <a16:creationId xmlns:a16="http://schemas.microsoft.com/office/drawing/2014/main" id="{5B01B575-77F4-404A-A255-8697752F10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9" name="Host Control  70" hidden="1">
          <a:extLst>
            <a:ext uri="{FF2B5EF4-FFF2-40B4-BE49-F238E27FC236}">
              <a16:creationId xmlns:a16="http://schemas.microsoft.com/office/drawing/2014/main" id="{3F9C5AE7-86F0-47CC-9210-D60C35B861A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0" name="Host Control  71" hidden="1">
          <a:extLst>
            <a:ext uri="{FF2B5EF4-FFF2-40B4-BE49-F238E27FC236}">
              <a16:creationId xmlns:a16="http://schemas.microsoft.com/office/drawing/2014/main" id="{479F37E7-64AF-40D7-B484-3685FECD8F8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1" name="Host Control  72" hidden="1">
          <a:extLst>
            <a:ext uri="{FF2B5EF4-FFF2-40B4-BE49-F238E27FC236}">
              <a16:creationId xmlns:a16="http://schemas.microsoft.com/office/drawing/2014/main" id="{548E10AF-59B3-4BCF-94F7-18F3F05E873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2" name="Host Control  73" hidden="1">
          <a:extLst>
            <a:ext uri="{FF2B5EF4-FFF2-40B4-BE49-F238E27FC236}">
              <a16:creationId xmlns:a16="http://schemas.microsoft.com/office/drawing/2014/main" id="{2CB27A19-F976-4F09-B2EC-71E1C1ABBA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3" name="Host Control  74" hidden="1">
          <a:extLst>
            <a:ext uri="{FF2B5EF4-FFF2-40B4-BE49-F238E27FC236}">
              <a16:creationId xmlns:a16="http://schemas.microsoft.com/office/drawing/2014/main" id="{CB66F677-E2CA-4D31-8EBC-8EA49A1279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4" name="Host Control  75" hidden="1">
          <a:extLst>
            <a:ext uri="{FF2B5EF4-FFF2-40B4-BE49-F238E27FC236}">
              <a16:creationId xmlns:a16="http://schemas.microsoft.com/office/drawing/2014/main" id="{8DEC21D0-3E04-4C42-9EAE-E2D403DB3EF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5" name="Host Control  76" hidden="1">
          <a:extLst>
            <a:ext uri="{FF2B5EF4-FFF2-40B4-BE49-F238E27FC236}">
              <a16:creationId xmlns:a16="http://schemas.microsoft.com/office/drawing/2014/main" id="{D88EC4B7-E8EF-4D25-BE79-36A4977B0CA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6" name="Host Control  77" hidden="1">
          <a:extLst>
            <a:ext uri="{FF2B5EF4-FFF2-40B4-BE49-F238E27FC236}">
              <a16:creationId xmlns:a16="http://schemas.microsoft.com/office/drawing/2014/main" id="{1760DECB-BF25-4122-894F-C6EBD7C6DC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7" name="Host Control  78" hidden="1">
          <a:extLst>
            <a:ext uri="{FF2B5EF4-FFF2-40B4-BE49-F238E27FC236}">
              <a16:creationId xmlns:a16="http://schemas.microsoft.com/office/drawing/2014/main" id="{951C8239-92FB-4AC2-919E-16FFF0366B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8" name="Host Control  79" hidden="1">
          <a:extLst>
            <a:ext uri="{FF2B5EF4-FFF2-40B4-BE49-F238E27FC236}">
              <a16:creationId xmlns:a16="http://schemas.microsoft.com/office/drawing/2014/main" id="{D9D75F23-7920-4C9E-A82C-98E6703E3F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9" name="Host Control  80" hidden="1">
          <a:extLst>
            <a:ext uri="{FF2B5EF4-FFF2-40B4-BE49-F238E27FC236}">
              <a16:creationId xmlns:a16="http://schemas.microsoft.com/office/drawing/2014/main" id="{1A28645E-33C8-4C61-8C44-5C4A8D784F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0" name="Host Control  81" hidden="1">
          <a:extLst>
            <a:ext uri="{FF2B5EF4-FFF2-40B4-BE49-F238E27FC236}">
              <a16:creationId xmlns:a16="http://schemas.microsoft.com/office/drawing/2014/main" id="{33F4E9DF-6972-4685-9AA6-2D39F1C2D5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1" name="Host Control  82" hidden="1">
          <a:extLst>
            <a:ext uri="{FF2B5EF4-FFF2-40B4-BE49-F238E27FC236}">
              <a16:creationId xmlns:a16="http://schemas.microsoft.com/office/drawing/2014/main" id="{D803D210-E670-404A-93B6-639C97BC8DE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2" name="Host Control  83" hidden="1">
          <a:extLst>
            <a:ext uri="{FF2B5EF4-FFF2-40B4-BE49-F238E27FC236}">
              <a16:creationId xmlns:a16="http://schemas.microsoft.com/office/drawing/2014/main" id="{9CB4E313-0A53-49CD-A74E-D094737EFB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3" name="Host Control  84" hidden="1">
          <a:extLst>
            <a:ext uri="{FF2B5EF4-FFF2-40B4-BE49-F238E27FC236}">
              <a16:creationId xmlns:a16="http://schemas.microsoft.com/office/drawing/2014/main" id="{29181283-087C-4636-AA22-358A32656F3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4" name="Host Control  85" hidden="1">
          <a:extLst>
            <a:ext uri="{FF2B5EF4-FFF2-40B4-BE49-F238E27FC236}">
              <a16:creationId xmlns:a16="http://schemas.microsoft.com/office/drawing/2014/main" id="{AA829A9D-4E4E-4E17-8638-A1B7671FF4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5" name="Host Control  86" hidden="1">
          <a:extLst>
            <a:ext uri="{FF2B5EF4-FFF2-40B4-BE49-F238E27FC236}">
              <a16:creationId xmlns:a16="http://schemas.microsoft.com/office/drawing/2014/main" id="{4BD648AB-2BD3-4D4C-992F-931A4226CE7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6" name="Host Control  87" hidden="1">
          <a:extLst>
            <a:ext uri="{FF2B5EF4-FFF2-40B4-BE49-F238E27FC236}">
              <a16:creationId xmlns:a16="http://schemas.microsoft.com/office/drawing/2014/main" id="{EC15A796-F9FA-4CEF-9BAF-581A99D2B4A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7" name="Host Control  88" hidden="1">
          <a:extLst>
            <a:ext uri="{FF2B5EF4-FFF2-40B4-BE49-F238E27FC236}">
              <a16:creationId xmlns:a16="http://schemas.microsoft.com/office/drawing/2014/main" id="{DACB68A6-44B6-46AE-B63B-909343EA039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8" name="Host Control  89" hidden="1">
          <a:extLst>
            <a:ext uri="{FF2B5EF4-FFF2-40B4-BE49-F238E27FC236}">
              <a16:creationId xmlns:a16="http://schemas.microsoft.com/office/drawing/2014/main" id="{BF97D5AF-7054-401F-B6B0-1EC327A714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9" name="Host Control  90" hidden="1">
          <a:extLst>
            <a:ext uri="{FF2B5EF4-FFF2-40B4-BE49-F238E27FC236}">
              <a16:creationId xmlns:a16="http://schemas.microsoft.com/office/drawing/2014/main" id="{00E99EFA-D263-405D-81B2-EBA2894626D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0" name="Host Control  91" hidden="1">
          <a:extLst>
            <a:ext uri="{FF2B5EF4-FFF2-40B4-BE49-F238E27FC236}">
              <a16:creationId xmlns:a16="http://schemas.microsoft.com/office/drawing/2014/main" id="{94FB8158-E490-4061-8A39-27053340FE7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1" name="Host Control  92" hidden="1">
          <a:extLst>
            <a:ext uri="{FF2B5EF4-FFF2-40B4-BE49-F238E27FC236}">
              <a16:creationId xmlns:a16="http://schemas.microsoft.com/office/drawing/2014/main" id="{69B6016D-9B8A-457D-867A-39B0DFE62C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2" name="Host Control  93" hidden="1">
          <a:extLst>
            <a:ext uri="{FF2B5EF4-FFF2-40B4-BE49-F238E27FC236}">
              <a16:creationId xmlns:a16="http://schemas.microsoft.com/office/drawing/2014/main" id="{3578968A-69AD-4155-89C3-E86511D6DBB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3" name="Host Control  94" hidden="1">
          <a:extLst>
            <a:ext uri="{FF2B5EF4-FFF2-40B4-BE49-F238E27FC236}">
              <a16:creationId xmlns:a16="http://schemas.microsoft.com/office/drawing/2014/main" id="{DDC0274E-2F14-4082-A6E7-A825DCE13B4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4" name="Host Control  98" hidden="1">
          <a:extLst>
            <a:ext uri="{FF2B5EF4-FFF2-40B4-BE49-F238E27FC236}">
              <a16:creationId xmlns:a16="http://schemas.microsoft.com/office/drawing/2014/main" id="{9100965D-829C-464F-89DE-52B5BC0DD39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5" name="Host Control  99" hidden="1">
          <a:extLst>
            <a:ext uri="{FF2B5EF4-FFF2-40B4-BE49-F238E27FC236}">
              <a16:creationId xmlns:a16="http://schemas.microsoft.com/office/drawing/2014/main" id="{A774AEC4-FFFB-4F71-9059-4C7DB03B525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6" name="Host Control  100" hidden="1">
          <a:extLst>
            <a:ext uri="{FF2B5EF4-FFF2-40B4-BE49-F238E27FC236}">
              <a16:creationId xmlns:a16="http://schemas.microsoft.com/office/drawing/2014/main" id="{E4EA9BE8-66B2-4087-B352-2472ECD0CD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7" name="Host Control  101" hidden="1">
          <a:extLst>
            <a:ext uri="{FF2B5EF4-FFF2-40B4-BE49-F238E27FC236}">
              <a16:creationId xmlns:a16="http://schemas.microsoft.com/office/drawing/2014/main" id="{E0A5C5A9-492F-4319-982A-D78F392B51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8" name="Host Control  102" hidden="1">
          <a:extLst>
            <a:ext uri="{FF2B5EF4-FFF2-40B4-BE49-F238E27FC236}">
              <a16:creationId xmlns:a16="http://schemas.microsoft.com/office/drawing/2014/main" id="{C99392F9-0553-4F88-8262-80E327392DC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9" name="Host Control  103" hidden="1">
          <a:extLst>
            <a:ext uri="{FF2B5EF4-FFF2-40B4-BE49-F238E27FC236}">
              <a16:creationId xmlns:a16="http://schemas.microsoft.com/office/drawing/2014/main" id="{9CFEFFFA-C862-4DBF-B78F-F3C416965C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0" name="Host Control  104" hidden="1">
          <a:extLst>
            <a:ext uri="{FF2B5EF4-FFF2-40B4-BE49-F238E27FC236}">
              <a16:creationId xmlns:a16="http://schemas.microsoft.com/office/drawing/2014/main" id="{19008B54-36D6-4024-AEE1-0544F2699A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1" name="Host Control  105" hidden="1">
          <a:extLst>
            <a:ext uri="{FF2B5EF4-FFF2-40B4-BE49-F238E27FC236}">
              <a16:creationId xmlns:a16="http://schemas.microsoft.com/office/drawing/2014/main" id="{82AC6C4C-C2BB-4560-94DD-35FE5C4C05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2" name="Host Control  106" hidden="1">
          <a:extLst>
            <a:ext uri="{FF2B5EF4-FFF2-40B4-BE49-F238E27FC236}">
              <a16:creationId xmlns:a16="http://schemas.microsoft.com/office/drawing/2014/main" id="{C4B7DC4D-E498-4CC7-921D-4D0766CB8B5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3" name="Host Control  107" hidden="1">
          <a:extLst>
            <a:ext uri="{FF2B5EF4-FFF2-40B4-BE49-F238E27FC236}">
              <a16:creationId xmlns:a16="http://schemas.microsoft.com/office/drawing/2014/main" id="{20B5EAD3-2FAD-45C7-A59E-F5AB09C22B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4" name="Host Control  108" hidden="1">
          <a:extLst>
            <a:ext uri="{FF2B5EF4-FFF2-40B4-BE49-F238E27FC236}">
              <a16:creationId xmlns:a16="http://schemas.microsoft.com/office/drawing/2014/main" id="{579AB608-0145-4AFF-A417-F164828C284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5" name="Host Control  109" hidden="1">
          <a:extLst>
            <a:ext uri="{FF2B5EF4-FFF2-40B4-BE49-F238E27FC236}">
              <a16:creationId xmlns:a16="http://schemas.microsoft.com/office/drawing/2014/main" id="{2F87C331-A410-4E44-A785-1774905D47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6" name="Host Control  110" hidden="1">
          <a:extLst>
            <a:ext uri="{FF2B5EF4-FFF2-40B4-BE49-F238E27FC236}">
              <a16:creationId xmlns:a16="http://schemas.microsoft.com/office/drawing/2014/main" id="{6306B700-FF0F-4CCF-8F81-52F92BE35C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7" name="Host Control  111" hidden="1">
          <a:extLst>
            <a:ext uri="{FF2B5EF4-FFF2-40B4-BE49-F238E27FC236}">
              <a16:creationId xmlns:a16="http://schemas.microsoft.com/office/drawing/2014/main" id="{3E136077-6018-43E3-940D-ABD375CFD5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8" name="Host Control  112" hidden="1">
          <a:extLst>
            <a:ext uri="{FF2B5EF4-FFF2-40B4-BE49-F238E27FC236}">
              <a16:creationId xmlns:a16="http://schemas.microsoft.com/office/drawing/2014/main" id="{C17251ED-0E1C-4B97-A669-17857A67422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9" name="Host Control  113" hidden="1">
          <a:extLst>
            <a:ext uri="{FF2B5EF4-FFF2-40B4-BE49-F238E27FC236}">
              <a16:creationId xmlns:a16="http://schemas.microsoft.com/office/drawing/2014/main" id="{B575852C-665F-4260-8A96-E7A74ADF87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0" name="Host Control  114" hidden="1">
          <a:extLst>
            <a:ext uri="{FF2B5EF4-FFF2-40B4-BE49-F238E27FC236}">
              <a16:creationId xmlns:a16="http://schemas.microsoft.com/office/drawing/2014/main" id="{2FC9B93B-7B10-4391-B860-A0D5752A73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1" name="Host Control  115" hidden="1">
          <a:extLst>
            <a:ext uri="{FF2B5EF4-FFF2-40B4-BE49-F238E27FC236}">
              <a16:creationId xmlns:a16="http://schemas.microsoft.com/office/drawing/2014/main" id="{716B5310-F605-414D-9D0A-788BAA751B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2" name="Host Control  116" hidden="1">
          <a:extLst>
            <a:ext uri="{FF2B5EF4-FFF2-40B4-BE49-F238E27FC236}">
              <a16:creationId xmlns:a16="http://schemas.microsoft.com/office/drawing/2014/main" id="{8F66840B-503A-4FF5-8391-E1DE46E388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3" name="Host Control  117" hidden="1">
          <a:extLst>
            <a:ext uri="{FF2B5EF4-FFF2-40B4-BE49-F238E27FC236}">
              <a16:creationId xmlns:a16="http://schemas.microsoft.com/office/drawing/2014/main" id="{BEF390D2-61CB-4EB0-A89F-14F05A56585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4" name="Host Control  118" hidden="1">
          <a:extLst>
            <a:ext uri="{FF2B5EF4-FFF2-40B4-BE49-F238E27FC236}">
              <a16:creationId xmlns:a16="http://schemas.microsoft.com/office/drawing/2014/main" id="{ED90C809-87A8-456B-968F-92AE913CE6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5" name="Host Control  119" hidden="1">
          <a:extLst>
            <a:ext uri="{FF2B5EF4-FFF2-40B4-BE49-F238E27FC236}">
              <a16:creationId xmlns:a16="http://schemas.microsoft.com/office/drawing/2014/main" id="{57F26C6B-C8FE-483A-8FBB-85E9A7C72A8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6" name="Host Control  120" hidden="1">
          <a:extLst>
            <a:ext uri="{FF2B5EF4-FFF2-40B4-BE49-F238E27FC236}">
              <a16:creationId xmlns:a16="http://schemas.microsoft.com/office/drawing/2014/main" id="{D7A62F91-1C63-467D-8C1E-4314AF0876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7" name="Host Control  121" hidden="1">
          <a:extLst>
            <a:ext uri="{FF2B5EF4-FFF2-40B4-BE49-F238E27FC236}">
              <a16:creationId xmlns:a16="http://schemas.microsoft.com/office/drawing/2014/main" id="{C6295A66-7C32-4E5E-BD02-2F28E6AC73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8" name="Host Control  122" hidden="1">
          <a:extLst>
            <a:ext uri="{FF2B5EF4-FFF2-40B4-BE49-F238E27FC236}">
              <a16:creationId xmlns:a16="http://schemas.microsoft.com/office/drawing/2014/main" id="{AE54145E-48A4-4150-B73E-61C5425426D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9" name="Host Control  123" hidden="1">
          <a:extLst>
            <a:ext uri="{FF2B5EF4-FFF2-40B4-BE49-F238E27FC236}">
              <a16:creationId xmlns:a16="http://schemas.microsoft.com/office/drawing/2014/main" id="{F6135D39-A31E-4CCF-8C2C-A58ED26E34C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0" name="Host Control  124" hidden="1">
          <a:extLst>
            <a:ext uri="{FF2B5EF4-FFF2-40B4-BE49-F238E27FC236}">
              <a16:creationId xmlns:a16="http://schemas.microsoft.com/office/drawing/2014/main" id="{BBEF4443-D051-4844-BDE3-652E0EEF71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1" name="Host Control  125" hidden="1">
          <a:extLst>
            <a:ext uri="{FF2B5EF4-FFF2-40B4-BE49-F238E27FC236}">
              <a16:creationId xmlns:a16="http://schemas.microsoft.com/office/drawing/2014/main" id="{2F87DDBA-6B66-4FC0-B721-D577F8BC50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2" name="Host Control  126" hidden="1">
          <a:extLst>
            <a:ext uri="{FF2B5EF4-FFF2-40B4-BE49-F238E27FC236}">
              <a16:creationId xmlns:a16="http://schemas.microsoft.com/office/drawing/2014/main" id="{4A0EC2B5-4E09-4B86-95BA-743A7F4A04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3" name="Host Control  127" hidden="1">
          <a:extLst>
            <a:ext uri="{FF2B5EF4-FFF2-40B4-BE49-F238E27FC236}">
              <a16:creationId xmlns:a16="http://schemas.microsoft.com/office/drawing/2014/main" id="{565D5674-DB0F-4ECD-8422-836F5B579E6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4" name="Host Control  135" hidden="1">
          <a:extLst>
            <a:ext uri="{FF2B5EF4-FFF2-40B4-BE49-F238E27FC236}">
              <a16:creationId xmlns:a16="http://schemas.microsoft.com/office/drawing/2014/main" id="{7D2C2CC1-D5A1-432E-903A-5855E3CDDAB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5" name="Host Control  136" hidden="1">
          <a:extLst>
            <a:ext uri="{FF2B5EF4-FFF2-40B4-BE49-F238E27FC236}">
              <a16:creationId xmlns:a16="http://schemas.microsoft.com/office/drawing/2014/main" id="{2D118B17-D379-47A9-8458-E3CDF96F9A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6" name="Host Control  137" hidden="1">
          <a:extLst>
            <a:ext uri="{FF2B5EF4-FFF2-40B4-BE49-F238E27FC236}">
              <a16:creationId xmlns:a16="http://schemas.microsoft.com/office/drawing/2014/main" id="{B5344992-59A9-49AC-BF9A-E52142ECB4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7" name="Host Control  138" hidden="1">
          <a:extLst>
            <a:ext uri="{FF2B5EF4-FFF2-40B4-BE49-F238E27FC236}">
              <a16:creationId xmlns:a16="http://schemas.microsoft.com/office/drawing/2014/main" id="{669D0B8B-FA48-473B-899D-2496B7D01E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8" name="Host Control  139" hidden="1">
          <a:extLst>
            <a:ext uri="{FF2B5EF4-FFF2-40B4-BE49-F238E27FC236}">
              <a16:creationId xmlns:a16="http://schemas.microsoft.com/office/drawing/2014/main" id="{998FB3E4-75EA-4F1E-821A-07AEE1AC3C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9" name="Host Control  140" hidden="1">
          <a:extLst>
            <a:ext uri="{FF2B5EF4-FFF2-40B4-BE49-F238E27FC236}">
              <a16:creationId xmlns:a16="http://schemas.microsoft.com/office/drawing/2014/main" id="{EF8A9322-5A76-4B60-AF1A-4432770892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0" name="Host Control  141" hidden="1">
          <a:extLst>
            <a:ext uri="{FF2B5EF4-FFF2-40B4-BE49-F238E27FC236}">
              <a16:creationId xmlns:a16="http://schemas.microsoft.com/office/drawing/2014/main" id="{F2D78C54-1DD7-4FD4-ACCE-75030D08C98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1" name="Host Control  142" hidden="1">
          <a:extLst>
            <a:ext uri="{FF2B5EF4-FFF2-40B4-BE49-F238E27FC236}">
              <a16:creationId xmlns:a16="http://schemas.microsoft.com/office/drawing/2014/main" id="{8BEB6F7E-840C-4132-A46B-9853E5D1A54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2" name="Host Control  143" hidden="1">
          <a:extLst>
            <a:ext uri="{FF2B5EF4-FFF2-40B4-BE49-F238E27FC236}">
              <a16:creationId xmlns:a16="http://schemas.microsoft.com/office/drawing/2014/main" id="{F8F5F491-5924-43C0-8907-123CD6F064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3" name="Host Control  144" hidden="1">
          <a:extLst>
            <a:ext uri="{FF2B5EF4-FFF2-40B4-BE49-F238E27FC236}">
              <a16:creationId xmlns:a16="http://schemas.microsoft.com/office/drawing/2014/main" id="{CD88B0F5-B7FB-42D4-AEAC-1907E95420F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4" name="Host Control  145" hidden="1">
          <a:extLst>
            <a:ext uri="{FF2B5EF4-FFF2-40B4-BE49-F238E27FC236}">
              <a16:creationId xmlns:a16="http://schemas.microsoft.com/office/drawing/2014/main" id="{1F42E000-301C-410C-9228-B0205EA81D4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5" name="Host Control  146" hidden="1">
          <a:extLst>
            <a:ext uri="{FF2B5EF4-FFF2-40B4-BE49-F238E27FC236}">
              <a16:creationId xmlns:a16="http://schemas.microsoft.com/office/drawing/2014/main" id="{465EB399-66A2-4EBA-92CE-DDC55607A20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6" name="Host Control  147" hidden="1">
          <a:extLst>
            <a:ext uri="{FF2B5EF4-FFF2-40B4-BE49-F238E27FC236}">
              <a16:creationId xmlns:a16="http://schemas.microsoft.com/office/drawing/2014/main" id="{DC2AB5BA-103B-4C9D-A1DA-045F900AC9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7" name="Host Control  148" hidden="1">
          <a:extLst>
            <a:ext uri="{FF2B5EF4-FFF2-40B4-BE49-F238E27FC236}">
              <a16:creationId xmlns:a16="http://schemas.microsoft.com/office/drawing/2014/main" id="{445C7FA1-0BA7-4EC5-9BB3-61B0DFA85E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8" name="Host Control  149" hidden="1">
          <a:extLst>
            <a:ext uri="{FF2B5EF4-FFF2-40B4-BE49-F238E27FC236}">
              <a16:creationId xmlns:a16="http://schemas.microsoft.com/office/drawing/2014/main" id="{E0AAEE93-863E-431E-9B20-C4133038A1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9" name="Host Control  150" hidden="1">
          <a:extLst>
            <a:ext uri="{FF2B5EF4-FFF2-40B4-BE49-F238E27FC236}">
              <a16:creationId xmlns:a16="http://schemas.microsoft.com/office/drawing/2014/main" id="{D06C4DC5-DC8B-475A-ADD4-D24DDFB971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0" name="Host Control  151" hidden="1">
          <a:extLst>
            <a:ext uri="{FF2B5EF4-FFF2-40B4-BE49-F238E27FC236}">
              <a16:creationId xmlns:a16="http://schemas.microsoft.com/office/drawing/2014/main" id="{5C30071E-BC23-4BB0-8CFB-C1748F522D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1" name="Host Control  152" hidden="1">
          <a:extLst>
            <a:ext uri="{FF2B5EF4-FFF2-40B4-BE49-F238E27FC236}">
              <a16:creationId xmlns:a16="http://schemas.microsoft.com/office/drawing/2014/main" id="{03B7D55D-141B-4A37-B0B5-1FE6CFF3B7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2" name="Host Control  153" hidden="1">
          <a:extLst>
            <a:ext uri="{FF2B5EF4-FFF2-40B4-BE49-F238E27FC236}">
              <a16:creationId xmlns:a16="http://schemas.microsoft.com/office/drawing/2014/main" id="{81A2A387-1B20-44DD-9223-4074240FD7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3" name="Host Control  154" hidden="1">
          <a:extLst>
            <a:ext uri="{FF2B5EF4-FFF2-40B4-BE49-F238E27FC236}">
              <a16:creationId xmlns:a16="http://schemas.microsoft.com/office/drawing/2014/main" id="{9106E6ED-D1FE-4749-A3AC-3ADE421341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4" name="Host Control  155" hidden="1">
          <a:extLst>
            <a:ext uri="{FF2B5EF4-FFF2-40B4-BE49-F238E27FC236}">
              <a16:creationId xmlns:a16="http://schemas.microsoft.com/office/drawing/2014/main" id="{DE61B966-6031-45AD-9380-3188846C9E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5" name="Host Control  156" hidden="1">
          <a:extLst>
            <a:ext uri="{FF2B5EF4-FFF2-40B4-BE49-F238E27FC236}">
              <a16:creationId xmlns:a16="http://schemas.microsoft.com/office/drawing/2014/main" id="{F4C38A2A-211C-48C3-996B-690E7B77A1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6" name="Host Control  157" hidden="1">
          <a:extLst>
            <a:ext uri="{FF2B5EF4-FFF2-40B4-BE49-F238E27FC236}">
              <a16:creationId xmlns:a16="http://schemas.microsoft.com/office/drawing/2014/main" id="{3E78F494-30E8-4936-89BB-D6F293038F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7" name="Host Control  158" hidden="1">
          <a:extLst>
            <a:ext uri="{FF2B5EF4-FFF2-40B4-BE49-F238E27FC236}">
              <a16:creationId xmlns:a16="http://schemas.microsoft.com/office/drawing/2014/main" id="{D0EC3403-1AAE-4FA3-96B3-70788F7BC0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8" name="Host Control  159" hidden="1">
          <a:extLst>
            <a:ext uri="{FF2B5EF4-FFF2-40B4-BE49-F238E27FC236}">
              <a16:creationId xmlns:a16="http://schemas.microsoft.com/office/drawing/2014/main" id="{DA239176-5C89-4724-9CB9-2DC5891301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9" name="Host Control  160" hidden="1">
          <a:extLst>
            <a:ext uri="{FF2B5EF4-FFF2-40B4-BE49-F238E27FC236}">
              <a16:creationId xmlns:a16="http://schemas.microsoft.com/office/drawing/2014/main" id="{01C77896-65FA-4398-BCA1-20C5CE45E5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0" name="Host Control  161" hidden="1">
          <a:extLst>
            <a:ext uri="{FF2B5EF4-FFF2-40B4-BE49-F238E27FC236}">
              <a16:creationId xmlns:a16="http://schemas.microsoft.com/office/drawing/2014/main" id="{2CCA8090-A9D1-405D-8151-3F2DC4D6CC6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1" name="Host Control  162" hidden="1">
          <a:extLst>
            <a:ext uri="{FF2B5EF4-FFF2-40B4-BE49-F238E27FC236}">
              <a16:creationId xmlns:a16="http://schemas.microsoft.com/office/drawing/2014/main" id="{3B3B548F-7232-4787-91F3-938D9C2CEC5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2" name="Host Control  163" hidden="1">
          <a:extLst>
            <a:ext uri="{FF2B5EF4-FFF2-40B4-BE49-F238E27FC236}">
              <a16:creationId xmlns:a16="http://schemas.microsoft.com/office/drawing/2014/main" id="{A7475E4B-4868-467B-9040-9E6892F1EDA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3" name="Host Control  164" hidden="1">
          <a:extLst>
            <a:ext uri="{FF2B5EF4-FFF2-40B4-BE49-F238E27FC236}">
              <a16:creationId xmlns:a16="http://schemas.microsoft.com/office/drawing/2014/main" id="{C1174FD7-51E3-41BC-A6B4-02BDFD55F1D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4" name="Host Control  168" hidden="1">
          <a:extLst>
            <a:ext uri="{FF2B5EF4-FFF2-40B4-BE49-F238E27FC236}">
              <a16:creationId xmlns:a16="http://schemas.microsoft.com/office/drawing/2014/main" id="{3E603DF1-7E23-444F-A1C8-6D0138CC4C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5" name="Host Control  169" hidden="1">
          <a:extLst>
            <a:ext uri="{FF2B5EF4-FFF2-40B4-BE49-F238E27FC236}">
              <a16:creationId xmlns:a16="http://schemas.microsoft.com/office/drawing/2014/main" id="{F460CE25-41B2-407D-AEB6-E50D71B699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6" name="Host Control  170" hidden="1">
          <a:extLst>
            <a:ext uri="{FF2B5EF4-FFF2-40B4-BE49-F238E27FC236}">
              <a16:creationId xmlns:a16="http://schemas.microsoft.com/office/drawing/2014/main" id="{ECFD5A63-B5FB-483C-A880-8B28D687FD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7" name="Host Control  171" hidden="1">
          <a:extLst>
            <a:ext uri="{FF2B5EF4-FFF2-40B4-BE49-F238E27FC236}">
              <a16:creationId xmlns:a16="http://schemas.microsoft.com/office/drawing/2014/main" id="{EDD9FF76-38BA-42B5-80BA-36FF9ED107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8" name="Host Control  172" hidden="1">
          <a:extLst>
            <a:ext uri="{FF2B5EF4-FFF2-40B4-BE49-F238E27FC236}">
              <a16:creationId xmlns:a16="http://schemas.microsoft.com/office/drawing/2014/main" id="{BB4B157F-77E5-455A-89EA-B5400A590B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9" name="Host Control  173" hidden="1">
          <a:extLst>
            <a:ext uri="{FF2B5EF4-FFF2-40B4-BE49-F238E27FC236}">
              <a16:creationId xmlns:a16="http://schemas.microsoft.com/office/drawing/2014/main" id="{9F558C6E-F7D9-43E3-9C62-779262AFE2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0" name="Host Control  174" hidden="1">
          <a:extLst>
            <a:ext uri="{FF2B5EF4-FFF2-40B4-BE49-F238E27FC236}">
              <a16:creationId xmlns:a16="http://schemas.microsoft.com/office/drawing/2014/main" id="{9A47A442-4CD2-49F5-BC3F-C7C4D5A5B1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1" name="Host Control  175" hidden="1">
          <a:extLst>
            <a:ext uri="{FF2B5EF4-FFF2-40B4-BE49-F238E27FC236}">
              <a16:creationId xmlns:a16="http://schemas.microsoft.com/office/drawing/2014/main" id="{8BC13433-03D9-47CA-8A64-730C267CCE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2" name="Host Control  176" hidden="1">
          <a:extLst>
            <a:ext uri="{FF2B5EF4-FFF2-40B4-BE49-F238E27FC236}">
              <a16:creationId xmlns:a16="http://schemas.microsoft.com/office/drawing/2014/main" id="{25DAEF79-3109-462C-A337-4CEBC07860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3" name="Host Control  177" hidden="1">
          <a:extLst>
            <a:ext uri="{FF2B5EF4-FFF2-40B4-BE49-F238E27FC236}">
              <a16:creationId xmlns:a16="http://schemas.microsoft.com/office/drawing/2014/main" id="{682A99A4-C7B3-415F-BD2D-93CE4E51CB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4" name="Host Control  178" hidden="1">
          <a:extLst>
            <a:ext uri="{FF2B5EF4-FFF2-40B4-BE49-F238E27FC236}">
              <a16:creationId xmlns:a16="http://schemas.microsoft.com/office/drawing/2014/main" id="{20D6248B-F1C5-4E8B-9D3B-5D337E6D08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5" name="Host Control  179" hidden="1">
          <a:extLst>
            <a:ext uri="{FF2B5EF4-FFF2-40B4-BE49-F238E27FC236}">
              <a16:creationId xmlns:a16="http://schemas.microsoft.com/office/drawing/2014/main" id="{1DDF6166-8888-43EC-BD97-C9F73DF61F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6" name="Host Control  180" hidden="1">
          <a:extLst>
            <a:ext uri="{FF2B5EF4-FFF2-40B4-BE49-F238E27FC236}">
              <a16:creationId xmlns:a16="http://schemas.microsoft.com/office/drawing/2014/main" id="{03437415-6A17-4726-8990-9410694DE6C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7" name="Host Control  181" hidden="1">
          <a:extLst>
            <a:ext uri="{FF2B5EF4-FFF2-40B4-BE49-F238E27FC236}">
              <a16:creationId xmlns:a16="http://schemas.microsoft.com/office/drawing/2014/main" id="{915EBB69-4B83-46D9-90BD-01740333E5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8" name="Host Control  182" hidden="1">
          <a:extLst>
            <a:ext uri="{FF2B5EF4-FFF2-40B4-BE49-F238E27FC236}">
              <a16:creationId xmlns:a16="http://schemas.microsoft.com/office/drawing/2014/main" id="{027BFC9A-C713-42C5-A94B-C0645E84BF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9" name="Host Control  183" hidden="1">
          <a:extLst>
            <a:ext uri="{FF2B5EF4-FFF2-40B4-BE49-F238E27FC236}">
              <a16:creationId xmlns:a16="http://schemas.microsoft.com/office/drawing/2014/main" id="{D0475A91-CBE8-49D9-A687-7E5F5FE78F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0" name="Host Control  184" hidden="1">
          <a:extLst>
            <a:ext uri="{FF2B5EF4-FFF2-40B4-BE49-F238E27FC236}">
              <a16:creationId xmlns:a16="http://schemas.microsoft.com/office/drawing/2014/main" id="{9EE7CFE6-CF91-44C3-AE6E-A6967E3664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1" name="Host Control  185" hidden="1">
          <a:extLst>
            <a:ext uri="{FF2B5EF4-FFF2-40B4-BE49-F238E27FC236}">
              <a16:creationId xmlns:a16="http://schemas.microsoft.com/office/drawing/2014/main" id="{9E8D16EA-31E0-4C80-A261-5CAF415F30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2" name="Host Control  186" hidden="1">
          <a:extLst>
            <a:ext uri="{FF2B5EF4-FFF2-40B4-BE49-F238E27FC236}">
              <a16:creationId xmlns:a16="http://schemas.microsoft.com/office/drawing/2014/main" id="{672C4CAA-CF52-4E35-946A-C96DDEEEE56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3" name="Host Control  187" hidden="1">
          <a:extLst>
            <a:ext uri="{FF2B5EF4-FFF2-40B4-BE49-F238E27FC236}">
              <a16:creationId xmlns:a16="http://schemas.microsoft.com/office/drawing/2014/main" id="{E6822479-FE24-40A2-AD85-C29C1A01B55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4" name="Host Control  188" hidden="1">
          <a:extLst>
            <a:ext uri="{FF2B5EF4-FFF2-40B4-BE49-F238E27FC236}">
              <a16:creationId xmlns:a16="http://schemas.microsoft.com/office/drawing/2014/main" id="{E8130DEB-C337-44BB-908E-FB8C2325A2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5" name="Host Control  189" hidden="1">
          <a:extLst>
            <a:ext uri="{FF2B5EF4-FFF2-40B4-BE49-F238E27FC236}">
              <a16:creationId xmlns:a16="http://schemas.microsoft.com/office/drawing/2014/main" id="{44A11391-5539-42CD-A61E-EEEB8DB313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6" name="Host Control  190" hidden="1">
          <a:extLst>
            <a:ext uri="{FF2B5EF4-FFF2-40B4-BE49-F238E27FC236}">
              <a16:creationId xmlns:a16="http://schemas.microsoft.com/office/drawing/2014/main" id="{15915991-086A-4DBA-8E3F-1D7BB09330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7" name="Host Control  191" hidden="1">
          <a:extLst>
            <a:ext uri="{FF2B5EF4-FFF2-40B4-BE49-F238E27FC236}">
              <a16:creationId xmlns:a16="http://schemas.microsoft.com/office/drawing/2014/main" id="{B25749C3-737C-4EB8-BAC0-3507F5AB805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8" name="Host Control  192" hidden="1">
          <a:extLst>
            <a:ext uri="{FF2B5EF4-FFF2-40B4-BE49-F238E27FC236}">
              <a16:creationId xmlns:a16="http://schemas.microsoft.com/office/drawing/2014/main" id="{1C02C0C6-7009-42A8-9A27-87293573F5F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9" name="Host Control  193" hidden="1">
          <a:extLst>
            <a:ext uri="{FF2B5EF4-FFF2-40B4-BE49-F238E27FC236}">
              <a16:creationId xmlns:a16="http://schemas.microsoft.com/office/drawing/2014/main" id="{8587DBBE-70CD-4500-8A6A-5DFBA0E964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0" name="Host Control  194" hidden="1">
          <a:extLst>
            <a:ext uri="{FF2B5EF4-FFF2-40B4-BE49-F238E27FC236}">
              <a16:creationId xmlns:a16="http://schemas.microsoft.com/office/drawing/2014/main" id="{2C29BAFE-D4CB-4236-A8DD-62B41145962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1" name="Host Control  195" hidden="1">
          <a:extLst>
            <a:ext uri="{FF2B5EF4-FFF2-40B4-BE49-F238E27FC236}">
              <a16:creationId xmlns:a16="http://schemas.microsoft.com/office/drawing/2014/main" id="{918D2F64-3875-45C6-A6A0-BD78A2EC65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2" name="Host Control  196" hidden="1">
          <a:extLst>
            <a:ext uri="{FF2B5EF4-FFF2-40B4-BE49-F238E27FC236}">
              <a16:creationId xmlns:a16="http://schemas.microsoft.com/office/drawing/2014/main" id="{248BCAAD-8B6A-4845-A276-4E339ADB1B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3" name="Host Control  197" hidden="1">
          <a:extLst>
            <a:ext uri="{FF2B5EF4-FFF2-40B4-BE49-F238E27FC236}">
              <a16:creationId xmlns:a16="http://schemas.microsoft.com/office/drawing/2014/main" id="{904A9E28-A3EB-4A4E-89A5-CDC175F5883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4" name="Host Control  201" hidden="1">
          <a:extLst>
            <a:ext uri="{FF2B5EF4-FFF2-40B4-BE49-F238E27FC236}">
              <a16:creationId xmlns:a16="http://schemas.microsoft.com/office/drawing/2014/main" id="{9D5B5356-D842-48F3-A2BB-9E23E4FF846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5" name="Host Control  202" hidden="1">
          <a:extLst>
            <a:ext uri="{FF2B5EF4-FFF2-40B4-BE49-F238E27FC236}">
              <a16:creationId xmlns:a16="http://schemas.microsoft.com/office/drawing/2014/main" id="{7DE03010-4C04-47D5-B41A-8163AF9B2A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6" name="Host Control  203" hidden="1">
          <a:extLst>
            <a:ext uri="{FF2B5EF4-FFF2-40B4-BE49-F238E27FC236}">
              <a16:creationId xmlns:a16="http://schemas.microsoft.com/office/drawing/2014/main" id="{A090CBC1-A596-4F34-9524-8BE8FE9718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7" name="Host Control  204" hidden="1">
          <a:extLst>
            <a:ext uri="{FF2B5EF4-FFF2-40B4-BE49-F238E27FC236}">
              <a16:creationId xmlns:a16="http://schemas.microsoft.com/office/drawing/2014/main" id="{44050548-7B29-46C3-BDCD-C162139608B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8" name="Host Control  205" hidden="1">
          <a:extLst>
            <a:ext uri="{FF2B5EF4-FFF2-40B4-BE49-F238E27FC236}">
              <a16:creationId xmlns:a16="http://schemas.microsoft.com/office/drawing/2014/main" id="{AEDB3D7D-755B-4125-8E53-B281FCCBA0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9" name="Host Control  206" hidden="1">
          <a:extLst>
            <a:ext uri="{FF2B5EF4-FFF2-40B4-BE49-F238E27FC236}">
              <a16:creationId xmlns:a16="http://schemas.microsoft.com/office/drawing/2014/main" id="{F02081A2-FECB-42DC-B544-D35EDF646B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0" name="Host Control  207" hidden="1">
          <a:extLst>
            <a:ext uri="{FF2B5EF4-FFF2-40B4-BE49-F238E27FC236}">
              <a16:creationId xmlns:a16="http://schemas.microsoft.com/office/drawing/2014/main" id="{4B794AA4-359E-4836-A1FA-44CB60DAF3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1" name="Host Control  208" hidden="1">
          <a:extLst>
            <a:ext uri="{FF2B5EF4-FFF2-40B4-BE49-F238E27FC236}">
              <a16:creationId xmlns:a16="http://schemas.microsoft.com/office/drawing/2014/main" id="{A647CD7D-4ED7-4132-9458-46DD7566BDC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2" name="Host Control  209" hidden="1">
          <a:extLst>
            <a:ext uri="{FF2B5EF4-FFF2-40B4-BE49-F238E27FC236}">
              <a16:creationId xmlns:a16="http://schemas.microsoft.com/office/drawing/2014/main" id="{550EAAC9-D081-4B33-88C8-F2657D4C3B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3" name="Host Control  210" hidden="1">
          <a:extLst>
            <a:ext uri="{FF2B5EF4-FFF2-40B4-BE49-F238E27FC236}">
              <a16:creationId xmlns:a16="http://schemas.microsoft.com/office/drawing/2014/main" id="{9094ACBB-2CE3-4B48-AAFE-2DAD2B30B20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4" name="Host Control  211" hidden="1">
          <a:extLst>
            <a:ext uri="{FF2B5EF4-FFF2-40B4-BE49-F238E27FC236}">
              <a16:creationId xmlns:a16="http://schemas.microsoft.com/office/drawing/2014/main" id="{3EECA290-DA68-47E0-89FD-4DEF6D0F587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5" name="Host Control  212" hidden="1">
          <a:extLst>
            <a:ext uri="{FF2B5EF4-FFF2-40B4-BE49-F238E27FC236}">
              <a16:creationId xmlns:a16="http://schemas.microsoft.com/office/drawing/2014/main" id="{5CCEDADC-4DE6-4BC1-A534-A98575079E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6" name="Host Control  213" hidden="1">
          <a:extLst>
            <a:ext uri="{FF2B5EF4-FFF2-40B4-BE49-F238E27FC236}">
              <a16:creationId xmlns:a16="http://schemas.microsoft.com/office/drawing/2014/main" id="{15A2D351-4B17-4229-9E09-80F62486047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7" name="Host Control  214" hidden="1">
          <a:extLst>
            <a:ext uri="{FF2B5EF4-FFF2-40B4-BE49-F238E27FC236}">
              <a16:creationId xmlns:a16="http://schemas.microsoft.com/office/drawing/2014/main" id="{FBE10759-980D-4732-B035-F108C3F006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8" name="Host Control  215" hidden="1">
          <a:extLst>
            <a:ext uri="{FF2B5EF4-FFF2-40B4-BE49-F238E27FC236}">
              <a16:creationId xmlns:a16="http://schemas.microsoft.com/office/drawing/2014/main" id="{3B6C0CDF-F163-4E01-B50F-BAB4925171F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9" name="Host Control  216" hidden="1">
          <a:extLst>
            <a:ext uri="{FF2B5EF4-FFF2-40B4-BE49-F238E27FC236}">
              <a16:creationId xmlns:a16="http://schemas.microsoft.com/office/drawing/2014/main" id="{B96B06DF-CDBB-4EE1-878B-32D0B83B1B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0" name="Host Control  217" hidden="1">
          <a:extLst>
            <a:ext uri="{FF2B5EF4-FFF2-40B4-BE49-F238E27FC236}">
              <a16:creationId xmlns:a16="http://schemas.microsoft.com/office/drawing/2014/main" id="{4C426304-5C55-421E-81FB-2C0DBAAB12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1" name="Host Control  218" hidden="1">
          <a:extLst>
            <a:ext uri="{FF2B5EF4-FFF2-40B4-BE49-F238E27FC236}">
              <a16:creationId xmlns:a16="http://schemas.microsoft.com/office/drawing/2014/main" id="{94F670CF-957A-4645-8492-A7008A298F1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2" name="Host Control  219" hidden="1">
          <a:extLst>
            <a:ext uri="{FF2B5EF4-FFF2-40B4-BE49-F238E27FC236}">
              <a16:creationId xmlns:a16="http://schemas.microsoft.com/office/drawing/2014/main" id="{E9AE3609-939F-4241-9A43-0FC9AA34038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3" name="Host Control  220" hidden="1">
          <a:extLst>
            <a:ext uri="{FF2B5EF4-FFF2-40B4-BE49-F238E27FC236}">
              <a16:creationId xmlns:a16="http://schemas.microsoft.com/office/drawing/2014/main" id="{BFD2898D-7932-4090-A92E-F4AD333AF9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4" name="Host Control  221" hidden="1">
          <a:extLst>
            <a:ext uri="{FF2B5EF4-FFF2-40B4-BE49-F238E27FC236}">
              <a16:creationId xmlns:a16="http://schemas.microsoft.com/office/drawing/2014/main" id="{3F41A44A-153A-4A8B-B310-9BC47745885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5" name="Host Control  222" hidden="1">
          <a:extLst>
            <a:ext uri="{FF2B5EF4-FFF2-40B4-BE49-F238E27FC236}">
              <a16:creationId xmlns:a16="http://schemas.microsoft.com/office/drawing/2014/main" id="{728CD23D-BF69-4DD4-B802-2ADD96BA2C6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6" name="Host Control  223" hidden="1">
          <a:extLst>
            <a:ext uri="{FF2B5EF4-FFF2-40B4-BE49-F238E27FC236}">
              <a16:creationId xmlns:a16="http://schemas.microsoft.com/office/drawing/2014/main" id="{40A2A7E8-73ED-4784-BF6E-50FE71BD837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7" name="Host Control  224" hidden="1">
          <a:extLst>
            <a:ext uri="{FF2B5EF4-FFF2-40B4-BE49-F238E27FC236}">
              <a16:creationId xmlns:a16="http://schemas.microsoft.com/office/drawing/2014/main" id="{1CA496F0-ADFF-413A-A7FB-C3398CA2EE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8" name="Host Control  225" hidden="1">
          <a:extLst>
            <a:ext uri="{FF2B5EF4-FFF2-40B4-BE49-F238E27FC236}">
              <a16:creationId xmlns:a16="http://schemas.microsoft.com/office/drawing/2014/main" id="{952875E5-246C-4736-9715-EE024B7D41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9" name="Host Control  226" hidden="1">
          <a:extLst>
            <a:ext uri="{FF2B5EF4-FFF2-40B4-BE49-F238E27FC236}">
              <a16:creationId xmlns:a16="http://schemas.microsoft.com/office/drawing/2014/main" id="{CFD475F5-9A78-465B-A8CA-17A6EDD7BA4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0" name="Host Control  227" hidden="1">
          <a:extLst>
            <a:ext uri="{FF2B5EF4-FFF2-40B4-BE49-F238E27FC236}">
              <a16:creationId xmlns:a16="http://schemas.microsoft.com/office/drawing/2014/main" id="{0A3DA442-D18C-4B22-A09C-9AFD1BD72D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1" name="Host Control  228" hidden="1">
          <a:extLst>
            <a:ext uri="{FF2B5EF4-FFF2-40B4-BE49-F238E27FC236}">
              <a16:creationId xmlns:a16="http://schemas.microsoft.com/office/drawing/2014/main" id="{0DF673C3-90E4-406A-A2E7-56D2C1829D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2" name="Host Control  229" hidden="1">
          <a:extLst>
            <a:ext uri="{FF2B5EF4-FFF2-40B4-BE49-F238E27FC236}">
              <a16:creationId xmlns:a16="http://schemas.microsoft.com/office/drawing/2014/main" id="{A2C0D067-0343-4B35-BAE1-8760A0086C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3" name="Host Control  230" hidden="1">
          <a:extLst>
            <a:ext uri="{FF2B5EF4-FFF2-40B4-BE49-F238E27FC236}">
              <a16:creationId xmlns:a16="http://schemas.microsoft.com/office/drawing/2014/main" id="{7508CECB-4E6C-4361-B205-33CA4CAF4E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4" name="Host Control  234" hidden="1">
          <a:extLst>
            <a:ext uri="{FF2B5EF4-FFF2-40B4-BE49-F238E27FC236}">
              <a16:creationId xmlns:a16="http://schemas.microsoft.com/office/drawing/2014/main" id="{102E011E-8C17-4245-8859-5A937C72B7B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5" name="Host Control  235" hidden="1">
          <a:extLst>
            <a:ext uri="{FF2B5EF4-FFF2-40B4-BE49-F238E27FC236}">
              <a16:creationId xmlns:a16="http://schemas.microsoft.com/office/drawing/2014/main" id="{65B374E4-1C00-485D-AE98-44DEF4846CC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6" name="Host Control  236" hidden="1">
          <a:extLst>
            <a:ext uri="{FF2B5EF4-FFF2-40B4-BE49-F238E27FC236}">
              <a16:creationId xmlns:a16="http://schemas.microsoft.com/office/drawing/2014/main" id="{AA3C911B-4EE4-4F6B-B3A9-3ECE32FAEA2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7" name="Host Control  237" hidden="1">
          <a:extLst>
            <a:ext uri="{FF2B5EF4-FFF2-40B4-BE49-F238E27FC236}">
              <a16:creationId xmlns:a16="http://schemas.microsoft.com/office/drawing/2014/main" id="{26FE80A3-568F-4965-81BD-63D914A475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8" name="Host Control  238" hidden="1">
          <a:extLst>
            <a:ext uri="{FF2B5EF4-FFF2-40B4-BE49-F238E27FC236}">
              <a16:creationId xmlns:a16="http://schemas.microsoft.com/office/drawing/2014/main" id="{748313DE-BEE0-4A47-95EC-D020F6C3020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9" name="Host Control  239" hidden="1">
          <a:extLst>
            <a:ext uri="{FF2B5EF4-FFF2-40B4-BE49-F238E27FC236}">
              <a16:creationId xmlns:a16="http://schemas.microsoft.com/office/drawing/2014/main" id="{2B71B5C7-9D1E-45F8-8C39-C71DA5E31B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0" name="Host Control  240" hidden="1">
          <a:extLst>
            <a:ext uri="{FF2B5EF4-FFF2-40B4-BE49-F238E27FC236}">
              <a16:creationId xmlns:a16="http://schemas.microsoft.com/office/drawing/2014/main" id="{7E5BDD39-C253-4419-AE66-DACAFD2731F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1" name="Host Control  241" hidden="1">
          <a:extLst>
            <a:ext uri="{FF2B5EF4-FFF2-40B4-BE49-F238E27FC236}">
              <a16:creationId xmlns:a16="http://schemas.microsoft.com/office/drawing/2014/main" id="{6B5ADDB1-05BC-4140-B77F-3A7AE4F0D0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2" name="Host Control  242" hidden="1">
          <a:extLst>
            <a:ext uri="{FF2B5EF4-FFF2-40B4-BE49-F238E27FC236}">
              <a16:creationId xmlns:a16="http://schemas.microsoft.com/office/drawing/2014/main" id="{8D0C37ED-3C51-4E25-9253-092AAFEF399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3" name="Host Control  243" hidden="1">
          <a:extLst>
            <a:ext uri="{FF2B5EF4-FFF2-40B4-BE49-F238E27FC236}">
              <a16:creationId xmlns:a16="http://schemas.microsoft.com/office/drawing/2014/main" id="{9AF2BAB4-F204-4D1E-ACF9-271F6B0A73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4" name="Host Control  244" hidden="1">
          <a:extLst>
            <a:ext uri="{FF2B5EF4-FFF2-40B4-BE49-F238E27FC236}">
              <a16:creationId xmlns:a16="http://schemas.microsoft.com/office/drawing/2014/main" id="{3C93878C-6DC2-44B7-952C-4480F1A3EF4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5" name="Host Control  245" hidden="1">
          <a:extLst>
            <a:ext uri="{FF2B5EF4-FFF2-40B4-BE49-F238E27FC236}">
              <a16:creationId xmlns:a16="http://schemas.microsoft.com/office/drawing/2014/main" id="{D6D659AF-966B-4976-A391-BFF74D873DF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6" name="Host Control  246" hidden="1">
          <a:extLst>
            <a:ext uri="{FF2B5EF4-FFF2-40B4-BE49-F238E27FC236}">
              <a16:creationId xmlns:a16="http://schemas.microsoft.com/office/drawing/2014/main" id="{75346413-7F2F-4F2B-921B-74B1B67627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7" name="Host Control  247" hidden="1">
          <a:extLst>
            <a:ext uri="{FF2B5EF4-FFF2-40B4-BE49-F238E27FC236}">
              <a16:creationId xmlns:a16="http://schemas.microsoft.com/office/drawing/2014/main" id="{5CF75730-07AA-45CB-8FBD-7E41AB2DD2C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8" name="Host Control  248" hidden="1">
          <a:extLst>
            <a:ext uri="{FF2B5EF4-FFF2-40B4-BE49-F238E27FC236}">
              <a16:creationId xmlns:a16="http://schemas.microsoft.com/office/drawing/2014/main" id="{79E45ECF-510D-4296-98EA-D2C46136331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9" name="Host Control  249" hidden="1">
          <a:extLst>
            <a:ext uri="{FF2B5EF4-FFF2-40B4-BE49-F238E27FC236}">
              <a16:creationId xmlns:a16="http://schemas.microsoft.com/office/drawing/2014/main" id="{15A6EBE0-B4ED-46CC-B413-577DDA5A2D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0" name="Host Control  250" hidden="1">
          <a:extLst>
            <a:ext uri="{FF2B5EF4-FFF2-40B4-BE49-F238E27FC236}">
              <a16:creationId xmlns:a16="http://schemas.microsoft.com/office/drawing/2014/main" id="{8D5177C5-151F-468B-9B7A-D0CD27246E5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1" name="Host Control  251" hidden="1">
          <a:extLst>
            <a:ext uri="{FF2B5EF4-FFF2-40B4-BE49-F238E27FC236}">
              <a16:creationId xmlns:a16="http://schemas.microsoft.com/office/drawing/2014/main" id="{82D53729-BB0F-41ED-A255-801C19D70C4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2" name="Host Control  252" hidden="1">
          <a:extLst>
            <a:ext uri="{FF2B5EF4-FFF2-40B4-BE49-F238E27FC236}">
              <a16:creationId xmlns:a16="http://schemas.microsoft.com/office/drawing/2014/main" id="{C205DC7D-4BA6-43BD-B842-D845DFEA47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3" name="Host Control  253" hidden="1">
          <a:extLst>
            <a:ext uri="{FF2B5EF4-FFF2-40B4-BE49-F238E27FC236}">
              <a16:creationId xmlns:a16="http://schemas.microsoft.com/office/drawing/2014/main" id="{732514F4-77B5-4101-9159-ABDF03356E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4" name="Host Control  254" hidden="1">
          <a:extLst>
            <a:ext uri="{FF2B5EF4-FFF2-40B4-BE49-F238E27FC236}">
              <a16:creationId xmlns:a16="http://schemas.microsoft.com/office/drawing/2014/main" id="{D5A156D9-BAD0-4E10-803D-44880C4AEE0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5" name="Host Control  255" hidden="1">
          <a:extLst>
            <a:ext uri="{FF2B5EF4-FFF2-40B4-BE49-F238E27FC236}">
              <a16:creationId xmlns:a16="http://schemas.microsoft.com/office/drawing/2014/main" id="{B7EF17C2-38C6-4AB3-BDA0-ABD83D53C8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6" name="Host Control  256" hidden="1">
          <a:extLst>
            <a:ext uri="{FF2B5EF4-FFF2-40B4-BE49-F238E27FC236}">
              <a16:creationId xmlns:a16="http://schemas.microsoft.com/office/drawing/2014/main" id="{0F0DB69C-8D1A-42EE-BF5F-E069F280BDB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7" name="Host Control  257" hidden="1">
          <a:extLst>
            <a:ext uri="{FF2B5EF4-FFF2-40B4-BE49-F238E27FC236}">
              <a16:creationId xmlns:a16="http://schemas.microsoft.com/office/drawing/2014/main" id="{D05EF57B-DA8D-467D-B4A6-28D1711F50F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8" name="Host Control  258" hidden="1">
          <a:extLst>
            <a:ext uri="{FF2B5EF4-FFF2-40B4-BE49-F238E27FC236}">
              <a16:creationId xmlns:a16="http://schemas.microsoft.com/office/drawing/2014/main" id="{64FE1494-7DCB-4318-96C2-E1F030624D1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9" name="Host Control  259" hidden="1">
          <a:extLst>
            <a:ext uri="{FF2B5EF4-FFF2-40B4-BE49-F238E27FC236}">
              <a16:creationId xmlns:a16="http://schemas.microsoft.com/office/drawing/2014/main" id="{DF485771-90C1-4236-9641-30521C78E52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0" name="Host Control  260" hidden="1">
          <a:extLst>
            <a:ext uri="{FF2B5EF4-FFF2-40B4-BE49-F238E27FC236}">
              <a16:creationId xmlns:a16="http://schemas.microsoft.com/office/drawing/2014/main" id="{3E48ED56-9424-440F-BC3A-7FEA43F1927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1" name="Host Control  261" hidden="1">
          <a:extLst>
            <a:ext uri="{FF2B5EF4-FFF2-40B4-BE49-F238E27FC236}">
              <a16:creationId xmlns:a16="http://schemas.microsoft.com/office/drawing/2014/main" id="{E20B29BB-C6C8-48CE-AEB3-5C6932B03F9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2" name="Host Control  262" hidden="1">
          <a:extLst>
            <a:ext uri="{FF2B5EF4-FFF2-40B4-BE49-F238E27FC236}">
              <a16:creationId xmlns:a16="http://schemas.microsoft.com/office/drawing/2014/main" id="{1ED4D623-7D94-4139-A4FD-82A8A206C1C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3" name="Host Control  263" hidden="1">
          <a:extLst>
            <a:ext uri="{FF2B5EF4-FFF2-40B4-BE49-F238E27FC236}">
              <a16:creationId xmlns:a16="http://schemas.microsoft.com/office/drawing/2014/main" id="{8F3F5E60-9E63-43AB-9788-3059DA72AEA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4" name="Host Control  267" hidden="1">
          <a:extLst>
            <a:ext uri="{FF2B5EF4-FFF2-40B4-BE49-F238E27FC236}">
              <a16:creationId xmlns:a16="http://schemas.microsoft.com/office/drawing/2014/main" id="{B5B876D7-CF84-4B31-92E5-9A178548A9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5" name="Host Control  268" hidden="1">
          <a:extLst>
            <a:ext uri="{FF2B5EF4-FFF2-40B4-BE49-F238E27FC236}">
              <a16:creationId xmlns:a16="http://schemas.microsoft.com/office/drawing/2014/main" id="{D35F44FD-BFC2-44DB-85C7-94AB0D845F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6" name="Host Control  269" hidden="1">
          <a:extLst>
            <a:ext uri="{FF2B5EF4-FFF2-40B4-BE49-F238E27FC236}">
              <a16:creationId xmlns:a16="http://schemas.microsoft.com/office/drawing/2014/main" id="{6144E944-3860-4773-9BEB-0589162268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7" name="Host Control  270" hidden="1">
          <a:extLst>
            <a:ext uri="{FF2B5EF4-FFF2-40B4-BE49-F238E27FC236}">
              <a16:creationId xmlns:a16="http://schemas.microsoft.com/office/drawing/2014/main" id="{DB02648E-15E2-4FDB-9E7F-EE8A2A6094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8" name="Host Control  271" hidden="1">
          <a:extLst>
            <a:ext uri="{FF2B5EF4-FFF2-40B4-BE49-F238E27FC236}">
              <a16:creationId xmlns:a16="http://schemas.microsoft.com/office/drawing/2014/main" id="{D287AD98-46CF-462C-99D5-CF7D7A0FABE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9" name="Host Control  272" hidden="1">
          <a:extLst>
            <a:ext uri="{FF2B5EF4-FFF2-40B4-BE49-F238E27FC236}">
              <a16:creationId xmlns:a16="http://schemas.microsoft.com/office/drawing/2014/main" id="{7A2FD548-A278-4920-B737-6CEAF1F7B2D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0" name="Host Control  273" hidden="1">
          <a:extLst>
            <a:ext uri="{FF2B5EF4-FFF2-40B4-BE49-F238E27FC236}">
              <a16:creationId xmlns:a16="http://schemas.microsoft.com/office/drawing/2014/main" id="{444F568A-EB26-436D-9502-09511BB4C7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1" name="Host Control  274" hidden="1">
          <a:extLst>
            <a:ext uri="{FF2B5EF4-FFF2-40B4-BE49-F238E27FC236}">
              <a16:creationId xmlns:a16="http://schemas.microsoft.com/office/drawing/2014/main" id="{729ED9DC-0194-4DF6-8D57-11FF4A17DBB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2" name="Host Control  275" hidden="1">
          <a:extLst>
            <a:ext uri="{FF2B5EF4-FFF2-40B4-BE49-F238E27FC236}">
              <a16:creationId xmlns:a16="http://schemas.microsoft.com/office/drawing/2014/main" id="{98B551E7-AD4F-4C42-A41D-F90DCFD839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3" name="Host Control  276" hidden="1">
          <a:extLst>
            <a:ext uri="{FF2B5EF4-FFF2-40B4-BE49-F238E27FC236}">
              <a16:creationId xmlns:a16="http://schemas.microsoft.com/office/drawing/2014/main" id="{1F2C43A2-DFC2-4A2B-B616-FD319AB122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4" name="Host Control  277" hidden="1">
          <a:extLst>
            <a:ext uri="{FF2B5EF4-FFF2-40B4-BE49-F238E27FC236}">
              <a16:creationId xmlns:a16="http://schemas.microsoft.com/office/drawing/2014/main" id="{DD89082E-F7E0-4931-BC4E-78EC568A91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5" name="Host Control  278" hidden="1">
          <a:extLst>
            <a:ext uri="{FF2B5EF4-FFF2-40B4-BE49-F238E27FC236}">
              <a16:creationId xmlns:a16="http://schemas.microsoft.com/office/drawing/2014/main" id="{6FCA9139-380A-4F5A-9670-12805311C9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6" name="Host Control  279" hidden="1">
          <a:extLst>
            <a:ext uri="{FF2B5EF4-FFF2-40B4-BE49-F238E27FC236}">
              <a16:creationId xmlns:a16="http://schemas.microsoft.com/office/drawing/2014/main" id="{907BB8EA-646C-43B1-A94F-75F75F4FF9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7" name="Host Control  280" hidden="1">
          <a:extLst>
            <a:ext uri="{FF2B5EF4-FFF2-40B4-BE49-F238E27FC236}">
              <a16:creationId xmlns:a16="http://schemas.microsoft.com/office/drawing/2014/main" id="{BBF985F2-859C-45B1-B613-B16E78F002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8" name="Host Control  281" hidden="1">
          <a:extLst>
            <a:ext uri="{FF2B5EF4-FFF2-40B4-BE49-F238E27FC236}">
              <a16:creationId xmlns:a16="http://schemas.microsoft.com/office/drawing/2014/main" id="{F070754B-A7E9-483D-A93E-9F3554155D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9" name="Host Control  282" hidden="1">
          <a:extLst>
            <a:ext uri="{FF2B5EF4-FFF2-40B4-BE49-F238E27FC236}">
              <a16:creationId xmlns:a16="http://schemas.microsoft.com/office/drawing/2014/main" id="{E9098D04-4949-48AC-BBCB-839E1D6084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0" name="Host Control  283" hidden="1">
          <a:extLst>
            <a:ext uri="{FF2B5EF4-FFF2-40B4-BE49-F238E27FC236}">
              <a16:creationId xmlns:a16="http://schemas.microsoft.com/office/drawing/2014/main" id="{92858FDE-41A8-4B71-942D-2BEE53F513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1" name="Host Control  284" hidden="1">
          <a:extLst>
            <a:ext uri="{FF2B5EF4-FFF2-40B4-BE49-F238E27FC236}">
              <a16:creationId xmlns:a16="http://schemas.microsoft.com/office/drawing/2014/main" id="{15CFEB44-411A-4136-86AF-AF31E818F9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2" name="Host Control  285" hidden="1">
          <a:extLst>
            <a:ext uri="{FF2B5EF4-FFF2-40B4-BE49-F238E27FC236}">
              <a16:creationId xmlns:a16="http://schemas.microsoft.com/office/drawing/2014/main" id="{EDF3E6D1-D0D5-4F2E-9D42-4F669EDA2B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3" name="Host Control  286" hidden="1">
          <a:extLst>
            <a:ext uri="{FF2B5EF4-FFF2-40B4-BE49-F238E27FC236}">
              <a16:creationId xmlns:a16="http://schemas.microsoft.com/office/drawing/2014/main" id="{E56BC7C2-BC00-4A20-90A6-B2981D9479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4" name="Host Control  287" hidden="1">
          <a:extLst>
            <a:ext uri="{FF2B5EF4-FFF2-40B4-BE49-F238E27FC236}">
              <a16:creationId xmlns:a16="http://schemas.microsoft.com/office/drawing/2014/main" id="{15C82D31-6253-42BD-A349-7722ED80A6E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5" name="Host Control  288" hidden="1">
          <a:extLst>
            <a:ext uri="{FF2B5EF4-FFF2-40B4-BE49-F238E27FC236}">
              <a16:creationId xmlns:a16="http://schemas.microsoft.com/office/drawing/2014/main" id="{3AA83FE4-9B15-406D-AD11-AD78E202DAF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6" name="Host Control  289" hidden="1">
          <a:extLst>
            <a:ext uri="{FF2B5EF4-FFF2-40B4-BE49-F238E27FC236}">
              <a16:creationId xmlns:a16="http://schemas.microsoft.com/office/drawing/2014/main" id="{8486BAAC-A171-4178-A5A5-0EBF416344F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7" name="Host Control  290" hidden="1">
          <a:extLst>
            <a:ext uri="{FF2B5EF4-FFF2-40B4-BE49-F238E27FC236}">
              <a16:creationId xmlns:a16="http://schemas.microsoft.com/office/drawing/2014/main" id="{2A038FE9-CA7D-4082-9AA1-41195021EBE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8" name="Host Control  291" hidden="1">
          <a:extLst>
            <a:ext uri="{FF2B5EF4-FFF2-40B4-BE49-F238E27FC236}">
              <a16:creationId xmlns:a16="http://schemas.microsoft.com/office/drawing/2014/main" id="{BB6F8132-170D-4B42-9FC7-3A19062F60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9" name="Host Control  292" hidden="1">
          <a:extLst>
            <a:ext uri="{FF2B5EF4-FFF2-40B4-BE49-F238E27FC236}">
              <a16:creationId xmlns:a16="http://schemas.microsoft.com/office/drawing/2014/main" id="{D7EC0390-8A25-41F0-9F8E-DAB093B284E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0" name="Host Control  293" hidden="1">
          <a:extLst>
            <a:ext uri="{FF2B5EF4-FFF2-40B4-BE49-F238E27FC236}">
              <a16:creationId xmlns:a16="http://schemas.microsoft.com/office/drawing/2014/main" id="{1C8B3CB2-6564-4D86-9311-3D7CA8BB6A1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1" name="Host Control  294" hidden="1">
          <a:extLst>
            <a:ext uri="{FF2B5EF4-FFF2-40B4-BE49-F238E27FC236}">
              <a16:creationId xmlns:a16="http://schemas.microsoft.com/office/drawing/2014/main" id="{77A263E6-B056-4C47-9E4C-EB0AAC64EF3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2" name="Host Control  295" hidden="1">
          <a:extLst>
            <a:ext uri="{FF2B5EF4-FFF2-40B4-BE49-F238E27FC236}">
              <a16:creationId xmlns:a16="http://schemas.microsoft.com/office/drawing/2014/main" id="{285BFFFF-C944-4BDA-BC81-E1C73C0F47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3" name="Host Control  296" hidden="1">
          <a:extLst>
            <a:ext uri="{FF2B5EF4-FFF2-40B4-BE49-F238E27FC236}">
              <a16:creationId xmlns:a16="http://schemas.microsoft.com/office/drawing/2014/main" id="{67778B9D-7323-42F4-9716-5F353FEADB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28495" cy="304800"/>
    <xdr:sp macro="" textlink="">
      <xdr:nvSpPr>
        <xdr:cNvPr id="4834" name="Host Control  32">
          <a:extLst>
            <a:ext uri="{FF2B5EF4-FFF2-40B4-BE49-F238E27FC236}">
              <a16:creationId xmlns:a16="http://schemas.microsoft.com/office/drawing/2014/main" id="{4D70F58D-4BAC-4F52-9145-40571DAC1B6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5" name="Host Control  33">
          <a:extLst>
            <a:ext uri="{FF2B5EF4-FFF2-40B4-BE49-F238E27FC236}">
              <a16:creationId xmlns:a16="http://schemas.microsoft.com/office/drawing/2014/main" id="{5DC8EDE1-CE33-4363-982A-DEBE1586A9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6" name="Host Control  34">
          <a:extLst>
            <a:ext uri="{FF2B5EF4-FFF2-40B4-BE49-F238E27FC236}">
              <a16:creationId xmlns:a16="http://schemas.microsoft.com/office/drawing/2014/main" id="{59B7B5B5-2E38-47CA-BCD2-FFB0222F3A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7" name="Host Control  35">
          <a:extLst>
            <a:ext uri="{FF2B5EF4-FFF2-40B4-BE49-F238E27FC236}">
              <a16:creationId xmlns:a16="http://schemas.microsoft.com/office/drawing/2014/main" id="{55D4DC5D-312F-4594-B491-27668C2A4A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8" name="Host Control  36">
          <a:extLst>
            <a:ext uri="{FF2B5EF4-FFF2-40B4-BE49-F238E27FC236}">
              <a16:creationId xmlns:a16="http://schemas.microsoft.com/office/drawing/2014/main" id="{ED72FDFC-118B-42C6-91FE-DFEAA336DC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9" name="Host Control  37">
          <a:extLst>
            <a:ext uri="{FF2B5EF4-FFF2-40B4-BE49-F238E27FC236}">
              <a16:creationId xmlns:a16="http://schemas.microsoft.com/office/drawing/2014/main" id="{950ABCCE-95F3-43C8-B450-75C9044906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0" name="Host Control  38">
          <a:extLst>
            <a:ext uri="{FF2B5EF4-FFF2-40B4-BE49-F238E27FC236}">
              <a16:creationId xmlns:a16="http://schemas.microsoft.com/office/drawing/2014/main" id="{F65AFB60-A1C5-425C-8E46-CE13A1D8AE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1" name="Host Control  39">
          <a:extLst>
            <a:ext uri="{FF2B5EF4-FFF2-40B4-BE49-F238E27FC236}">
              <a16:creationId xmlns:a16="http://schemas.microsoft.com/office/drawing/2014/main" id="{110E3F33-43F6-4406-AA94-39F7F7DC726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2" name="Host Control  40">
          <a:extLst>
            <a:ext uri="{FF2B5EF4-FFF2-40B4-BE49-F238E27FC236}">
              <a16:creationId xmlns:a16="http://schemas.microsoft.com/office/drawing/2014/main" id="{9BB45564-94AC-4AFE-A6EA-F95AA048121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3" name="Host Control  41">
          <a:extLst>
            <a:ext uri="{FF2B5EF4-FFF2-40B4-BE49-F238E27FC236}">
              <a16:creationId xmlns:a16="http://schemas.microsoft.com/office/drawing/2014/main" id="{79E3EBB3-7C67-45E3-8EF6-767DA8D5B3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4" name="Host Control  42">
          <a:extLst>
            <a:ext uri="{FF2B5EF4-FFF2-40B4-BE49-F238E27FC236}">
              <a16:creationId xmlns:a16="http://schemas.microsoft.com/office/drawing/2014/main" id="{056BE93A-C762-4A05-AD44-586FA5F02A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5" name="Host Control  43">
          <a:extLst>
            <a:ext uri="{FF2B5EF4-FFF2-40B4-BE49-F238E27FC236}">
              <a16:creationId xmlns:a16="http://schemas.microsoft.com/office/drawing/2014/main" id="{8E1D132E-2DE7-47CD-A64B-AF6FD3318A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6" name="Host Control  44">
          <a:extLst>
            <a:ext uri="{FF2B5EF4-FFF2-40B4-BE49-F238E27FC236}">
              <a16:creationId xmlns:a16="http://schemas.microsoft.com/office/drawing/2014/main" id="{EDD2DED9-6411-4543-85AC-A02C883D395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7" name="Host Control  45">
          <a:extLst>
            <a:ext uri="{FF2B5EF4-FFF2-40B4-BE49-F238E27FC236}">
              <a16:creationId xmlns:a16="http://schemas.microsoft.com/office/drawing/2014/main" id="{44894ABD-3A01-4E18-9A22-9830BDA9EB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8" name="Host Control  46">
          <a:extLst>
            <a:ext uri="{FF2B5EF4-FFF2-40B4-BE49-F238E27FC236}">
              <a16:creationId xmlns:a16="http://schemas.microsoft.com/office/drawing/2014/main" id="{E8900A74-428B-4AA4-AE5A-148CFF3D36D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9" name="Host Control  47">
          <a:extLst>
            <a:ext uri="{FF2B5EF4-FFF2-40B4-BE49-F238E27FC236}">
              <a16:creationId xmlns:a16="http://schemas.microsoft.com/office/drawing/2014/main" id="{AAFFCF56-B90E-4E49-A045-70280E64580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0" name="Host Control  48">
          <a:extLst>
            <a:ext uri="{FF2B5EF4-FFF2-40B4-BE49-F238E27FC236}">
              <a16:creationId xmlns:a16="http://schemas.microsoft.com/office/drawing/2014/main" id="{7AF722FC-09BE-4B4A-9A9C-AB65706500C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1" name="Host Control  49">
          <a:extLst>
            <a:ext uri="{FF2B5EF4-FFF2-40B4-BE49-F238E27FC236}">
              <a16:creationId xmlns:a16="http://schemas.microsoft.com/office/drawing/2014/main" id="{247C1890-93D5-42C5-B060-66FD3844F6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2" name="Host Control  50">
          <a:extLst>
            <a:ext uri="{FF2B5EF4-FFF2-40B4-BE49-F238E27FC236}">
              <a16:creationId xmlns:a16="http://schemas.microsoft.com/office/drawing/2014/main" id="{2F33CDE1-13EA-4DCB-B53D-82B9EA647F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3" name="Host Control  51">
          <a:extLst>
            <a:ext uri="{FF2B5EF4-FFF2-40B4-BE49-F238E27FC236}">
              <a16:creationId xmlns:a16="http://schemas.microsoft.com/office/drawing/2014/main" id="{ED094179-55C1-4CAA-ACDE-92D03FEF01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4" name="Host Control  52">
          <a:extLst>
            <a:ext uri="{FF2B5EF4-FFF2-40B4-BE49-F238E27FC236}">
              <a16:creationId xmlns:a16="http://schemas.microsoft.com/office/drawing/2014/main" id="{B29C82F4-7B0B-426D-8D12-B96CCF2B0A9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5" name="Host Control  53">
          <a:extLst>
            <a:ext uri="{FF2B5EF4-FFF2-40B4-BE49-F238E27FC236}">
              <a16:creationId xmlns:a16="http://schemas.microsoft.com/office/drawing/2014/main" id="{1A89AA1D-88B2-4CB7-B9DE-2E8320A30B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6" name="Host Control  54">
          <a:extLst>
            <a:ext uri="{FF2B5EF4-FFF2-40B4-BE49-F238E27FC236}">
              <a16:creationId xmlns:a16="http://schemas.microsoft.com/office/drawing/2014/main" id="{8728989A-3503-4918-8089-2795CB6BCD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7" name="Host Control  55">
          <a:extLst>
            <a:ext uri="{FF2B5EF4-FFF2-40B4-BE49-F238E27FC236}">
              <a16:creationId xmlns:a16="http://schemas.microsoft.com/office/drawing/2014/main" id="{58889854-C2A3-42FE-BE8E-84DCD13CA7D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8" name="Host Control  56">
          <a:extLst>
            <a:ext uri="{FF2B5EF4-FFF2-40B4-BE49-F238E27FC236}">
              <a16:creationId xmlns:a16="http://schemas.microsoft.com/office/drawing/2014/main" id="{5034F9BA-50AE-4B69-86AE-6A97789194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9" name="Host Control  57">
          <a:extLst>
            <a:ext uri="{FF2B5EF4-FFF2-40B4-BE49-F238E27FC236}">
              <a16:creationId xmlns:a16="http://schemas.microsoft.com/office/drawing/2014/main" id="{C62BD153-D4FA-4752-B1F9-D731D7C2427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0" name="Host Control  58">
          <a:extLst>
            <a:ext uri="{FF2B5EF4-FFF2-40B4-BE49-F238E27FC236}">
              <a16:creationId xmlns:a16="http://schemas.microsoft.com/office/drawing/2014/main" id="{1C586D25-F6CD-4F2E-9AF5-E9DF57AA2E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1" name="Host Control  59">
          <a:extLst>
            <a:ext uri="{FF2B5EF4-FFF2-40B4-BE49-F238E27FC236}">
              <a16:creationId xmlns:a16="http://schemas.microsoft.com/office/drawing/2014/main" id="{349683DD-18B9-4084-BD76-C5E5C456CA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2" name="Host Control  60">
          <a:extLst>
            <a:ext uri="{FF2B5EF4-FFF2-40B4-BE49-F238E27FC236}">
              <a16:creationId xmlns:a16="http://schemas.microsoft.com/office/drawing/2014/main" id="{283DC712-0517-424B-B9DF-BA07459C06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3" name="Host Control  61">
          <a:extLst>
            <a:ext uri="{FF2B5EF4-FFF2-40B4-BE49-F238E27FC236}">
              <a16:creationId xmlns:a16="http://schemas.microsoft.com/office/drawing/2014/main" id="{B0FF00CD-ED3B-40F9-B353-B373583A42C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4" name="Host Control  65">
          <a:extLst>
            <a:ext uri="{FF2B5EF4-FFF2-40B4-BE49-F238E27FC236}">
              <a16:creationId xmlns:a16="http://schemas.microsoft.com/office/drawing/2014/main" id="{9FB2BA8A-A3B4-40E1-A58C-C21D0BE465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5" name="Host Control  66">
          <a:extLst>
            <a:ext uri="{FF2B5EF4-FFF2-40B4-BE49-F238E27FC236}">
              <a16:creationId xmlns:a16="http://schemas.microsoft.com/office/drawing/2014/main" id="{8444815C-AECF-4FB6-AF61-2E7D19771F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6" name="Host Control  67">
          <a:extLst>
            <a:ext uri="{FF2B5EF4-FFF2-40B4-BE49-F238E27FC236}">
              <a16:creationId xmlns:a16="http://schemas.microsoft.com/office/drawing/2014/main" id="{49511DC4-F2E0-459B-BC08-92E9959F6EA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7" name="Host Control  68">
          <a:extLst>
            <a:ext uri="{FF2B5EF4-FFF2-40B4-BE49-F238E27FC236}">
              <a16:creationId xmlns:a16="http://schemas.microsoft.com/office/drawing/2014/main" id="{A69A7E97-588A-4FC2-A217-DEF2BA2703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8" name="Host Control  69">
          <a:extLst>
            <a:ext uri="{FF2B5EF4-FFF2-40B4-BE49-F238E27FC236}">
              <a16:creationId xmlns:a16="http://schemas.microsoft.com/office/drawing/2014/main" id="{6A3B47B7-F1AC-4280-8BFB-113D871F3B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9" name="Host Control  70">
          <a:extLst>
            <a:ext uri="{FF2B5EF4-FFF2-40B4-BE49-F238E27FC236}">
              <a16:creationId xmlns:a16="http://schemas.microsoft.com/office/drawing/2014/main" id="{41CEF5E9-C248-40B3-BE0E-68D682805B0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0" name="Host Control  71">
          <a:extLst>
            <a:ext uri="{FF2B5EF4-FFF2-40B4-BE49-F238E27FC236}">
              <a16:creationId xmlns:a16="http://schemas.microsoft.com/office/drawing/2014/main" id="{76531425-031D-4BD7-B489-C8CB7EF1A9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1" name="Host Control  72">
          <a:extLst>
            <a:ext uri="{FF2B5EF4-FFF2-40B4-BE49-F238E27FC236}">
              <a16:creationId xmlns:a16="http://schemas.microsoft.com/office/drawing/2014/main" id="{F45F3478-83EA-4BF2-9623-CC17EF50E58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2" name="Host Control  73">
          <a:extLst>
            <a:ext uri="{FF2B5EF4-FFF2-40B4-BE49-F238E27FC236}">
              <a16:creationId xmlns:a16="http://schemas.microsoft.com/office/drawing/2014/main" id="{CA2327E9-4579-4A01-B96F-22104E6883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3" name="Host Control  74">
          <a:extLst>
            <a:ext uri="{FF2B5EF4-FFF2-40B4-BE49-F238E27FC236}">
              <a16:creationId xmlns:a16="http://schemas.microsoft.com/office/drawing/2014/main" id="{0EF63A8C-D7D1-41F8-AC79-2FFF6A77D6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4" name="Host Control  75">
          <a:extLst>
            <a:ext uri="{FF2B5EF4-FFF2-40B4-BE49-F238E27FC236}">
              <a16:creationId xmlns:a16="http://schemas.microsoft.com/office/drawing/2014/main" id="{2327BD17-B13E-462E-8D08-A58BE592F7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5" name="Host Control  76">
          <a:extLst>
            <a:ext uri="{FF2B5EF4-FFF2-40B4-BE49-F238E27FC236}">
              <a16:creationId xmlns:a16="http://schemas.microsoft.com/office/drawing/2014/main" id="{D1043792-8C9D-47B2-92C0-686BBBDC96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6" name="Host Control  77">
          <a:extLst>
            <a:ext uri="{FF2B5EF4-FFF2-40B4-BE49-F238E27FC236}">
              <a16:creationId xmlns:a16="http://schemas.microsoft.com/office/drawing/2014/main" id="{23F275B9-CB60-495C-BEE6-CFF2F342AF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7" name="Host Control  78">
          <a:extLst>
            <a:ext uri="{FF2B5EF4-FFF2-40B4-BE49-F238E27FC236}">
              <a16:creationId xmlns:a16="http://schemas.microsoft.com/office/drawing/2014/main" id="{6196BF8A-F6A5-4AA9-B6A9-B481A7F6F6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8" name="Host Control  79">
          <a:extLst>
            <a:ext uri="{FF2B5EF4-FFF2-40B4-BE49-F238E27FC236}">
              <a16:creationId xmlns:a16="http://schemas.microsoft.com/office/drawing/2014/main" id="{2CE2E7B1-A657-4465-BEE6-32E347FACB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9" name="Host Control  80">
          <a:extLst>
            <a:ext uri="{FF2B5EF4-FFF2-40B4-BE49-F238E27FC236}">
              <a16:creationId xmlns:a16="http://schemas.microsoft.com/office/drawing/2014/main" id="{293B6FD2-A821-4E2E-B61C-DE74872931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0" name="Host Control  81">
          <a:extLst>
            <a:ext uri="{FF2B5EF4-FFF2-40B4-BE49-F238E27FC236}">
              <a16:creationId xmlns:a16="http://schemas.microsoft.com/office/drawing/2014/main" id="{5DC225A9-E15A-48A9-B271-3AD3FA6CF7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1" name="Host Control  82">
          <a:extLst>
            <a:ext uri="{FF2B5EF4-FFF2-40B4-BE49-F238E27FC236}">
              <a16:creationId xmlns:a16="http://schemas.microsoft.com/office/drawing/2014/main" id="{30FC7201-05F1-452E-B18A-F3AE99BD3EF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2" name="Host Control  83">
          <a:extLst>
            <a:ext uri="{FF2B5EF4-FFF2-40B4-BE49-F238E27FC236}">
              <a16:creationId xmlns:a16="http://schemas.microsoft.com/office/drawing/2014/main" id="{C98703D7-255B-400D-BAFF-E2A0407E29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3" name="Host Control  84">
          <a:extLst>
            <a:ext uri="{FF2B5EF4-FFF2-40B4-BE49-F238E27FC236}">
              <a16:creationId xmlns:a16="http://schemas.microsoft.com/office/drawing/2014/main" id="{1F4984BB-1051-48C0-A770-5FAE5682B21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4" name="Host Control  85">
          <a:extLst>
            <a:ext uri="{FF2B5EF4-FFF2-40B4-BE49-F238E27FC236}">
              <a16:creationId xmlns:a16="http://schemas.microsoft.com/office/drawing/2014/main" id="{AFDC120A-9C74-40B2-84C1-CC1E7D5BA07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5" name="Host Control  86">
          <a:extLst>
            <a:ext uri="{FF2B5EF4-FFF2-40B4-BE49-F238E27FC236}">
              <a16:creationId xmlns:a16="http://schemas.microsoft.com/office/drawing/2014/main" id="{FE8824D4-E1A3-42D8-92B3-64B6D5465D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6" name="Host Control  87">
          <a:extLst>
            <a:ext uri="{FF2B5EF4-FFF2-40B4-BE49-F238E27FC236}">
              <a16:creationId xmlns:a16="http://schemas.microsoft.com/office/drawing/2014/main" id="{B30E24DE-7551-477C-A0AA-BF4C2946703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7" name="Host Control  88">
          <a:extLst>
            <a:ext uri="{FF2B5EF4-FFF2-40B4-BE49-F238E27FC236}">
              <a16:creationId xmlns:a16="http://schemas.microsoft.com/office/drawing/2014/main" id="{507E321C-6D3B-4A0A-8787-EDEF736DE4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8" name="Host Control  89">
          <a:extLst>
            <a:ext uri="{FF2B5EF4-FFF2-40B4-BE49-F238E27FC236}">
              <a16:creationId xmlns:a16="http://schemas.microsoft.com/office/drawing/2014/main" id="{A6CFD43D-C36E-46EC-BF38-48079E172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9" name="Host Control  90">
          <a:extLst>
            <a:ext uri="{FF2B5EF4-FFF2-40B4-BE49-F238E27FC236}">
              <a16:creationId xmlns:a16="http://schemas.microsoft.com/office/drawing/2014/main" id="{12AC2365-8FD6-4243-BDB3-AD153AEA9CE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0" name="Host Control  91">
          <a:extLst>
            <a:ext uri="{FF2B5EF4-FFF2-40B4-BE49-F238E27FC236}">
              <a16:creationId xmlns:a16="http://schemas.microsoft.com/office/drawing/2014/main" id="{0F6ED854-52E2-44BA-B581-487A908460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1" name="Host Control  92">
          <a:extLst>
            <a:ext uri="{FF2B5EF4-FFF2-40B4-BE49-F238E27FC236}">
              <a16:creationId xmlns:a16="http://schemas.microsoft.com/office/drawing/2014/main" id="{D8E01CCE-44D9-47CB-8192-3BF49964B4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2" name="Host Control  93">
          <a:extLst>
            <a:ext uri="{FF2B5EF4-FFF2-40B4-BE49-F238E27FC236}">
              <a16:creationId xmlns:a16="http://schemas.microsoft.com/office/drawing/2014/main" id="{99D72DF3-3573-451C-AE48-7A3EC1B5887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3" name="Host Control  94">
          <a:extLst>
            <a:ext uri="{FF2B5EF4-FFF2-40B4-BE49-F238E27FC236}">
              <a16:creationId xmlns:a16="http://schemas.microsoft.com/office/drawing/2014/main" id="{CB7D88A2-0A18-45A0-8E8E-053EBD6124F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4" name="Host Control  98">
          <a:extLst>
            <a:ext uri="{FF2B5EF4-FFF2-40B4-BE49-F238E27FC236}">
              <a16:creationId xmlns:a16="http://schemas.microsoft.com/office/drawing/2014/main" id="{2ECC8CBE-357A-4F28-BF3E-5EFA644B3A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5" name="Host Control  99">
          <a:extLst>
            <a:ext uri="{FF2B5EF4-FFF2-40B4-BE49-F238E27FC236}">
              <a16:creationId xmlns:a16="http://schemas.microsoft.com/office/drawing/2014/main" id="{7DBC24EA-2502-43B1-B3D6-6683563FFE2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6" name="Host Control  100">
          <a:extLst>
            <a:ext uri="{FF2B5EF4-FFF2-40B4-BE49-F238E27FC236}">
              <a16:creationId xmlns:a16="http://schemas.microsoft.com/office/drawing/2014/main" id="{5C143F49-26A7-419C-8DB4-CDFCA926E71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7" name="Host Control  101">
          <a:extLst>
            <a:ext uri="{FF2B5EF4-FFF2-40B4-BE49-F238E27FC236}">
              <a16:creationId xmlns:a16="http://schemas.microsoft.com/office/drawing/2014/main" id="{2A8BAC3D-6FE5-484F-8944-DADC4F0AAF0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8" name="Host Control  102">
          <a:extLst>
            <a:ext uri="{FF2B5EF4-FFF2-40B4-BE49-F238E27FC236}">
              <a16:creationId xmlns:a16="http://schemas.microsoft.com/office/drawing/2014/main" id="{85944703-90FF-4090-A32D-D5D13829651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9" name="Host Control  103">
          <a:extLst>
            <a:ext uri="{FF2B5EF4-FFF2-40B4-BE49-F238E27FC236}">
              <a16:creationId xmlns:a16="http://schemas.microsoft.com/office/drawing/2014/main" id="{2821208D-A6E0-408E-91B6-A851622EA6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0" name="Host Control  104">
          <a:extLst>
            <a:ext uri="{FF2B5EF4-FFF2-40B4-BE49-F238E27FC236}">
              <a16:creationId xmlns:a16="http://schemas.microsoft.com/office/drawing/2014/main" id="{D60C8382-06E6-4B92-BA0F-0AD27D5468D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1" name="Host Control  105">
          <a:extLst>
            <a:ext uri="{FF2B5EF4-FFF2-40B4-BE49-F238E27FC236}">
              <a16:creationId xmlns:a16="http://schemas.microsoft.com/office/drawing/2014/main" id="{55DE133A-A372-4552-A32A-C3CC749086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2" name="Host Control  106">
          <a:extLst>
            <a:ext uri="{FF2B5EF4-FFF2-40B4-BE49-F238E27FC236}">
              <a16:creationId xmlns:a16="http://schemas.microsoft.com/office/drawing/2014/main" id="{8F63F636-6384-40C3-BC9F-56B834406C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3" name="Host Control  107">
          <a:extLst>
            <a:ext uri="{FF2B5EF4-FFF2-40B4-BE49-F238E27FC236}">
              <a16:creationId xmlns:a16="http://schemas.microsoft.com/office/drawing/2014/main" id="{8FFCA011-1EC7-452E-9DC2-6B0B1D010F4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4" name="Host Control  108">
          <a:extLst>
            <a:ext uri="{FF2B5EF4-FFF2-40B4-BE49-F238E27FC236}">
              <a16:creationId xmlns:a16="http://schemas.microsoft.com/office/drawing/2014/main" id="{7351652F-F221-4086-B33B-23F82CBB18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5" name="Host Control  109">
          <a:extLst>
            <a:ext uri="{FF2B5EF4-FFF2-40B4-BE49-F238E27FC236}">
              <a16:creationId xmlns:a16="http://schemas.microsoft.com/office/drawing/2014/main" id="{7B4C6C6D-7E5E-444B-AC3A-1C7ACF193C5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6" name="Host Control  110">
          <a:extLst>
            <a:ext uri="{FF2B5EF4-FFF2-40B4-BE49-F238E27FC236}">
              <a16:creationId xmlns:a16="http://schemas.microsoft.com/office/drawing/2014/main" id="{C8EFC9B3-B58B-4530-8D42-9832DD903F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7" name="Host Control  111">
          <a:extLst>
            <a:ext uri="{FF2B5EF4-FFF2-40B4-BE49-F238E27FC236}">
              <a16:creationId xmlns:a16="http://schemas.microsoft.com/office/drawing/2014/main" id="{303DECFF-F856-421D-9115-F30D47083F7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8" name="Host Control  112">
          <a:extLst>
            <a:ext uri="{FF2B5EF4-FFF2-40B4-BE49-F238E27FC236}">
              <a16:creationId xmlns:a16="http://schemas.microsoft.com/office/drawing/2014/main" id="{9055D93C-4939-461F-9441-80BED577924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9" name="Host Control  113">
          <a:extLst>
            <a:ext uri="{FF2B5EF4-FFF2-40B4-BE49-F238E27FC236}">
              <a16:creationId xmlns:a16="http://schemas.microsoft.com/office/drawing/2014/main" id="{94B3564A-2F71-4EEB-AF14-4DE308CA2EB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0" name="Host Control  114">
          <a:extLst>
            <a:ext uri="{FF2B5EF4-FFF2-40B4-BE49-F238E27FC236}">
              <a16:creationId xmlns:a16="http://schemas.microsoft.com/office/drawing/2014/main" id="{6865C116-C60D-44E1-9647-6B22310BD89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1" name="Host Control  115">
          <a:extLst>
            <a:ext uri="{FF2B5EF4-FFF2-40B4-BE49-F238E27FC236}">
              <a16:creationId xmlns:a16="http://schemas.microsoft.com/office/drawing/2014/main" id="{65C51003-5356-493A-A837-3E6724851A0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2" name="Host Control  116">
          <a:extLst>
            <a:ext uri="{FF2B5EF4-FFF2-40B4-BE49-F238E27FC236}">
              <a16:creationId xmlns:a16="http://schemas.microsoft.com/office/drawing/2014/main" id="{CB4E5FC3-BFAC-431B-BA96-4A3FCC9835F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3" name="Host Control  117">
          <a:extLst>
            <a:ext uri="{FF2B5EF4-FFF2-40B4-BE49-F238E27FC236}">
              <a16:creationId xmlns:a16="http://schemas.microsoft.com/office/drawing/2014/main" id="{3A875DE8-02E0-4A0F-A496-A0DFEB0574E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4" name="Host Control  118">
          <a:extLst>
            <a:ext uri="{FF2B5EF4-FFF2-40B4-BE49-F238E27FC236}">
              <a16:creationId xmlns:a16="http://schemas.microsoft.com/office/drawing/2014/main" id="{DBD5E527-E177-4152-A120-1F4C4A4548F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5" name="Host Control  119">
          <a:extLst>
            <a:ext uri="{FF2B5EF4-FFF2-40B4-BE49-F238E27FC236}">
              <a16:creationId xmlns:a16="http://schemas.microsoft.com/office/drawing/2014/main" id="{6BF64B3D-F269-443B-8F16-5936E1CB66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6" name="Host Control  120">
          <a:extLst>
            <a:ext uri="{FF2B5EF4-FFF2-40B4-BE49-F238E27FC236}">
              <a16:creationId xmlns:a16="http://schemas.microsoft.com/office/drawing/2014/main" id="{7F9F5EE8-4345-47E9-A4EC-98BEAB8B2B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7" name="Host Control  121">
          <a:extLst>
            <a:ext uri="{FF2B5EF4-FFF2-40B4-BE49-F238E27FC236}">
              <a16:creationId xmlns:a16="http://schemas.microsoft.com/office/drawing/2014/main" id="{A1D94600-FF2F-47ED-8695-08ACAD3982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8" name="Host Control  122">
          <a:extLst>
            <a:ext uri="{FF2B5EF4-FFF2-40B4-BE49-F238E27FC236}">
              <a16:creationId xmlns:a16="http://schemas.microsoft.com/office/drawing/2014/main" id="{518CCD47-3E07-4B24-AA08-F58FB039ED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9" name="Host Control  123">
          <a:extLst>
            <a:ext uri="{FF2B5EF4-FFF2-40B4-BE49-F238E27FC236}">
              <a16:creationId xmlns:a16="http://schemas.microsoft.com/office/drawing/2014/main" id="{B8BF7D0C-D5A6-406B-9DF8-256D33B411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0" name="Host Control  124">
          <a:extLst>
            <a:ext uri="{FF2B5EF4-FFF2-40B4-BE49-F238E27FC236}">
              <a16:creationId xmlns:a16="http://schemas.microsoft.com/office/drawing/2014/main" id="{6C0FD4BB-EC48-449B-88A9-606962DC73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1" name="Host Control  125">
          <a:extLst>
            <a:ext uri="{FF2B5EF4-FFF2-40B4-BE49-F238E27FC236}">
              <a16:creationId xmlns:a16="http://schemas.microsoft.com/office/drawing/2014/main" id="{C0B677B0-373D-4F97-AF4D-95024DF5DF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2" name="Host Control  126">
          <a:extLst>
            <a:ext uri="{FF2B5EF4-FFF2-40B4-BE49-F238E27FC236}">
              <a16:creationId xmlns:a16="http://schemas.microsoft.com/office/drawing/2014/main" id="{BF81188C-1B3F-470B-861E-61C3F46BC0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3" name="Host Control  127">
          <a:extLst>
            <a:ext uri="{FF2B5EF4-FFF2-40B4-BE49-F238E27FC236}">
              <a16:creationId xmlns:a16="http://schemas.microsoft.com/office/drawing/2014/main" id="{E8DD8A7A-32C7-4153-A3AB-9FF17F7EDB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4" name="Host Control  135">
          <a:extLst>
            <a:ext uri="{FF2B5EF4-FFF2-40B4-BE49-F238E27FC236}">
              <a16:creationId xmlns:a16="http://schemas.microsoft.com/office/drawing/2014/main" id="{3AFBF6D0-3D49-4388-A577-5001FE2F7A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5" name="Host Control  136">
          <a:extLst>
            <a:ext uri="{FF2B5EF4-FFF2-40B4-BE49-F238E27FC236}">
              <a16:creationId xmlns:a16="http://schemas.microsoft.com/office/drawing/2014/main" id="{673E54C2-7498-49F2-A599-7D40C6F545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6" name="Host Control  137">
          <a:extLst>
            <a:ext uri="{FF2B5EF4-FFF2-40B4-BE49-F238E27FC236}">
              <a16:creationId xmlns:a16="http://schemas.microsoft.com/office/drawing/2014/main" id="{9879F2DD-FE95-46F2-AE41-ED11166519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7" name="Host Control  138">
          <a:extLst>
            <a:ext uri="{FF2B5EF4-FFF2-40B4-BE49-F238E27FC236}">
              <a16:creationId xmlns:a16="http://schemas.microsoft.com/office/drawing/2014/main" id="{6DA85401-5E36-4E06-B52A-DF2F7B2BE2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8" name="Host Control  139">
          <a:extLst>
            <a:ext uri="{FF2B5EF4-FFF2-40B4-BE49-F238E27FC236}">
              <a16:creationId xmlns:a16="http://schemas.microsoft.com/office/drawing/2014/main" id="{92C54D6F-4693-4D2C-858D-8FC84CDF7F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9" name="Host Control  140">
          <a:extLst>
            <a:ext uri="{FF2B5EF4-FFF2-40B4-BE49-F238E27FC236}">
              <a16:creationId xmlns:a16="http://schemas.microsoft.com/office/drawing/2014/main" id="{CC66F28A-2BD2-4CB9-AA01-3ADFA64A06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0" name="Host Control  141">
          <a:extLst>
            <a:ext uri="{FF2B5EF4-FFF2-40B4-BE49-F238E27FC236}">
              <a16:creationId xmlns:a16="http://schemas.microsoft.com/office/drawing/2014/main" id="{11204A0B-C225-4EA7-9417-1A3B4511D37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1" name="Host Control  142">
          <a:extLst>
            <a:ext uri="{FF2B5EF4-FFF2-40B4-BE49-F238E27FC236}">
              <a16:creationId xmlns:a16="http://schemas.microsoft.com/office/drawing/2014/main" id="{786DC3B6-15C9-4F77-A515-15725F5FCD7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2" name="Host Control  143">
          <a:extLst>
            <a:ext uri="{FF2B5EF4-FFF2-40B4-BE49-F238E27FC236}">
              <a16:creationId xmlns:a16="http://schemas.microsoft.com/office/drawing/2014/main" id="{F5324848-F28B-4627-B8DE-D329FAB2E9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3" name="Host Control  144">
          <a:extLst>
            <a:ext uri="{FF2B5EF4-FFF2-40B4-BE49-F238E27FC236}">
              <a16:creationId xmlns:a16="http://schemas.microsoft.com/office/drawing/2014/main" id="{E8DD31DC-843D-498D-9EAE-3751EA966D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4" name="Host Control  145">
          <a:extLst>
            <a:ext uri="{FF2B5EF4-FFF2-40B4-BE49-F238E27FC236}">
              <a16:creationId xmlns:a16="http://schemas.microsoft.com/office/drawing/2014/main" id="{11969F16-FF88-44CE-B7FD-7E4C647B45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5" name="Host Control  146">
          <a:extLst>
            <a:ext uri="{FF2B5EF4-FFF2-40B4-BE49-F238E27FC236}">
              <a16:creationId xmlns:a16="http://schemas.microsoft.com/office/drawing/2014/main" id="{01E4D6D0-89C8-4D72-944E-74BE740B2A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6" name="Host Control  147">
          <a:extLst>
            <a:ext uri="{FF2B5EF4-FFF2-40B4-BE49-F238E27FC236}">
              <a16:creationId xmlns:a16="http://schemas.microsoft.com/office/drawing/2014/main" id="{7F6DE3ED-9E39-40A4-9007-62CF4B59C9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7" name="Host Control  148">
          <a:extLst>
            <a:ext uri="{FF2B5EF4-FFF2-40B4-BE49-F238E27FC236}">
              <a16:creationId xmlns:a16="http://schemas.microsoft.com/office/drawing/2014/main" id="{9D957362-D1DE-47EA-992D-382D81B2BC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8" name="Host Control  149">
          <a:extLst>
            <a:ext uri="{FF2B5EF4-FFF2-40B4-BE49-F238E27FC236}">
              <a16:creationId xmlns:a16="http://schemas.microsoft.com/office/drawing/2014/main" id="{E8A78666-0BEB-4539-A525-AF980CE142C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9" name="Host Control  150">
          <a:extLst>
            <a:ext uri="{FF2B5EF4-FFF2-40B4-BE49-F238E27FC236}">
              <a16:creationId xmlns:a16="http://schemas.microsoft.com/office/drawing/2014/main" id="{F543E9AC-3F69-4FAB-9500-7DE16E9A7CD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0" name="Host Control  151">
          <a:extLst>
            <a:ext uri="{FF2B5EF4-FFF2-40B4-BE49-F238E27FC236}">
              <a16:creationId xmlns:a16="http://schemas.microsoft.com/office/drawing/2014/main" id="{69F7E1D9-F4C2-4A63-8270-C27BFF08AA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1" name="Host Control  152">
          <a:extLst>
            <a:ext uri="{FF2B5EF4-FFF2-40B4-BE49-F238E27FC236}">
              <a16:creationId xmlns:a16="http://schemas.microsoft.com/office/drawing/2014/main" id="{E00C0C36-1B84-4A4F-851D-4D743F6E4A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2" name="Host Control  153">
          <a:extLst>
            <a:ext uri="{FF2B5EF4-FFF2-40B4-BE49-F238E27FC236}">
              <a16:creationId xmlns:a16="http://schemas.microsoft.com/office/drawing/2014/main" id="{25DED567-6C7D-482A-95A0-E13560FA8F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3" name="Host Control  154">
          <a:extLst>
            <a:ext uri="{FF2B5EF4-FFF2-40B4-BE49-F238E27FC236}">
              <a16:creationId xmlns:a16="http://schemas.microsoft.com/office/drawing/2014/main" id="{9DD584F2-CB9F-4861-A079-86BC959A256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4" name="Host Control  155">
          <a:extLst>
            <a:ext uri="{FF2B5EF4-FFF2-40B4-BE49-F238E27FC236}">
              <a16:creationId xmlns:a16="http://schemas.microsoft.com/office/drawing/2014/main" id="{4D7096F6-9475-47FA-8B1F-E5F4839F01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5" name="Host Control  156">
          <a:extLst>
            <a:ext uri="{FF2B5EF4-FFF2-40B4-BE49-F238E27FC236}">
              <a16:creationId xmlns:a16="http://schemas.microsoft.com/office/drawing/2014/main" id="{8A925118-58E2-49D9-BC52-14B9692633F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6" name="Host Control  157">
          <a:extLst>
            <a:ext uri="{FF2B5EF4-FFF2-40B4-BE49-F238E27FC236}">
              <a16:creationId xmlns:a16="http://schemas.microsoft.com/office/drawing/2014/main" id="{77022A86-F563-4F24-BCFE-24F0FD1791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7" name="Host Control  158">
          <a:extLst>
            <a:ext uri="{FF2B5EF4-FFF2-40B4-BE49-F238E27FC236}">
              <a16:creationId xmlns:a16="http://schemas.microsoft.com/office/drawing/2014/main" id="{C20FED35-ED6A-4C5F-8CDC-AF3C7FD5B6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8" name="Host Control  159">
          <a:extLst>
            <a:ext uri="{FF2B5EF4-FFF2-40B4-BE49-F238E27FC236}">
              <a16:creationId xmlns:a16="http://schemas.microsoft.com/office/drawing/2014/main" id="{0A8CEDDB-5249-4CBE-9025-4AAC325B36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9" name="Host Control  160">
          <a:extLst>
            <a:ext uri="{FF2B5EF4-FFF2-40B4-BE49-F238E27FC236}">
              <a16:creationId xmlns:a16="http://schemas.microsoft.com/office/drawing/2014/main" id="{FF848CCF-6293-45FC-A0D6-4F0E5A631A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0" name="Host Control  161">
          <a:extLst>
            <a:ext uri="{FF2B5EF4-FFF2-40B4-BE49-F238E27FC236}">
              <a16:creationId xmlns:a16="http://schemas.microsoft.com/office/drawing/2014/main" id="{884BF06C-45F4-4709-8A88-22F6352C63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1" name="Host Control  162">
          <a:extLst>
            <a:ext uri="{FF2B5EF4-FFF2-40B4-BE49-F238E27FC236}">
              <a16:creationId xmlns:a16="http://schemas.microsoft.com/office/drawing/2014/main" id="{6470871F-CA57-456A-9033-BEFFC140534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2" name="Host Control  163">
          <a:extLst>
            <a:ext uri="{FF2B5EF4-FFF2-40B4-BE49-F238E27FC236}">
              <a16:creationId xmlns:a16="http://schemas.microsoft.com/office/drawing/2014/main" id="{D35F4D42-45EF-432B-893B-823C755B24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3" name="Host Control  164">
          <a:extLst>
            <a:ext uri="{FF2B5EF4-FFF2-40B4-BE49-F238E27FC236}">
              <a16:creationId xmlns:a16="http://schemas.microsoft.com/office/drawing/2014/main" id="{EC5E1805-3B86-4F1D-B0E0-671F5B1AE5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4" name="Host Control  168">
          <a:extLst>
            <a:ext uri="{FF2B5EF4-FFF2-40B4-BE49-F238E27FC236}">
              <a16:creationId xmlns:a16="http://schemas.microsoft.com/office/drawing/2014/main" id="{0F599820-328B-4A25-9135-593D47C064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5" name="Host Control  169">
          <a:extLst>
            <a:ext uri="{FF2B5EF4-FFF2-40B4-BE49-F238E27FC236}">
              <a16:creationId xmlns:a16="http://schemas.microsoft.com/office/drawing/2014/main" id="{5E538B17-558A-4C69-AA39-3972C6393F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6" name="Host Control  170">
          <a:extLst>
            <a:ext uri="{FF2B5EF4-FFF2-40B4-BE49-F238E27FC236}">
              <a16:creationId xmlns:a16="http://schemas.microsoft.com/office/drawing/2014/main" id="{965055B5-DA9A-459E-A220-FD495F1213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7" name="Host Control  171">
          <a:extLst>
            <a:ext uri="{FF2B5EF4-FFF2-40B4-BE49-F238E27FC236}">
              <a16:creationId xmlns:a16="http://schemas.microsoft.com/office/drawing/2014/main" id="{1FE7F2D1-B876-4847-A753-91B2BD4109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8" name="Host Control  172">
          <a:extLst>
            <a:ext uri="{FF2B5EF4-FFF2-40B4-BE49-F238E27FC236}">
              <a16:creationId xmlns:a16="http://schemas.microsoft.com/office/drawing/2014/main" id="{01FA8BDF-56A6-4523-AD80-3DE71E7C0F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9" name="Host Control  173">
          <a:extLst>
            <a:ext uri="{FF2B5EF4-FFF2-40B4-BE49-F238E27FC236}">
              <a16:creationId xmlns:a16="http://schemas.microsoft.com/office/drawing/2014/main" id="{B2C6E768-5393-4323-8335-CD5A41C84B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0" name="Host Control  174">
          <a:extLst>
            <a:ext uri="{FF2B5EF4-FFF2-40B4-BE49-F238E27FC236}">
              <a16:creationId xmlns:a16="http://schemas.microsoft.com/office/drawing/2014/main" id="{9CED6397-686B-46FF-9F67-47FCF4BAADE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1" name="Host Control  175">
          <a:extLst>
            <a:ext uri="{FF2B5EF4-FFF2-40B4-BE49-F238E27FC236}">
              <a16:creationId xmlns:a16="http://schemas.microsoft.com/office/drawing/2014/main" id="{16FE0A93-B3B3-45C5-A410-7BE26E6028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2" name="Host Control  176">
          <a:extLst>
            <a:ext uri="{FF2B5EF4-FFF2-40B4-BE49-F238E27FC236}">
              <a16:creationId xmlns:a16="http://schemas.microsoft.com/office/drawing/2014/main" id="{CABD6DEE-CE03-49CE-A96B-A9CD39DFDA2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3" name="Host Control  177">
          <a:extLst>
            <a:ext uri="{FF2B5EF4-FFF2-40B4-BE49-F238E27FC236}">
              <a16:creationId xmlns:a16="http://schemas.microsoft.com/office/drawing/2014/main" id="{325E38F9-B5C4-4EA8-83A2-99576AF50C5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4" name="Host Control  178">
          <a:extLst>
            <a:ext uri="{FF2B5EF4-FFF2-40B4-BE49-F238E27FC236}">
              <a16:creationId xmlns:a16="http://schemas.microsoft.com/office/drawing/2014/main" id="{3948CC61-3FC2-40C6-A939-E4D2DCA5AA1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5" name="Host Control  179">
          <a:extLst>
            <a:ext uri="{FF2B5EF4-FFF2-40B4-BE49-F238E27FC236}">
              <a16:creationId xmlns:a16="http://schemas.microsoft.com/office/drawing/2014/main" id="{EBAF1822-780E-45FC-823B-25F105993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6" name="Host Control  180">
          <a:extLst>
            <a:ext uri="{FF2B5EF4-FFF2-40B4-BE49-F238E27FC236}">
              <a16:creationId xmlns:a16="http://schemas.microsoft.com/office/drawing/2014/main" id="{8C91A974-5892-4E07-B797-9799B8E91A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7" name="Host Control  181">
          <a:extLst>
            <a:ext uri="{FF2B5EF4-FFF2-40B4-BE49-F238E27FC236}">
              <a16:creationId xmlns:a16="http://schemas.microsoft.com/office/drawing/2014/main" id="{BDAB78C8-8303-4916-9287-F0AA2F3164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8" name="Host Control  182">
          <a:extLst>
            <a:ext uri="{FF2B5EF4-FFF2-40B4-BE49-F238E27FC236}">
              <a16:creationId xmlns:a16="http://schemas.microsoft.com/office/drawing/2014/main" id="{C77E8CEE-3313-4E26-BE80-A8B58EA0E4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9" name="Host Control  183">
          <a:extLst>
            <a:ext uri="{FF2B5EF4-FFF2-40B4-BE49-F238E27FC236}">
              <a16:creationId xmlns:a16="http://schemas.microsoft.com/office/drawing/2014/main" id="{E7F2DAAC-1582-4F23-B2ED-101C93A7B1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0" name="Host Control  184">
          <a:extLst>
            <a:ext uri="{FF2B5EF4-FFF2-40B4-BE49-F238E27FC236}">
              <a16:creationId xmlns:a16="http://schemas.microsoft.com/office/drawing/2014/main" id="{1926F69D-6578-44F3-BE14-BF2C5EDD0D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1" name="Host Control  185">
          <a:extLst>
            <a:ext uri="{FF2B5EF4-FFF2-40B4-BE49-F238E27FC236}">
              <a16:creationId xmlns:a16="http://schemas.microsoft.com/office/drawing/2014/main" id="{814DCE01-BB92-4C62-A699-7918404B82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2" name="Host Control  186">
          <a:extLst>
            <a:ext uri="{FF2B5EF4-FFF2-40B4-BE49-F238E27FC236}">
              <a16:creationId xmlns:a16="http://schemas.microsoft.com/office/drawing/2014/main" id="{85E2CF3D-F7DD-41A4-BECB-5C71582A4E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3" name="Host Control  187">
          <a:extLst>
            <a:ext uri="{FF2B5EF4-FFF2-40B4-BE49-F238E27FC236}">
              <a16:creationId xmlns:a16="http://schemas.microsoft.com/office/drawing/2014/main" id="{A9863A87-EC56-4F2F-813E-527B633784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4" name="Host Control  188">
          <a:extLst>
            <a:ext uri="{FF2B5EF4-FFF2-40B4-BE49-F238E27FC236}">
              <a16:creationId xmlns:a16="http://schemas.microsoft.com/office/drawing/2014/main" id="{AF9FF893-0D2D-4EC7-86C9-2927511D2B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5" name="Host Control  189">
          <a:extLst>
            <a:ext uri="{FF2B5EF4-FFF2-40B4-BE49-F238E27FC236}">
              <a16:creationId xmlns:a16="http://schemas.microsoft.com/office/drawing/2014/main" id="{C3E02E13-7C55-41B2-ACFA-8F2A5B6C22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6" name="Host Control  190">
          <a:extLst>
            <a:ext uri="{FF2B5EF4-FFF2-40B4-BE49-F238E27FC236}">
              <a16:creationId xmlns:a16="http://schemas.microsoft.com/office/drawing/2014/main" id="{882903E8-A806-49FE-BC5E-7DF864BB6D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7" name="Host Control  191">
          <a:extLst>
            <a:ext uri="{FF2B5EF4-FFF2-40B4-BE49-F238E27FC236}">
              <a16:creationId xmlns:a16="http://schemas.microsoft.com/office/drawing/2014/main" id="{2D3E444F-AA0E-46AE-B19B-7D7014A09CC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8" name="Host Control  192">
          <a:extLst>
            <a:ext uri="{FF2B5EF4-FFF2-40B4-BE49-F238E27FC236}">
              <a16:creationId xmlns:a16="http://schemas.microsoft.com/office/drawing/2014/main" id="{2E316E8A-BD38-412E-B4A9-9F52573D41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9" name="Host Control  193">
          <a:extLst>
            <a:ext uri="{FF2B5EF4-FFF2-40B4-BE49-F238E27FC236}">
              <a16:creationId xmlns:a16="http://schemas.microsoft.com/office/drawing/2014/main" id="{0C2D08C8-107B-44A7-BC9D-6A0861CC44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0" name="Host Control  194">
          <a:extLst>
            <a:ext uri="{FF2B5EF4-FFF2-40B4-BE49-F238E27FC236}">
              <a16:creationId xmlns:a16="http://schemas.microsoft.com/office/drawing/2014/main" id="{BE67CE8C-4282-4462-8C55-85179FA3C40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1" name="Host Control  195">
          <a:extLst>
            <a:ext uri="{FF2B5EF4-FFF2-40B4-BE49-F238E27FC236}">
              <a16:creationId xmlns:a16="http://schemas.microsoft.com/office/drawing/2014/main" id="{B08B52CC-620E-4FE0-8548-7783664AE9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2" name="Host Control  196">
          <a:extLst>
            <a:ext uri="{FF2B5EF4-FFF2-40B4-BE49-F238E27FC236}">
              <a16:creationId xmlns:a16="http://schemas.microsoft.com/office/drawing/2014/main" id="{9FC97AF3-D9CB-47B5-8E12-41980CADC6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3" name="Host Control  197">
          <a:extLst>
            <a:ext uri="{FF2B5EF4-FFF2-40B4-BE49-F238E27FC236}">
              <a16:creationId xmlns:a16="http://schemas.microsoft.com/office/drawing/2014/main" id="{E681E546-E513-4FA9-93A9-DCEC795D18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4" name="Host Control  201" hidden="1">
          <a:extLst>
            <a:ext uri="{FF2B5EF4-FFF2-40B4-BE49-F238E27FC236}">
              <a16:creationId xmlns:a16="http://schemas.microsoft.com/office/drawing/2014/main" id="{5CFC08CB-2508-4218-932B-6EE90E233DE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5" name="Host Control  202" hidden="1">
          <a:extLst>
            <a:ext uri="{FF2B5EF4-FFF2-40B4-BE49-F238E27FC236}">
              <a16:creationId xmlns:a16="http://schemas.microsoft.com/office/drawing/2014/main" id="{3C4C3C82-7F44-4353-B732-26803E5313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6" name="Host Control  203" hidden="1">
          <a:extLst>
            <a:ext uri="{FF2B5EF4-FFF2-40B4-BE49-F238E27FC236}">
              <a16:creationId xmlns:a16="http://schemas.microsoft.com/office/drawing/2014/main" id="{A85CCE98-1D78-4D28-A921-79D1B673C7C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7" name="Host Control  204" hidden="1">
          <a:extLst>
            <a:ext uri="{FF2B5EF4-FFF2-40B4-BE49-F238E27FC236}">
              <a16:creationId xmlns:a16="http://schemas.microsoft.com/office/drawing/2014/main" id="{4DF26FA1-2645-4570-985B-4EAB60C308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8" name="Host Control  205" hidden="1">
          <a:extLst>
            <a:ext uri="{FF2B5EF4-FFF2-40B4-BE49-F238E27FC236}">
              <a16:creationId xmlns:a16="http://schemas.microsoft.com/office/drawing/2014/main" id="{065F6D33-9C45-44A7-A1C0-611B546F78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9" name="Host Control  206" hidden="1">
          <a:extLst>
            <a:ext uri="{FF2B5EF4-FFF2-40B4-BE49-F238E27FC236}">
              <a16:creationId xmlns:a16="http://schemas.microsoft.com/office/drawing/2014/main" id="{F9C7010A-E967-460A-BF24-34089C53DD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0" name="Host Control  207" hidden="1">
          <a:extLst>
            <a:ext uri="{FF2B5EF4-FFF2-40B4-BE49-F238E27FC236}">
              <a16:creationId xmlns:a16="http://schemas.microsoft.com/office/drawing/2014/main" id="{E290B116-7EB7-4780-9FD1-0A4F542F03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1" name="Host Control  208" hidden="1">
          <a:extLst>
            <a:ext uri="{FF2B5EF4-FFF2-40B4-BE49-F238E27FC236}">
              <a16:creationId xmlns:a16="http://schemas.microsoft.com/office/drawing/2014/main" id="{EAC5DE66-72EE-439B-A147-666227036F4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2" name="Host Control  209" hidden="1">
          <a:extLst>
            <a:ext uri="{FF2B5EF4-FFF2-40B4-BE49-F238E27FC236}">
              <a16:creationId xmlns:a16="http://schemas.microsoft.com/office/drawing/2014/main" id="{943C92DE-588B-40E5-A954-54D520ADE18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3" name="Host Control  210" hidden="1">
          <a:extLst>
            <a:ext uri="{FF2B5EF4-FFF2-40B4-BE49-F238E27FC236}">
              <a16:creationId xmlns:a16="http://schemas.microsoft.com/office/drawing/2014/main" id="{64C6F47C-4D0A-47F6-B9FC-72E25DFCF6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4" name="Host Control  211" hidden="1">
          <a:extLst>
            <a:ext uri="{FF2B5EF4-FFF2-40B4-BE49-F238E27FC236}">
              <a16:creationId xmlns:a16="http://schemas.microsoft.com/office/drawing/2014/main" id="{81ADACF7-90EC-49CF-B932-C17C717A72E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5" name="Host Control  212" hidden="1">
          <a:extLst>
            <a:ext uri="{FF2B5EF4-FFF2-40B4-BE49-F238E27FC236}">
              <a16:creationId xmlns:a16="http://schemas.microsoft.com/office/drawing/2014/main" id="{A16075E1-4842-4491-9C89-FF31FE571B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6" name="Host Control  213" hidden="1">
          <a:extLst>
            <a:ext uri="{FF2B5EF4-FFF2-40B4-BE49-F238E27FC236}">
              <a16:creationId xmlns:a16="http://schemas.microsoft.com/office/drawing/2014/main" id="{CE602136-42A9-4DC7-8EAC-E6A3CB8C68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7" name="Host Control  214" hidden="1">
          <a:extLst>
            <a:ext uri="{FF2B5EF4-FFF2-40B4-BE49-F238E27FC236}">
              <a16:creationId xmlns:a16="http://schemas.microsoft.com/office/drawing/2014/main" id="{D0750FE7-5C47-48AC-A229-CCAC11F68F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8" name="Host Control  215" hidden="1">
          <a:extLst>
            <a:ext uri="{FF2B5EF4-FFF2-40B4-BE49-F238E27FC236}">
              <a16:creationId xmlns:a16="http://schemas.microsoft.com/office/drawing/2014/main" id="{A06286E4-7AED-41C4-97AE-D394C08536C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9" name="Host Control  216" hidden="1">
          <a:extLst>
            <a:ext uri="{FF2B5EF4-FFF2-40B4-BE49-F238E27FC236}">
              <a16:creationId xmlns:a16="http://schemas.microsoft.com/office/drawing/2014/main" id="{978D5C99-90F7-47F2-AEA2-606BC2802F8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0" name="Host Control  217" hidden="1">
          <a:extLst>
            <a:ext uri="{FF2B5EF4-FFF2-40B4-BE49-F238E27FC236}">
              <a16:creationId xmlns:a16="http://schemas.microsoft.com/office/drawing/2014/main" id="{B64EA353-156D-4A9D-B457-030540EDBDC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1" name="Host Control  218" hidden="1">
          <a:extLst>
            <a:ext uri="{FF2B5EF4-FFF2-40B4-BE49-F238E27FC236}">
              <a16:creationId xmlns:a16="http://schemas.microsoft.com/office/drawing/2014/main" id="{D77682F7-A213-4842-92C1-473F7D11EAB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2" name="Host Control  219" hidden="1">
          <a:extLst>
            <a:ext uri="{FF2B5EF4-FFF2-40B4-BE49-F238E27FC236}">
              <a16:creationId xmlns:a16="http://schemas.microsoft.com/office/drawing/2014/main" id="{D695B661-932A-4711-904B-88BD3AFD43A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3" name="Host Control  220" hidden="1">
          <a:extLst>
            <a:ext uri="{FF2B5EF4-FFF2-40B4-BE49-F238E27FC236}">
              <a16:creationId xmlns:a16="http://schemas.microsoft.com/office/drawing/2014/main" id="{6B3F6169-A06C-4ACC-9D70-13B458F841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4" name="Host Control  221" hidden="1">
          <a:extLst>
            <a:ext uri="{FF2B5EF4-FFF2-40B4-BE49-F238E27FC236}">
              <a16:creationId xmlns:a16="http://schemas.microsoft.com/office/drawing/2014/main" id="{8C7C170E-F756-4E40-9AAD-C29F15B372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5" name="Host Control  222" hidden="1">
          <a:extLst>
            <a:ext uri="{FF2B5EF4-FFF2-40B4-BE49-F238E27FC236}">
              <a16:creationId xmlns:a16="http://schemas.microsoft.com/office/drawing/2014/main" id="{D3A0ECA1-3DE2-4FB3-BBCD-667431D287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6" name="Host Control  223" hidden="1">
          <a:extLst>
            <a:ext uri="{FF2B5EF4-FFF2-40B4-BE49-F238E27FC236}">
              <a16:creationId xmlns:a16="http://schemas.microsoft.com/office/drawing/2014/main" id="{91AA0FC0-12FC-4A30-844C-FCD0EBC5600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7" name="Host Control  224" hidden="1">
          <a:extLst>
            <a:ext uri="{FF2B5EF4-FFF2-40B4-BE49-F238E27FC236}">
              <a16:creationId xmlns:a16="http://schemas.microsoft.com/office/drawing/2014/main" id="{336892DF-F352-4F33-92B0-72075BF73B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8" name="Host Control  225" hidden="1">
          <a:extLst>
            <a:ext uri="{FF2B5EF4-FFF2-40B4-BE49-F238E27FC236}">
              <a16:creationId xmlns:a16="http://schemas.microsoft.com/office/drawing/2014/main" id="{2B22AA36-754A-4A5B-8684-B8E91B567D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9" name="Host Control  226" hidden="1">
          <a:extLst>
            <a:ext uri="{FF2B5EF4-FFF2-40B4-BE49-F238E27FC236}">
              <a16:creationId xmlns:a16="http://schemas.microsoft.com/office/drawing/2014/main" id="{88190B1B-83B4-4DDA-A931-1D3C557417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0" name="Host Control  227" hidden="1">
          <a:extLst>
            <a:ext uri="{FF2B5EF4-FFF2-40B4-BE49-F238E27FC236}">
              <a16:creationId xmlns:a16="http://schemas.microsoft.com/office/drawing/2014/main" id="{DE1C520A-E0A6-4B27-84A8-3D1E0F8F84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1" name="Host Control  228" hidden="1">
          <a:extLst>
            <a:ext uri="{FF2B5EF4-FFF2-40B4-BE49-F238E27FC236}">
              <a16:creationId xmlns:a16="http://schemas.microsoft.com/office/drawing/2014/main" id="{A8AFEECE-42D2-4965-9C8C-8A9272F216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2" name="Host Control  229" hidden="1">
          <a:extLst>
            <a:ext uri="{FF2B5EF4-FFF2-40B4-BE49-F238E27FC236}">
              <a16:creationId xmlns:a16="http://schemas.microsoft.com/office/drawing/2014/main" id="{10901565-A67E-4F13-8F19-8DCF80E70A8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3" name="Host Control  230" hidden="1">
          <a:extLst>
            <a:ext uri="{FF2B5EF4-FFF2-40B4-BE49-F238E27FC236}">
              <a16:creationId xmlns:a16="http://schemas.microsoft.com/office/drawing/2014/main" id="{8079C6CE-06AA-4A4E-AA51-5CA59948EF5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4" name="Host Control  234" hidden="1">
          <a:extLst>
            <a:ext uri="{FF2B5EF4-FFF2-40B4-BE49-F238E27FC236}">
              <a16:creationId xmlns:a16="http://schemas.microsoft.com/office/drawing/2014/main" id="{0213ABB2-9D49-4B7E-A6B2-AD61107A5A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5" name="Host Control  235" hidden="1">
          <a:extLst>
            <a:ext uri="{FF2B5EF4-FFF2-40B4-BE49-F238E27FC236}">
              <a16:creationId xmlns:a16="http://schemas.microsoft.com/office/drawing/2014/main" id="{29A81B6C-FDDC-433A-85C3-96024090B5C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6" name="Host Control  236" hidden="1">
          <a:extLst>
            <a:ext uri="{FF2B5EF4-FFF2-40B4-BE49-F238E27FC236}">
              <a16:creationId xmlns:a16="http://schemas.microsoft.com/office/drawing/2014/main" id="{F921B9F9-552D-44A9-8851-EE54880800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7" name="Host Control  237" hidden="1">
          <a:extLst>
            <a:ext uri="{FF2B5EF4-FFF2-40B4-BE49-F238E27FC236}">
              <a16:creationId xmlns:a16="http://schemas.microsoft.com/office/drawing/2014/main" id="{C898FD5A-612A-458D-98A0-87387692D34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8" name="Host Control  238" hidden="1">
          <a:extLst>
            <a:ext uri="{FF2B5EF4-FFF2-40B4-BE49-F238E27FC236}">
              <a16:creationId xmlns:a16="http://schemas.microsoft.com/office/drawing/2014/main" id="{BF0479C5-631D-40B7-999C-60D16DED784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9" name="Host Control  239" hidden="1">
          <a:extLst>
            <a:ext uri="{FF2B5EF4-FFF2-40B4-BE49-F238E27FC236}">
              <a16:creationId xmlns:a16="http://schemas.microsoft.com/office/drawing/2014/main" id="{753BB44D-E43F-4E6B-AB2E-346BE1E69B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0" name="Host Control  240" hidden="1">
          <a:extLst>
            <a:ext uri="{FF2B5EF4-FFF2-40B4-BE49-F238E27FC236}">
              <a16:creationId xmlns:a16="http://schemas.microsoft.com/office/drawing/2014/main" id="{4F0D92AE-7600-4D81-8F4B-435E42ADAF7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1" name="Host Control  241" hidden="1">
          <a:extLst>
            <a:ext uri="{FF2B5EF4-FFF2-40B4-BE49-F238E27FC236}">
              <a16:creationId xmlns:a16="http://schemas.microsoft.com/office/drawing/2014/main" id="{CF9360B1-975D-49F6-B585-F411018A443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2" name="Host Control  242" hidden="1">
          <a:extLst>
            <a:ext uri="{FF2B5EF4-FFF2-40B4-BE49-F238E27FC236}">
              <a16:creationId xmlns:a16="http://schemas.microsoft.com/office/drawing/2014/main" id="{058577DB-3D31-43A1-A65F-8B70533940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3" name="Host Control  243" hidden="1">
          <a:extLst>
            <a:ext uri="{FF2B5EF4-FFF2-40B4-BE49-F238E27FC236}">
              <a16:creationId xmlns:a16="http://schemas.microsoft.com/office/drawing/2014/main" id="{64CEC7E7-AF5C-417E-AB80-DCEFC95E21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4" name="Host Control  244" hidden="1">
          <a:extLst>
            <a:ext uri="{FF2B5EF4-FFF2-40B4-BE49-F238E27FC236}">
              <a16:creationId xmlns:a16="http://schemas.microsoft.com/office/drawing/2014/main" id="{F44D7542-821C-489F-BBC5-FC606A5828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5" name="Host Control  245" hidden="1">
          <a:extLst>
            <a:ext uri="{FF2B5EF4-FFF2-40B4-BE49-F238E27FC236}">
              <a16:creationId xmlns:a16="http://schemas.microsoft.com/office/drawing/2014/main" id="{083FE13E-D72C-4321-A093-46919E8CDC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6" name="Host Control  246" hidden="1">
          <a:extLst>
            <a:ext uri="{FF2B5EF4-FFF2-40B4-BE49-F238E27FC236}">
              <a16:creationId xmlns:a16="http://schemas.microsoft.com/office/drawing/2014/main" id="{A2C0761A-EEDE-4C51-A0F0-B611F89E0A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7" name="Host Control  247" hidden="1">
          <a:extLst>
            <a:ext uri="{FF2B5EF4-FFF2-40B4-BE49-F238E27FC236}">
              <a16:creationId xmlns:a16="http://schemas.microsoft.com/office/drawing/2014/main" id="{FB6D722D-4C9C-4DAC-90AE-503E85267E7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8" name="Host Control  248" hidden="1">
          <a:extLst>
            <a:ext uri="{FF2B5EF4-FFF2-40B4-BE49-F238E27FC236}">
              <a16:creationId xmlns:a16="http://schemas.microsoft.com/office/drawing/2014/main" id="{A41EC8F8-8703-4FAA-9548-3A65F0903CA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9" name="Host Control  249" hidden="1">
          <a:extLst>
            <a:ext uri="{FF2B5EF4-FFF2-40B4-BE49-F238E27FC236}">
              <a16:creationId xmlns:a16="http://schemas.microsoft.com/office/drawing/2014/main" id="{BF1A1610-6DF3-4963-8E04-1052D14267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0" name="Host Control  250" hidden="1">
          <a:extLst>
            <a:ext uri="{FF2B5EF4-FFF2-40B4-BE49-F238E27FC236}">
              <a16:creationId xmlns:a16="http://schemas.microsoft.com/office/drawing/2014/main" id="{CFA072B5-D099-4856-A822-DA3BD7E668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1" name="Host Control  251" hidden="1">
          <a:extLst>
            <a:ext uri="{FF2B5EF4-FFF2-40B4-BE49-F238E27FC236}">
              <a16:creationId xmlns:a16="http://schemas.microsoft.com/office/drawing/2014/main" id="{446B6864-11B9-4FA4-82EA-4D0852DEA5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2" name="Host Control  252" hidden="1">
          <a:extLst>
            <a:ext uri="{FF2B5EF4-FFF2-40B4-BE49-F238E27FC236}">
              <a16:creationId xmlns:a16="http://schemas.microsoft.com/office/drawing/2014/main" id="{B07E6F99-2CAF-492E-BE33-E7AAC3614C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3" name="Host Control  253" hidden="1">
          <a:extLst>
            <a:ext uri="{FF2B5EF4-FFF2-40B4-BE49-F238E27FC236}">
              <a16:creationId xmlns:a16="http://schemas.microsoft.com/office/drawing/2014/main" id="{F50389D9-8EA5-440A-B90D-C7006E554E0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4" name="Host Control  254" hidden="1">
          <a:extLst>
            <a:ext uri="{FF2B5EF4-FFF2-40B4-BE49-F238E27FC236}">
              <a16:creationId xmlns:a16="http://schemas.microsoft.com/office/drawing/2014/main" id="{FB4B54E5-26DB-4F60-8E31-3E2883FCC66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5" name="Host Control  255" hidden="1">
          <a:extLst>
            <a:ext uri="{FF2B5EF4-FFF2-40B4-BE49-F238E27FC236}">
              <a16:creationId xmlns:a16="http://schemas.microsoft.com/office/drawing/2014/main" id="{0A77BBD7-F64D-4702-A29B-3E47746C7B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6" name="Host Control  256" hidden="1">
          <a:extLst>
            <a:ext uri="{FF2B5EF4-FFF2-40B4-BE49-F238E27FC236}">
              <a16:creationId xmlns:a16="http://schemas.microsoft.com/office/drawing/2014/main" id="{2C16E274-9242-4E0F-AA7A-47327B297D0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7" name="Host Control  257" hidden="1">
          <a:extLst>
            <a:ext uri="{FF2B5EF4-FFF2-40B4-BE49-F238E27FC236}">
              <a16:creationId xmlns:a16="http://schemas.microsoft.com/office/drawing/2014/main" id="{B14D04C3-3209-41E0-84CF-EE3D5D7EED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8" name="Host Control  258" hidden="1">
          <a:extLst>
            <a:ext uri="{FF2B5EF4-FFF2-40B4-BE49-F238E27FC236}">
              <a16:creationId xmlns:a16="http://schemas.microsoft.com/office/drawing/2014/main" id="{F4FD5710-B08D-4154-B847-0038AD15E6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9" name="Host Control  259" hidden="1">
          <a:extLst>
            <a:ext uri="{FF2B5EF4-FFF2-40B4-BE49-F238E27FC236}">
              <a16:creationId xmlns:a16="http://schemas.microsoft.com/office/drawing/2014/main" id="{335F9B26-14F7-4E2A-A729-BFF3F32275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0" name="Host Control  260" hidden="1">
          <a:extLst>
            <a:ext uri="{FF2B5EF4-FFF2-40B4-BE49-F238E27FC236}">
              <a16:creationId xmlns:a16="http://schemas.microsoft.com/office/drawing/2014/main" id="{3989E7FA-904E-4D1A-B2A4-748C7DC247B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1" name="Host Control  261" hidden="1">
          <a:extLst>
            <a:ext uri="{FF2B5EF4-FFF2-40B4-BE49-F238E27FC236}">
              <a16:creationId xmlns:a16="http://schemas.microsoft.com/office/drawing/2014/main" id="{18DD372D-D7D0-4666-B94C-1E3EAD1E1D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2" name="Host Control  262" hidden="1">
          <a:extLst>
            <a:ext uri="{FF2B5EF4-FFF2-40B4-BE49-F238E27FC236}">
              <a16:creationId xmlns:a16="http://schemas.microsoft.com/office/drawing/2014/main" id="{B0462C12-6C4B-4123-946B-85BDD0E16B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3" name="Host Control  263" hidden="1">
          <a:extLst>
            <a:ext uri="{FF2B5EF4-FFF2-40B4-BE49-F238E27FC236}">
              <a16:creationId xmlns:a16="http://schemas.microsoft.com/office/drawing/2014/main" id="{D1CBC1B2-256C-4A08-9E69-C0A2DD46727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4" name="Host Control  267" hidden="1">
          <a:extLst>
            <a:ext uri="{FF2B5EF4-FFF2-40B4-BE49-F238E27FC236}">
              <a16:creationId xmlns:a16="http://schemas.microsoft.com/office/drawing/2014/main" id="{2AFDBF23-90D0-4B8E-86E3-48090BCC139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5" name="Host Control  268" hidden="1">
          <a:extLst>
            <a:ext uri="{FF2B5EF4-FFF2-40B4-BE49-F238E27FC236}">
              <a16:creationId xmlns:a16="http://schemas.microsoft.com/office/drawing/2014/main" id="{BDD6DB2A-B579-463D-B9D3-1F13D21D85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6" name="Host Control  269" hidden="1">
          <a:extLst>
            <a:ext uri="{FF2B5EF4-FFF2-40B4-BE49-F238E27FC236}">
              <a16:creationId xmlns:a16="http://schemas.microsoft.com/office/drawing/2014/main" id="{52E48102-359E-4D95-97EE-0EEB50BEF65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7" name="Host Control  270" hidden="1">
          <a:extLst>
            <a:ext uri="{FF2B5EF4-FFF2-40B4-BE49-F238E27FC236}">
              <a16:creationId xmlns:a16="http://schemas.microsoft.com/office/drawing/2014/main" id="{C3976AAE-EA5D-454B-B1D6-CB24A34C94B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8" name="Host Control  271" hidden="1">
          <a:extLst>
            <a:ext uri="{FF2B5EF4-FFF2-40B4-BE49-F238E27FC236}">
              <a16:creationId xmlns:a16="http://schemas.microsoft.com/office/drawing/2014/main" id="{E33E0EF0-E7F6-4D59-97FD-B18D79BED5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9" name="Host Control  272" hidden="1">
          <a:extLst>
            <a:ext uri="{FF2B5EF4-FFF2-40B4-BE49-F238E27FC236}">
              <a16:creationId xmlns:a16="http://schemas.microsoft.com/office/drawing/2014/main" id="{6BFD635D-6DBF-4C2B-982C-6EB1EA6BB5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0" name="Host Control  273" hidden="1">
          <a:extLst>
            <a:ext uri="{FF2B5EF4-FFF2-40B4-BE49-F238E27FC236}">
              <a16:creationId xmlns:a16="http://schemas.microsoft.com/office/drawing/2014/main" id="{9AD4901B-3F4F-4E62-9591-ECF4A3C6CF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1" name="Host Control  274" hidden="1">
          <a:extLst>
            <a:ext uri="{FF2B5EF4-FFF2-40B4-BE49-F238E27FC236}">
              <a16:creationId xmlns:a16="http://schemas.microsoft.com/office/drawing/2014/main" id="{8C814694-73CF-47C4-B5E4-3A8344AA28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2" name="Host Control  275" hidden="1">
          <a:extLst>
            <a:ext uri="{FF2B5EF4-FFF2-40B4-BE49-F238E27FC236}">
              <a16:creationId xmlns:a16="http://schemas.microsoft.com/office/drawing/2014/main" id="{E4A182EB-7B29-4BA6-B93F-69ACC50D2EF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3" name="Host Control  276" hidden="1">
          <a:extLst>
            <a:ext uri="{FF2B5EF4-FFF2-40B4-BE49-F238E27FC236}">
              <a16:creationId xmlns:a16="http://schemas.microsoft.com/office/drawing/2014/main" id="{2066D45B-59F3-4F87-AFC5-96326145DD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4" name="Host Control  277" hidden="1">
          <a:extLst>
            <a:ext uri="{FF2B5EF4-FFF2-40B4-BE49-F238E27FC236}">
              <a16:creationId xmlns:a16="http://schemas.microsoft.com/office/drawing/2014/main" id="{EEFEE8E9-3D8A-4838-9C3A-CF1256EF937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5" name="Host Control  278" hidden="1">
          <a:extLst>
            <a:ext uri="{FF2B5EF4-FFF2-40B4-BE49-F238E27FC236}">
              <a16:creationId xmlns:a16="http://schemas.microsoft.com/office/drawing/2014/main" id="{BBB4849B-53E8-48E5-917E-ABB219DA03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6" name="Host Control  279" hidden="1">
          <a:extLst>
            <a:ext uri="{FF2B5EF4-FFF2-40B4-BE49-F238E27FC236}">
              <a16:creationId xmlns:a16="http://schemas.microsoft.com/office/drawing/2014/main" id="{9495A6BB-13E5-4F51-8D7E-76E277519D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7" name="Host Control  280" hidden="1">
          <a:extLst>
            <a:ext uri="{FF2B5EF4-FFF2-40B4-BE49-F238E27FC236}">
              <a16:creationId xmlns:a16="http://schemas.microsoft.com/office/drawing/2014/main" id="{1300936F-9CD0-4A68-AFD1-2F976047780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8" name="Host Control  281" hidden="1">
          <a:extLst>
            <a:ext uri="{FF2B5EF4-FFF2-40B4-BE49-F238E27FC236}">
              <a16:creationId xmlns:a16="http://schemas.microsoft.com/office/drawing/2014/main" id="{887C3461-0B4D-44D9-8BF9-0FA5001D8E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9" name="Host Control  282" hidden="1">
          <a:extLst>
            <a:ext uri="{FF2B5EF4-FFF2-40B4-BE49-F238E27FC236}">
              <a16:creationId xmlns:a16="http://schemas.microsoft.com/office/drawing/2014/main" id="{B45C80B3-641C-463A-AE2E-35D609E776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0" name="Host Control  283" hidden="1">
          <a:extLst>
            <a:ext uri="{FF2B5EF4-FFF2-40B4-BE49-F238E27FC236}">
              <a16:creationId xmlns:a16="http://schemas.microsoft.com/office/drawing/2014/main" id="{5C2DB7A2-14F1-4C96-9419-49E5D7DF30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1" name="Host Control  284" hidden="1">
          <a:extLst>
            <a:ext uri="{FF2B5EF4-FFF2-40B4-BE49-F238E27FC236}">
              <a16:creationId xmlns:a16="http://schemas.microsoft.com/office/drawing/2014/main" id="{0E0CCFD2-50C0-403C-A890-AAE3965046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2" name="Host Control  285" hidden="1">
          <a:extLst>
            <a:ext uri="{FF2B5EF4-FFF2-40B4-BE49-F238E27FC236}">
              <a16:creationId xmlns:a16="http://schemas.microsoft.com/office/drawing/2014/main" id="{22C22AF4-AA74-4811-AFC7-DB89CFDF1E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3" name="Host Control  286" hidden="1">
          <a:extLst>
            <a:ext uri="{FF2B5EF4-FFF2-40B4-BE49-F238E27FC236}">
              <a16:creationId xmlns:a16="http://schemas.microsoft.com/office/drawing/2014/main" id="{741DAF59-6F16-47C1-92A1-6FF90D2B2C3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4" name="Host Control  287" hidden="1">
          <a:extLst>
            <a:ext uri="{FF2B5EF4-FFF2-40B4-BE49-F238E27FC236}">
              <a16:creationId xmlns:a16="http://schemas.microsoft.com/office/drawing/2014/main" id="{5978EF51-CA0B-41F1-ADCF-533E06D3DD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5" name="Host Control  288" hidden="1">
          <a:extLst>
            <a:ext uri="{FF2B5EF4-FFF2-40B4-BE49-F238E27FC236}">
              <a16:creationId xmlns:a16="http://schemas.microsoft.com/office/drawing/2014/main" id="{EA3B9F38-CD26-4E3F-9646-897025D870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6" name="Host Control  289" hidden="1">
          <a:extLst>
            <a:ext uri="{FF2B5EF4-FFF2-40B4-BE49-F238E27FC236}">
              <a16:creationId xmlns:a16="http://schemas.microsoft.com/office/drawing/2014/main" id="{1F7554E5-EAFE-4A82-A332-912DB5DBBE1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7" name="Host Control  290" hidden="1">
          <a:extLst>
            <a:ext uri="{FF2B5EF4-FFF2-40B4-BE49-F238E27FC236}">
              <a16:creationId xmlns:a16="http://schemas.microsoft.com/office/drawing/2014/main" id="{8A812583-811F-4C4F-8C94-E4994C31D8C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8" name="Host Control  291" hidden="1">
          <a:extLst>
            <a:ext uri="{FF2B5EF4-FFF2-40B4-BE49-F238E27FC236}">
              <a16:creationId xmlns:a16="http://schemas.microsoft.com/office/drawing/2014/main" id="{A7234E13-DD5F-4308-B48B-B59F4CBA03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9" name="Host Control  292" hidden="1">
          <a:extLst>
            <a:ext uri="{FF2B5EF4-FFF2-40B4-BE49-F238E27FC236}">
              <a16:creationId xmlns:a16="http://schemas.microsoft.com/office/drawing/2014/main" id="{E8BC9190-CC7B-4B44-877F-5BDAC16D4CF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0" name="Host Control  293" hidden="1">
          <a:extLst>
            <a:ext uri="{FF2B5EF4-FFF2-40B4-BE49-F238E27FC236}">
              <a16:creationId xmlns:a16="http://schemas.microsoft.com/office/drawing/2014/main" id="{2AD65D77-92AB-400C-8EC9-EF4367C415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1" name="Host Control  294" hidden="1">
          <a:extLst>
            <a:ext uri="{FF2B5EF4-FFF2-40B4-BE49-F238E27FC236}">
              <a16:creationId xmlns:a16="http://schemas.microsoft.com/office/drawing/2014/main" id="{0280C7FE-9947-462D-8B30-1A8DE879F4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2" name="Host Control  295" hidden="1">
          <a:extLst>
            <a:ext uri="{FF2B5EF4-FFF2-40B4-BE49-F238E27FC236}">
              <a16:creationId xmlns:a16="http://schemas.microsoft.com/office/drawing/2014/main" id="{6EB445A3-E39F-4C9D-B47A-864C4285408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3" name="Host Control  296" hidden="1">
          <a:extLst>
            <a:ext uri="{FF2B5EF4-FFF2-40B4-BE49-F238E27FC236}">
              <a16:creationId xmlns:a16="http://schemas.microsoft.com/office/drawing/2014/main" id="{EB8E3A61-A912-41D8-A796-9ED7F3424B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4" name="Host Control  483" hidden="1">
          <a:extLst>
            <a:ext uri="{FF2B5EF4-FFF2-40B4-BE49-F238E27FC236}">
              <a16:creationId xmlns:a16="http://schemas.microsoft.com/office/drawing/2014/main" id="{B5DBFD24-7DE9-4085-80BE-D7188A56BA0A}"/>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5" name="Host Control  484" hidden="1">
          <a:extLst>
            <a:ext uri="{FF2B5EF4-FFF2-40B4-BE49-F238E27FC236}">
              <a16:creationId xmlns:a16="http://schemas.microsoft.com/office/drawing/2014/main" id="{5D05B78E-D7AC-487A-8527-4A705A1E6AB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6" name="Host Control  485" hidden="1">
          <a:extLst>
            <a:ext uri="{FF2B5EF4-FFF2-40B4-BE49-F238E27FC236}">
              <a16:creationId xmlns:a16="http://schemas.microsoft.com/office/drawing/2014/main" id="{8EFBFBC3-8AF9-4248-AB61-B86DD765CCE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7" name="Host Control  486" hidden="1">
          <a:extLst>
            <a:ext uri="{FF2B5EF4-FFF2-40B4-BE49-F238E27FC236}">
              <a16:creationId xmlns:a16="http://schemas.microsoft.com/office/drawing/2014/main" id="{0D2EDCD2-6C66-403D-968D-E71F28C641A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8" name="Host Control  487" hidden="1">
          <a:extLst>
            <a:ext uri="{FF2B5EF4-FFF2-40B4-BE49-F238E27FC236}">
              <a16:creationId xmlns:a16="http://schemas.microsoft.com/office/drawing/2014/main" id="{4528AD12-7490-411F-A918-800C81DE804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9" name="Host Control  488" hidden="1">
          <a:extLst>
            <a:ext uri="{FF2B5EF4-FFF2-40B4-BE49-F238E27FC236}">
              <a16:creationId xmlns:a16="http://schemas.microsoft.com/office/drawing/2014/main" id="{E3DB10E4-F272-4EAF-95B0-9CEC9AA2B40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0" name="Host Control  489" hidden="1">
          <a:extLst>
            <a:ext uri="{FF2B5EF4-FFF2-40B4-BE49-F238E27FC236}">
              <a16:creationId xmlns:a16="http://schemas.microsoft.com/office/drawing/2014/main" id="{0AF99110-6609-49C8-BD8F-8880D45D109C}"/>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1" name="Host Control  490" hidden="1">
          <a:extLst>
            <a:ext uri="{FF2B5EF4-FFF2-40B4-BE49-F238E27FC236}">
              <a16:creationId xmlns:a16="http://schemas.microsoft.com/office/drawing/2014/main" id="{E5644941-9E98-4287-B3A6-BC3FE0C7F2D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2" name="Host Control  491" hidden="1">
          <a:extLst>
            <a:ext uri="{FF2B5EF4-FFF2-40B4-BE49-F238E27FC236}">
              <a16:creationId xmlns:a16="http://schemas.microsoft.com/office/drawing/2014/main" id="{A29D781F-00FF-4D07-8129-AD6F33A1BEB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3" name="Host Control  492" hidden="1">
          <a:extLst>
            <a:ext uri="{FF2B5EF4-FFF2-40B4-BE49-F238E27FC236}">
              <a16:creationId xmlns:a16="http://schemas.microsoft.com/office/drawing/2014/main" id="{8D924198-E3C5-4AD9-82A7-A458E65D73A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4" name="Host Control  493" hidden="1">
          <a:extLst>
            <a:ext uri="{FF2B5EF4-FFF2-40B4-BE49-F238E27FC236}">
              <a16:creationId xmlns:a16="http://schemas.microsoft.com/office/drawing/2014/main" id="{4174C646-7274-4C6C-A600-0CDA6BACED0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5" name="Host Control  494" hidden="1">
          <a:extLst>
            <a:ext uri="{FF2B5EF4-FFF2-40B4-BE49-F238E27FC236}">
              <a16:creationId xmlns:a16="http://schemas.microsoft.com/office/drawing/2014/main" id="{F34CBE14-7048-4A32-B470-B8CDF835709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6" name="Host Control  495" hidden="1">
          <a:extLst>
            <a:ext uri="{FF2B5EF4-FFF2-40B4-BE49-F238E27FC236}">
              <a16:creationId xmlns:a16="http://schemas.microsoft.com/office/drawing/2014/main" id="{C823B2B5-F9F7-41AD-8568-1028F59A623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7" name="Host Control  496" hidden="1">
          <a:extLst>
            <a:ext uri="{FF2B5EF4-FFF2-40B4-BE49-F238E27FC236}">
              <a16:creationId xmlns:a16="http://schemas.microsoft.com/office/drawing/2014/main" id="{D2FCC53C-6847-4C93-9FD1-90A929F8314C}"/>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8" name="Host Control  497" hidden="1">
          <a:extLst>
            <a:ext uri="{FF2B5EF4-FFF2-40B4-BE49-F238E27FC236}">
              <a16:creationId xmlns:a16="http://schemas.microsoft.com/office/drawing/2014/main" id="{654F7880-2A37-4DFD-92BB-65A23FF288F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9" name="Host Control  498" hidden="1">
          <a:extLst>
            <a:ext uri="{FF2B5EF4-FFF2-40B4-BE49-F238E27FC236}">
              <a16:creationId xmlns:a16="http://schemas.microsoft.com/office/drawing/2014/main" id="{B3D2A599-0E48-49F3-947C-BF8121B0C447}"/>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0" name="Host Control  499" hidden="1">
          <a:extLst>
            <a:ext uri="{FF2B5EF4-FFF2-40B4-BE49-F238E27FC236}">
              <a16:creationId xmlns:a16="http://schemas.microsoft.com/office/drawing/2014/main" id="{3049FD1A-C620-4DFE-9148-CA6D6283E71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1" name="Host Control  500" hidden="1">
          <a:extLst>
            <a:ext uri="{FF2B5EF4-FFF2-40B4-BE49-F238E27FC236}">
              <a16:creationId xmlns:a16="http://schemas.microsoft.com/office/drawing/2014/main" id="{E3B5E7B1-1D32-4AA6-A7E8-4FC46F705E8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2" name="Host Control  501" hidden="1">
          <a:extLst>
            <a:ext uri="{FF2B5EF4-FFF2-40B4-BE49-F238E27FC236}">
              <a16:creationId xmlns:a16="http://schemas.microsoft.com/office/drawing/2014/main" id="{1CE3EC95-860E-4770-853D-792660DB568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3" name="Host Control  502" hidden="1">
          <a:extLst>
            <a:ext uri="{FF2B5EF4-FFF2-40B4-BE49-F238E27FC236}">
              <a16:creationId xmlns:a16="http://schemas.microsoft.com/office/drawing/2014/main" id="{28536E4A-1570-4159-8790-256CE865EF6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4" name="Host Control  503" hidden="1">
          <a:extLst>
            <a:ext uri="{FF2B5EF4-FFF2-40B4-BE49-F238E27FC236}">
              <a16:creationId xmlns:a16="http://schemas.microsoft.com/office/drawing/2014/main" id="{4E428F0D-31AC-43D8-A7C1-77FB415E312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5" name="Host Control  504" hidden="1">
          <a:extLst>
            <a:ext uri="{FF2B5EF4-FFF2-40B4-BE49-F238E27FC236}">
              <a16:creationId xmlns:a16="http://schemas.microsoft.com/office/drawing/2014/main" id="{F8381927-5C17-4661-9EEE-42993D7AA0D9}"/>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6" name="Host Control  505" hidden="1">
          <a:extLst>
            <a:ext uri="{FF2B5EF4-FFF2-40B4-BE49-F238E27FC236}">
              <a16:creationId xmlns:a16="http://schemas.microsoft.com/office/drawing/2014/main" id="{AA4B722B-5B5F-4047-92B9-225901AD52E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7" name="Host Control  506" hidden="1">
          <a:extLst>
            <a:ext uri="{FF2B5EF4-FFF2-40B4-BE49-F238E27FC236}">
              <a16:creationId xmlns:a16="http://schemas.microsoft.com/office/drawing/2014/main" id="{F2DEA333-D187-4C78-BDDD-352440A175A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8" name="Host Control  507" hidden="1">
          <a:extLst>
            <a:ext uri="{FF2B5EF4-FFF2-40B4-BE49-F238E27FC236}">
              <a16:creationId xmlns:a16="http://schemas.microsoft.com/office/drawing/2014/main" id="{E14A5238-F6C2-475A-B71F-573E8FA8C9E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9" name="Host Control  508" hidden="1">
          <a:extLst>
            <a:ext uri="{FF2B5EF4-FFF2-40B4-BE49-F238E27FC236}">
              <a16:creationId xmlns:a16="http://schemas.microsoft.com/office/drawing/2014/main" id="{4353286F-E769-4E46-99FA-9B3847570B9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0" name="Host Control  509" hidden="1">
          <a:extLst>
            <a:ext uri="{FF2B5EF4-FFF2-40B4-BE49-F238E27FC236}">
              <a16:creationId xmlns:a16="http://schemas.microsoft.com/office/drawing/2014/main" id="{9C7CE629-BBA6-4EFC-8D38-23D062C2E62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1" name="Host Control  510" hidden="1">
          <a:extLst>
            <a:ext uri="{FF2B5EF4-FFF2-40B4-BE49-F238E27FC236}">
              <a16:creationId xmlns:a16="http://schemas.microsoft.com/office/drawing/2014/main" id="{5F74BA40-DE1A-446C-A47B-41431670E19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2" name="Host Control  511" hidden="1">
          <a:extLst>
            <a:ext uri="{FF2B5EF4-FFF2-40B4-BE49-F238E27FC236}">
              <a16:creationId xmlns:a16="http://schemas.microsoft.com/office/drawing/2014/main" id="{8D553D4E-FE40-4F56-A46E-8C9E59D40ABA}"/>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3" name="Host Control  512" hidden="1">
          <a:extLst>
            <a:ext uri="{FF2B5EF4-FFF2-40B4-BE49-F238E27FC236}">
              <a16:creationId xmlns:a16="http://schemas.microsoft.com/office/drawing/2014/main" id="{4D13C234-99CE-4593-B076-A9385D7F727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2248535" cy="304800"/>
    <xdr:sp macro="" textlink="">
      <xdr:nvSpPr>
        <xdr:cNvPr id="5104" name="Host Control  517" hidden="1">
          <a:extLst>
            <a:ext uri="{FF2B5EF4-FFF2-40B4-BE49-F238E27FC236}">
              <a16:creationId xmlns:a16="http://schemas.microsoft.com/office/drawing/2014/main" id="{23DDC532-ACB2-446A-8AD1-F886E45C244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5" name="Host Control  518" hidden="1">
          <a:extLst>
            <a:ext uri="{FF2B5EF4-FFF2-40B4-BE49-F238E27FC236}">
              <a16:creationId xmlns:a16="http://schemas.microsoft.com/office/drawing/2014/main" id="{D6A0C109-A245-4AB1-B21D-014118857D2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6" name="Host Control  519" hidden="1">
          <a:extLst>
            <a:ext uri="{FF2B5EF4-FFF2-40B4-BE49-F238E27FC236}">
              <a16:creationId xmlns:a16="http://schemas.microsoft.com/office/drawing/2014/main" id="{EFD9F978-24FD-4A1E-AE90-9A82BC70E2A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7" name="Host Control  520" hidden="1">
          <a:extLst>
            <a:ext uri="{FF2B5EF4-FFF2-40B4-BE49-F238E27FC236}">
              <a16:creationId xmlns:a16="http://schemas.microsoft.com/office/drawing/2014/main" id="{0CBC3E11-24D1-46CE-97F8-A1728242520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8" name="Host Control  521" hidden="1">
          <a:extLst>
            <a:ext uri="{FF2B5EF4-FFF2-40B4-BE49-F238E27FC236}">
              <a16:creationId xmlns:a16="http://schemas.microsoft.com/office/drawing/2014/main" id="{5EB1CE86-7FC3-4B0D-8C77-1F3CD000BA7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9" name="Host Control  522" hidden="1">
          <a:extLst>
            <a:ext uri="{FF2B5EF4-FFF2-40B4-BE49-F238E27FC236}">
              <a16:creationId xmlns:a16="http://schemas.microsoft.com/office/drawing/2014/main" id="{D9A6518A-8B23-4CAF-AE00-7445D3C4064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0" name="Host Control  523" hidden="1">
          <a:extLst>
            <a:ext uri="{FF2B5EF4-FFF2-40B4-BE49-F238E27FC236}">
              <a16:creationId xmlns:a16="http://schemas.microsoft.com/office/drawing/2014/main" id="{1C700F8A-B522-44E1-A47B-E5D4DBEBE14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1" name="Host Control  524" hidden="1">
          <a:extLst>
            <a:ext uri="{FF2B5EF4-FFF2-40B4-BE49-F238E27FC236}">
              <a16:creationId xmlns:a16="http://schemas.microsoft.com/office/drawing/2014/main" id="{79C3D818-7429-4B36-9199-D0F3DD6BA4D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2" name="Host Control  525" hidden="1">
          <a:extLst>
            <a:ext uri="{FF2B5EF4-FFF2-40B4-BE49-F238E27FC236}">
              <a16:creationId xmlns:a16="http://schemas.microsoft.com/office/drawing/2014/main" id="{C598AA22-4271-4442-911A-1E647675A8B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3" name="Host Control  526" hidden="1">
          <a:extLst>
            <a:ext uri="{FF2B5EF4-FFF2-40B4-BE49-F238E27FC236}">
              <a16:creationId xmlns:a16="http://schemas.microsoft.com/office/drawing/2014/main" id="{3A562C60-5BC3-4EC5-B05A-D19E7C36CF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4" name="Host Control  527" hidden="1">
          <a:extLst>
            <a:ext uri="{FF2B5EF4-FFF2-40B4-BE49-F238E27FC236}">
              <a16:creationId xmlns:a16="http://schemas.microsoft.com/office/drawing/2014/main" id="{211A3730-87C6-47B4-A253-7CCBCDA8EE1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5" name="Host Control  528" hidden="1">
          <a:extLst>
            <a:ext uri="{FF2B5EF4-FFF2-40B4-BE49-F238E27FC236}">
              <a16:creationId xmlns:a16="http://schemas.microsoft.com/office/drawing/2014/main" id="{8C5A5F37-A217-4602-B5A1-D2427EC05D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6" name="Host Control  529" hidden="1">
          <a:extLst>
            <a:ext uri="{FF2B5EF4-FFF2-40B4-BE49-F238E27FC236}">
              <a16:creationId xmlns:a16="http://schemas.microsoft.com/office/drawing/2014/main" id="{DD64498C-AEBC-4D3B-BEC7-647963AA2F2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7" name="Host Control  530" hidden="1">
          <a:extLst>
            <a:ext uri="{FF2B5EF4-FFF2-40B4-BE49-F238E27FC236}">
              <a16:creationId xmlns:a16="http://schemas.microsoft.com/office/drawing/2014/main" id="{8323B535-6B13-48D4-941F-46996C941D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8" name="Host Control  531" hidden="1">
          <a:extLst>
            <a:ext uri="{FF2B5EF4-FFF2-40B4-BE49-F238E27FC236}">
              <a16:creationId xmlns:a16="http://schemas.microsoft.com/office/drawing/2014/main" id="{B0A420E5-0002-4791-91CF-2EE4F60A4FF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9" name="Host Control  532" hidden="1">
          <a:extLst>
            <a:ext uri="{FF2B5EF4-FFF2-40B4-BE49-F238E27FC236}">
              <a16:creationId xmlns:a16="http://schemas.microsoft.com/office/drawing/2014/main" id="{DCD0BC90-63A4-4B07-9503-68AE8E347A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0" name="Host Control  533" hidden="1">
          <a:extLst>
            <a:ext uri="{FF2B5EF4-FFF2-40B4-BE49-F238E27FC236}">
              <a16:creationId xmlns:a16="http://schemas.microsoft.com/office/drawing/2014/main" id="{8D7F3934-601D-46AE-BDC6-E46AF5BCDC74}"/>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1" name="Host Control  534" hidden="1">
          <a:extLst>
            <a:ext uri="{FF2B5EF4-FFF2-40B4-BE49-F238E27FC236}">
              <a16:creationId xmlns:a16="http://schemas.microsoft.com/office/drawing/2014/main" id="{6614A4B4-421F-4FCE-82FF-A767FDCEB8C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2" name="Host Control  535" hidden="1">
          <a:extLst>
            <a:ext uri="{FF2B5EF4-FFF2-40B4-BE49-F238E27FC236}">
              <a16:creationId xmlns:a16="http://schemas.microsoft.com/office/drawing/2014/main" id="{EE13C8AE-1475-446E-BFBC-87B7140A3E0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3" name="Host Control  536" hidden="1">
          <a:extLst>
            <a:ext uri="{FF2B5EF4-FFF2-40B4-BE49-F238E27FC236}">
              <a16:creationId xmlns:a16="http://schemas.microsoft.com/office/drawing/2014/main" id="{235CCE26-28C6-4CEC-B033-65BD351197F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4" name="Host Control  537" hidden="1">
          <a:extLst>
            <a:ext uri="{FF2B5EF4-FFF2-40B4-BE49-F238E27FC236}">
              <a16:creationId xmlns:a16="http://schemas.microsoft.com/office/drawing/2014/main" id="{35E02AA0-245A-4459-A2A0-512918740C1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5" name="Host Control  538" hidden="1">
          <a:extLst>
            <a:ext uri="{FF2B5EF4-FFF2-40B4-BE49-F238E27FC236}">
              <a16:creationId xmlns:a16="http://schemas.microsoft.com/office/drawing/2014/main" id="{69DE163B-D316-4B33-81F6-524FD8CB620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6" name="Host Control  539" hidden="1">
          <a:extLst>
            <a:ext uri="{FF2B5EF4-FFF2-40B4-BE49-F238E27FC236}">
              <a16:creationId xmlns:a16="http://schemas.microsoft.com/office/drawing/2014/main" id="{1AB8D71E-CE21-4E26-B0F7-48387ABC329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7" name="Host Control  540" hidden="1">
          <a:extLst>
            <a:ext uri="{FF2B5EF4-FFF2-40B4-BE49-F238E27FC236}">
              <a16:creationId xmlns:a16="http://schemas.microsoft.com/office/drawing/2014/main" id="{2DB254E3-E56A-4DD8-B0A8-D7A55E06E28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8" name="Host Control  541" hidden="1">
          <a:extLst>
            <a:ext uri="{FF2B5EF4-FFF2-40B4-BE49-F238E27FC236}">
              <a16:creationId xmlns:a16="http://schemas.microsoft.com/office/drawing/2014/main" id="{08DA5B2E-B586-4646-AAC6-1C23298C671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9" name="Host Control  542" hidden="1">
          <a:extLst>
            <a:ext uri="{FF2B5EF4-FFF2-40B4-BE49-F238E27FC236}">
              <a16:creationId xmlns:a16="http://schemas.microsoft.com/office/drawing/2014/main" id="{7E13C2CE-2D23-42D2-9359-42B4768F82A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0" name="Host Control  543" hidden="1">
          <a:extLst>
            <a:ext uri="{FF2B5EF4-FFF2-40B4-BE49-F238E27FC236}">
              <a16:creationId xmlns:a16="http://schemas.microsoft.com/office/drawing/2014/main" id="{E5F57CD1-8C76-4FEB-9721-7623F6DC0EA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1" name="Host Control  544" hidden="1">
          <a:extLst>
            <a:ext uri="{FF2B5EF4-FFF2-40B4-BE49-F238E27FC236}">
              <a16:creationId xmlns:a16="http://schemas.microsoft.com/office/drawing/2014/main" id="{643484A8-A378-4AB3-970F-BFA062DCF23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2" name="Host Control  545" hidden="1">
          <a:extLst>
            <a:ext uri="{FF2B5EF4-FFF2-40B4-BE49-F238E27FC236}">
              <a16:creationId xmlns:a16="http://schemas.microsoft.com/office/drawing/2014/main" id="{2031E769-BD75-4317-B3C7-96F8EF85E5F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3" name="Host Control  583" hidden="1">
          <a:extLst>
            <a:ext uri="{FF2B5EF4-FFF2-40B4-BE49-F238E27FC236}">
              <a16:creationId xmlns:a16="http://schemas.microsoft.com/office/drawing/2014/main" id="{915A5A51-61A8-48D5-B7ED-09CB25F6211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4" name="Host Control  584" hidden="1">
          <a:extLst>
            <a:ext uri="{FF2B5EF4-FFF2-40B4-BE49-F238E27FC236}">
              <a16:creationId xmlns:a16="http://schemas.microsoft.com/office/drawing/2014/main" id="{9025EF76-26D4-4AE7-988C-F1AFF20EABE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5" name="Host Control  585" hidden="1">
          <a:extLst>
            <a:ext uri="{FF2B5EF4-FFF2-40B4-BE49-F238E27FC236}">
              <a16:creationId xmlns:a16="http://schemas.microsoft.com/office/drawing/2014/main" id="{71E96AE0-1D36-4C4B-9A1E-19F92E7F1E2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6" name="Host Control  586" hidden="1">
          <a:extLst>
            <a:ext uri="{FF2B5EF4-FFF2-40B4-BE49-F238E27FC236}">
              <a16:creationId xmlns:a16="http://schemas.microsoft.com/office/drawing/2014/main" id="{19D761C4-CC51-43F4-900A-41618E5A564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7" name="Host Control  587" hidden="1">
          <a:extLst>
            <a:ext uri="{FF2B5EF4-FFF2-40B4-BE49-F238E27FC236}">
              <a16:creationId xmlns:a16="http://schemas.microsoft.com/office/drawing/2014/main" id="{5F0F7763-D13A-4DE5-8EBE-5C23ABBFD64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8" name="Host Control  588" hidden="1">
          <a:extLst>
            <a:ext uri="{FF2B5EF4-FFF2-40B4-BE49-F238E27FC236}">
              <a16:creationId xmlns:a16="http://schemas.microsoft.com/office/drawing/2014/main" id="{98EFA5E6-A7C1-4303-99F2-5D897C2E8D1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9" name="Host Control  589" hidden="1">
          <a:extLst>
            <a:ext uri="{FF2B5EF4-FFF2-40B4-BE49-F238E27FC236}">
              <a16:creationId xmlns:a16="http://schemas.microsoft.com/office/drawing/2014/main" id="{3F33C109-14C5-4E3F-AF47-0617AABD0D2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0" name="Host Control  590" hidden="1">
          <a:extLst>
            <a:ext uri="{FF2B5EF4-FFF2-40B4-BE49-F238E27FC236}">
              <a16:creationId xmlns:a16="http://schemas.microsoft.com/office/drawing/2014/main" id="{17160458-8F5B-4FE1-B3AE-30224FB2EF0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1" name="Host Control  591" hidden="1">
          <a:extLst>
            <a:ext uri="{FF2B5EF4-FFF2-40B4-BE49-F238E27FC236}">
              <a16:creationId xmlns:a16="http://schemas.microsoft.com/office/drawing/2014/main" id="{0216A911-B567-4029-957C-E13F4D66D79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2" name="Host Control  592" hidden="1">
          <a:extLst>
            <a:ext uri="{FF2B5EF4-FFF2-40B4-BE49-F238E27FC236}">
              <a16:creationId xmlns:a16="http://schemas.microsoft.com/office/drawing/2014/main" id="{1C28A81D-86BB-49E9-B76B-150B7A49125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3" name="Host Control  593" hidden="1">
          <a:extLst>
            <a:ext uri="{FF2B5EF4-FFF2-40B4-BE49-F238E27FC236}">
              <a16:creationId xmlns:a16="http://schemas.microsoft.com/office/drawing/2014/main" id="{23FC7C56-8D93-4DF5-B56D-E580DDF150B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4" name="Host Control  594" hidden="1">
          <a:extLst>
            <a:ext uri="{FF2B5EF4-FFF2-40B4-BE49-F238E27FC236}">
              <a16:creationId xmlns:a16="http://schemas.microsoft.com/office/drawing/2014/main" id="{4AEC4AD5-5E22-4EFC-B0F6-A463682C10C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5" name="Host Control  595" hidden="1">
          <a:extLst>
            <a:ext uri="{FF2B5EF4-FFF2-40B4-BE49-F238E27FC236}">
              <a16:creationId xmlns:a16="http://schemas.microsoft.com/office/drawing/2014/main" id="{BFFD289B-FCC8-4ECC-AA97-A9AF75CA82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6" name="Host Control  596" hidden="1">
          <a:extLst>
            <a:ext uri="{FF2B5EF4-FFF2-40B4-BE49-F238E27FC236}">
              <a16:creationId xmlns:a16="http://schemas.microsoft.com/office/drawing/2014/main" id="{723FE5C2-9EB5-49F7-9725-ECA98EFCF0D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7" name="Host Control  597" hidden="1">
          <a:extLst>
            <a:ext uri="{FF2B5EF4-FFF2-40B4-BE49-F238E27FC236}">
              <a16:creationId xmlns:a16="http://schemas.microsoft.com/office/drawing/2014/main" id="{A8ED6C26-C56D-49E9-9B11-0BD0F1A06E0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8" name="Host Control  598" hidden="1">
          <a:extLst>
            <a:ext uri="{FF2B5EF4-FFF2-40B4-BE49-F238E27FC236}">
              <a16:creationId xmlns:a16="http://schemas.microsoft.com/office/drawing/2014/main" id="{48BCB42D-8387-42F5-954B-FED0BFF4576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9" name="Host Control  599" hidden="1">
          <a:extLst>
            <a:ext uri="{FF2B5EF4-FFF2-40B4-BE49-F238E27FC236}">
              <a16:creationId xmlns:a16="http://schemas.microsoft.com/office/drawing/2014/main" id="{357761E0-E20E-4C02-8FCF-312ACB0600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0" name="Host Control  600" hidden="1">
          <a:extLst>
            <a:ext uri="{FF2B5EF4-FFF2-40B4-BE49-F238E27FC236}">
              <a16:creationId xmlns:a16="http://schemas.microsoft.com/office/drawing/2014/main" id="{567740F2-F3D3-486F-A3FD-0B33558ED7C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1" name="Host Control  601" hidden="1">
          <a:extLst>
            <a:ext uri="{FF2B5EF4-FFF2-40B4-BE49-F238E27FC236}">
              <a16:creationId xmlns:a16="http://schemas.microsoft.com/office/drawing/2014/main" id="{3534546C-AD56-4D03-B5BB-F616842C9B8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2" name="Host Control  602" hidden="1">
          <a:extLst>
            <a:ext uri="{FF2B5EF4-FFF2-40B4-BE49-F238E27FC236}">
              <a16:creationId xmlns:a16="http://schemas.microsoft.com/office/drawing/2014/main" id="{F1B07ACD-A7DA-4A60-8DD5-4F9F4D72101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3" name="Host Control  603" hidden="1">
          <a:extLst>
            <a:ext uri="{FF2B5EF4-FFF2-40B4-BE49-F238E27FC236}">
              <a16:creationId xmlns:a16="http://schemas.microsoft.com/office/drawing/2014/main" id="{F680BEAB-78E3-47E0-A2C1-CD0009E836C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4" name="Host Control  604" hidden="1">
          <a:extLst>
            <a:ext uri="{FF2B5EF4-FFF2-40B4-BE49-F238E27FC236}">
              <a16:creationId xmlns:a16="http://schemas.microsoft.com/office/drawing/2014/main" id="{74157B62-0C10-40AA-A413-76088F75705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5" name="Host Control  605" hidden="1">
          <a:extLst>
            <a:ext uri="{FF2B5EF4-FFF2-40B4-BE49-F238E27FC236}">
              <a16:creationId xmlns:a16="http://schemas.microsoft.com/office/drawing/2014/main" id="{17B5D993-206F-42D5-A31B-A604621B570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6" name="Host Control  606" hidden="1">
          <a:extLst>
            <a:ext uri="{FF2B5EF4-FFF2-40B4-BE49-F238E27FC236}">
              <a16:creationId xmlns:a16="http://schemas.microsoft.com/office/drawing/2014/main" id="{63C25D6F-1A56-434C-8A5E-961D7EF2DAB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7" name="Host Control  607" hidden="1">
          <a:extLst>
            <a:ext uri="{FF2B5EF4-FFF2-40B4-BE49-F238E27FC236}">
              <a16:creationId xmlns:a16="http://schemas.microsoft.com/office/drawing/2014/main" id="{A95F5635-D9C5-4D78-A83F-A4CF366BFF4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8" name="Host Control  608" hidden="1">
          <a:extLst>
            <a:ext uri="{FF2B5EF4-FFF2-40B4-BE49-F238E27FC236}">
              <a16:creationId xmlns:a16="http://schemas.microsoft.com/office/drawing/2014/main" id="{0819DFAC-760C-4FDE-9FE8-96F709CF99F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9" name="Host Control  609" hidden="1">
          <a:extLst>
            <a:ext uri="{FF2B5EF4-FFF2-40B4-BE49-F238E27FC236}">
              <a16:creationId xmlns:a16="http://schemas.microsoft.com/office/drawing/2014/main" id="{F928D9F5-1FB1-47E5-AF54-B99FA9796BF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60" name="Host Control  610" hidden="1">
          <a:extLst>
            <a:ext uri="{FF2B5EF4-FFF2-40B4-BE49-F238E27FC236}">
              <a16:creationId xmlns:a16="http://schemas.microsoft.com/office/drawing/2014/main" id="{CA77EA0C-6261-4058-95E3-E5DEDF77D42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61" name="Host Control  611" hidden="1">
          <a:extLst>
            <a:ext uri="{FF2B5EF4-FFF2-40B4-BE49-F238E27FC236}">
              <a16:creationId xmlns:a16="http://schemas.microsoft.com/office/drawing/2014/main" id="{94246483-BD75-4969-8DD2-487A52CD48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1928495" cy="304800"/>
    <xdr:sp macro="" textlink="">
      <xdr:nvSpPr>
        <xdr:cNvPr id="5162" name="Host Control  483" hidden="1">
          <a:extLst>
            <a:ext uri="{FF2B5EF4-FFF2-40B4-BE49-F238E27FC236}">
              <a16:creationId xmlns:a16="http://schemas.microsoft.com/office/drawing/2014/main" id="{C41113CF-D00D-4D10-A4FC-BA640FC983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3" name="Host Control  484" hidden="1">
          <a:extLst>
            <a:ext uri="{FF2B5EF4-FFF2-40B4-BE49-F238E27FC236}">
              <a16:creationId xmlns:a16="http://schemas.microsoft.com/office/drawing/2014/main" id="{97614B62-BD2E-4FE9-9AD2-E13B1FAEA0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4" name="Host Control  485" hidden="1">
          <a:extLst>
            <a:ext uri="{FF2B5EF4-FFF2-40B4-BE49-F238E27FC236}">
              <a16:creationId xmlns:a16="http://schemas.microsoft.com/office/drawing/2014/main" id="{88FAF269-A470-43C3-8F79-58F3229439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5" name="Host Control  486" hidden="1">
          <a:extLst>
            <a:ext uri="{FF2B5EF4-FFF2-40B4-BE49-F238E27FC236}">
              <a16:creationId xmlns:a16="http://schemas.microsoft.com/office/drawing/2014/main" id="{4FC0750B-9F26-427C-871C-68BB38B7E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6" name="Host Control  487" hidden="1">
          <a:extLst>
            <a:ext uri="{FF2B5EF4-FFF2-40B4-BE49-F238E27FC236}">
              <a16:creationId xmlns:a16="http://schemas.microsoft.com/office/drawing/2014/main" id="{732969CC-C23D-4844-8391-FF7BDD4E56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7" name="Host Control  488" hidden="1">
          <a:extLst>
            <a:ext uri="{FF2B5EF4-FFF2-40B4-BE49-F238E27FC236}">
              <a16:creationId xmlns:a16="http://schemas.microsoft.com/office/drawing/2014/main" id="{ED962702-BBC6-4A75-A923-F9CF9C95AD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8" name="Host Control  489" hidden="1">
          <a:extLst>
            <a:ext uri="{FF2B5EF4-FFF2-40B4-BE49-F238E27FC236}">
              <a16:creationId xmlns:a16="http://schemas.microsoft.com/office/drawing/2014/main" id="{524A7D61-887D-40EE-BC3D-8CC32ED141F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9" name="Host Control  490" hidden="1">
          <a:extLst>
            <a:ext uri="{FF2B5EF4-FFF2-40B4-BE49-F238E27FC236}">
              <a16:creationId xmlns:a16="http://schemas.microsoft.com/office/drawing/2014/main" id="{B550DB93-CE9A-4209-A6A7-2C60100B5CF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0" name="Host Control  491" hidden="1">
          <a:extLst>
            <a:ext uri="{FF2B5EF4-FFF2-40B4-BE49-F238E27FC236}">
              <a16:creationId xmlns:a16="http://schemas.microsoft.com/office/drawing/2014/main" id="{A3732B92-CD5B-4A39-91CD-5872B9B0B2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1" name="Host Control  492" hidden="1">
          <a:extLst>
            <a:ext uri="{FF2B5EF4-FFF2-40B4-BE49-F238E27FC236}">
              <a16:creationId xmlns:a16="http://schemas.microsoft.com/office/drawing/2014/main" id="{42BA6A61-EC82-488A-B98C-C8C3E02880E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2" name="Host Control  493" hidden="1">
          <a:extLst>
            <a:ext uri="{FF2B5EF4-FFF2-40B4-BE49-F238E27FC236}">
              <a16:creationId xmlns:a16="http://schemas.microsoft.com/office/drawing/2014/main" id="{C537DBFF-0E3F-4129-BDFE-C9D299B56B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3" name="Host Control  494" hidden="1">
          <a:extLst>
            <a:ext uri="{FF2B5EF4-FFF2-40B4-BE49-F238E27FC236}">
              <a16:creationId xmlns:a16="http://schemas.microsoft.com/office/drawing/2014/main" id="{D3A36C06-3B6E-42D1-B83F-7033A1EB4D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4" name="Host Control  495" hidden="1">
          <a:extLst>
            <a:ext uri="{FF2B5EF4-FFF2-40B4-BE49-F238E27FC236}">
              <a16:creationId xmlns:a16="http://schemas.microsoft.com/office/drawing/2014/main" id="{1C289007-A488-4F37-ACEC-568D6CD2A3D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5" name="Host Control  496" hidden="1">
          <a:extLst>
            <a:ext uri="{FF2B5EF4-FFF2-40B4-BE49-F238E27FC236}">
              <a16:creationId xmlns:a16="http://schemas.microsoft.com/office/drawing/2014/main" id="{799281A0-B2ED-4D89-BFB9-4D54EE4AF0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6" name="Host Control  497" hidden="1">
          <a:extLst>
            <a:ext uri="{FF2B5EF4-FFF2-40B4-BE49-F238E27FC236}">
              <a16:creationId xmlns:a16="http://schemas.microsoft.com/office/drawing/2014/main" id="{6C03D38F-A010-4DB8-AB8B-D8CE74B848A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7" name="Host Control  498" hidden="1">
          <a:extLst>
            <a:ext uri="{FF2B5EF4-FFF2-40B4-BE49-F238E27FC236}">
              <a16:creationId xmlns:a16="http://schemas.microsoft.com/office/drawing/2014/main" id="{79F6DBF6-FAA4-4727-9A98-A8D716EB3B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8" name="Host Control  499" hidden="1">
          <a:extLst>
            <a:ext uri="{FF2B5EF4-FFF2-40B4-BE49-F238E27FC236}">
              <a16:creationId xmlns:a16="http://schemas.microsoft.com/office/drawing/2014/main" id="{1D9CD0D0-1068-4230-9CF2-445F32C401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9" name="Host Control  500" hidden="1">
          <a:extLst>
            <a:ext uri="{FF2B5EF4-FFF2-40B4-BE49-F238E27FC236}">
              <a16:creationId xmlns:a16="http://schemas.microsoft.com/office/drawing/2014/main" id="{C03A712F-2DD6-45A5-B7EF-D23D3F6C0B6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0" name="Host Control  501" hidden="1">
          <a:extLst>
            <a:ext uri="{FF2B5EF4-FFF2-40B4-BE49-F238E27FC236}">
              <a16:creationId xmlns:a16="http://schemas.microsoft.com/office/drawing/2014/main" id="{E8672AD7-224A-469D-9DD5-A46EBF9AC7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1" name="Host Control  502" hidden="1">
          <a:extLst>
            <a:ext uri="{FF2B5EF4-FFF2-40B4-BE49-F238E27FC236}">
              <a16:creationId xmlns:a16="http://schemas.microsoft.com/office/drawing/2014/main" id="{1BC8E250-60B8-4F9D-866B-F5BEF3262D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2" name="Host Control  503" hidden="1">
          <a:extLst>
            <a:ext uri="{FF2B5EF4-FFF2-40B4-BE49-F238E27FC236}">
              <a16:creationId xmlns:a16="http://schemas.microsoft.com/office/drawing/2014/main" id="{6DEAF645-E6F8-4AF2-9B8C-830A823198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3" name="Host Control  504" hidden="1">
          <a:extLst>
            <a:ext uri="{FF2B5EF4-FFF2-40B4-BE49-F238E27FC236}">
              <a16:creationId xmlns:a16="http://schemas.microsoft.com/office/drawing/2014/main" id="{1465A1E1-483F-46D6-A268-1EF4051EAB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4" name="Host Control  505" hidden="1">
          <a:extLst>
            <a:ext uri="{FF2B5EF4-FFF2-40B4-BE49-F238E27FC236}">
              <a16:creationId xmlns:a16="http://schemas.microsoft.com/office/drawing/2014/main" id="{B77F331E-B5CA-47FD-8485-82DC8BFA135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5" name="Host Control  506" hidden="1">
          <a:extLst>
            <a:ext uri="{FF2B5EF4-FFF2-40B4-BE49-F238E27FC236}">
              <a16:creationId xmlns:a16="http://schemas.microsoft.com/office/drawing/2014/main" id="{4FFE3720-AA61-4EB6-8908-3E71194800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6" name="Host Control  507" hidden="1">
          <a:extLst>
            <a:ext uri="{FF2B5EF4-FFF2-40B4-BE49-F238E27FC236}">
              <a16:creationId xmlns:a16="http://schemas.microsoft.com/office/drawing/2014/main" id="{C202EABD-F6A6-4AC0-9021-DAD19E9F983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7" name="Host Control  508" hidden="1">
          <a:extLst>
            <a:ext uri="{FF2B5EF4-FFF2-40B4-BE49-F238E27FC236}">
              <a16:creationId xmlns:a16="http://schemas.microsoft.com/office/drawing/2014/main" id="{0B2E43DD-BE69-417A-AB0B-883BBC63524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8" name="Host Control  509" hidden="1">
          <a:extLst>
            <a:ext uri="{FF2B5EF4-FFF2-40B4-BE49-F238E27FC236}">
              <a16:creationId xmlns:a16="http://schemas.microsoft.com/office/drawing/2014/main" id="{2B30395F-444D-48DB-AC3B-23CAADDB887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9" name="Host Control  510" hidden="1">
          <a:extLst>
            <a:ext uri="{FF2B5EF4-FFF2-40B4-BE49-F238E27FC236}">
              <a16:creationId xmlns:a16="http://schemas.microsoft.com/office/drawing/2014/main" id="{FFEE19AB-B2D6-442B-BA0F-BF54FA70D53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90" name="Host Control  511" hidden="1">
          <a:extLst>
            <a:ext uri="{FF2B5EF4-FFF2-40B4-BE49-F238E27FC236}">
              <a16:creationId xmlns:a16="http://schemas.microsoft.com/office/drawing/2014/main" id="{EE2E7AEA-E449-4BB9-88F4-80365128553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91" name="Host Control  512" hidden="1">
          <a:extLst>
            <a:ext uri="{FF2B5EF4-FFF2-40B4-BE49-F238E27FC236}">
              <a16:creationId xmlns:a16="http://schemas.microsoft.com/office/drawing/2014/main" id="{7AE1B54B-EBF2-42A1-AD87-8F90401702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2" name="Host Control  517" hidden="1">
          <a:extLst>
            <a:ext uri="{FF2B5EF4-FFF2-40B4-BE49-F238E27FC236}">
              <a16:creationId xmlns:a16="http://schemas.microsoft.com/office/drawing/2014/main" id="{28E4011D-BF49-499C-9B97-0A3B542BC29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3" name="Host Control  518" hidden="1">
          <a:extLst>
            <a:ext uri="{FF2B5EF4-FFF2-40B4-BE49-F238E27FC236}">
              <a16:creationId xmlns:a16="http://schemas.microsoft.com/office/drawing/2014/main" id="{C7921CC4-0276-49F2-9ABE-40E164D19B5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4" name="Host Control  519" hidden="1">
          <a:extLst>
            <a:ext uri="{FF2B5EF4-FFF2-40B4-BE49-F238E27FC236}">
              <a16:creationId xmlns:a16="http://schemas.microsoft.com/office/drawing/2014/main" id="{FF961CF4-4B06-466B-BE76-D88AEC5EDA2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5" name="Host Control  520" hidden="1">
          <a:extLst>
            <a:ext uri="{FF2B5EF4-FFF2-40B4-BE49-F238E27FC236}">
              <a16:creationId xmlns:a16="http://schemas.microsoft.com/office/drawing/2014/main" id="{34045ABD-B42A-43C7-ABD5-1B2CDAF4A9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6" name="Host Control  521" hidden="1">
          <a:extLst>
            <a:ext uri="{FF2B5EF4-FFF2-40B4-BE49-F238E27FC236}">
              <a16:creationId xmlns:a16="http://schemas.microsoft.com/office/drawing/2014/main" id="{419AE42A-FB59-40F9-9C70-74BA0791B6F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7" name="Host Control  522" hidden="1">
          <a:extLst>
            <a:ext uri="{FF2B5EF4-FFF2-40B4-BE49-F238E27FC236}">
              <a16:creationId xmlns:a16="http://schemas.microsoft.com/office/drawing/2014/main" id="{23A18205-80F0-4FD2-97F0-20782E903B9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8" name="Host Control  523" hidden="1">
          <a:extLst>
            <a:ext uri="{FF2B5EF4-FFF2-40B4-BE49-F238E27FC236}">
              <a16:creationId xmlns:a16="http://schemas.microsoft.com/office/drawing/2014/main" id="{C330A921-EAE4-41BD-94AF-AA65B98A75B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9" name="Host Control  524" hidden="1">
          <a:extLst>
            <a:ext uri="{FF2B5EF4-FFF2-40B4-BE49-F238E27FC236}">
              <a16:creationId xmlns:a16="http://schemas.microsoft.com/office/drawing/2014/main" id="{729C7008-9432-4AEB-B1E3-A0EB8C1BC0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0" name="Host Control  525" hidden="1">
          <a:extLst>
            <a:ext uri="{FF2B5EF4-FFF2-40B4-BE49-F238E27FC236}">
              <a16:creationId xmlns:a16="http://schemas.microsoft.com/office/drawing/2014/main" id="{429E70A4-1AD0-4472-BDC2-9D7698165B2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1" name="Host Control  526" hidden="1">
          <a:extLst>
            <a:ext uri="{FF2B5EF4-FFF2-40B4-BE49-F238E27FC236}">
              <a16:creationId xmlns:a16="http://schemas.microsoft.com/office/drawing/2014/main" id="{E328C015-F840-42AC-8063-E728914D35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2" name="Host Control  527" hidden="1">
          <a:extLst>
            <a:ext uri="{FF2B5EF4-FFF2-40B4-BE49-F238E27FC236}">
              <a16:creationId xmlns:a16="http://schemas.microsoft.com/office/drawing/2014/main" id="{F151D23D-4C49-4560-A225-BBD8BC150CC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3" name="Host Control  528" hidden="1">
          <a:extLst>
            <a:ext uri="{FF2B5EF4-FFF2-40B4-BE49-F238E27FC236}">
              <a16:creationId xmlns:a16="http://schemas.microsoft.com/office/drawing/2014/main" id="{C8C7BCD7-3BE4-4539-9D4F-BE710C203E2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4" name="Host Control  529" hidden="1">
          <a:extLst>
            <a:ext uri="{FF2B5EF4-FFF2-40B4-BE49-F238E27FC236}">
              <a16:creationId xmlns:a16="http://schemas.microsoft.com/office/drawing/2014/main" id="{6E9D405A-A21A-40AD-841C-A10DD0D5573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5" name="Host Control  530" hidden="1">
          <a:extLst>
            <a:ext uri="{FF2B5EF4-FFF2-40B4-BE49-F238E27FC236}">
              <a16:creationId xmlns:a16="http://schemas.microsoft.com/office/drawing/2014/main" id="{55DF21CC-98A5-4D15-BDC2-E9D9D81B92E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6" name="Host Control  531" hidden="1">
          <a:extLst>
            <a:ext uri="{FF2B5EF4-FFF2-40B4-BE49-F238E27FC236}">
              <a16:creationId xmlns:a16="http://schemas.microsoft.com/office/drawing/2014/main" id="{1FE73976-24F5-4C6E-842B-9F0E0FF059A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7" name="Host Control  532" hidden="1">
          <a:extLst>
            <a:ext uri="{FF2B5EF4-FFF2-40B4-BE49-F238E27FC236}">
              <a16:creationId xmlns:a16="http://schemas.microsoft.com/office/drawing/2014/main" id="{38D5ECA6-4C79-4296-B9B3-01EADA1FBB7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8" name="Host Control  533" hidden="1">
          <a:extLst>
            <a:ext uri="{FF2B5EF4-FFF2-40B4-BE49-F238E27FC236}">
              <a16:creationId xmlns:a16="http://schemas.microsoft.com/office/drawing/2014/main" id="{99815925-665F-4CCE-B278-A795C4DDCB9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9" name="Host Control  534" hidden="1">
          <a:extLst>
            <a:ext uri="{FF2B5EF4-FFF2-40B4-BE49-F238E27FC236}">
              <a16:creationId xmlns:a16="http://schemas.microsoft.com/office/drawing/2014/main" id="{996B6E2C-4CE2-430F-9793-ACF59B7110C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0" name="Host Control  535" hidden="1">
          <a:extLst>
            <a:ext uri="{FF2B5EF4-FFF2-40B4-BE49-F238E27FC236}">
              <a16:creationId xmlns:a16="http://schemas.microsoft.com/office/drawing/2014/main" id="{26A665DB-420D-4EF2-AA76-2ED4B0B4A32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1" name="Host Control  536" hidden="1">
          <a:extLst>
            <a:ext uri="{FF2B5EF4-FFF2-40B4-BE49-F238E27FC236}">
              <a16:creationId xmlns:a16="http://schemas.microsoft.com/office/drawing/2014/main" id="{FBDD49B2-9AD5-484C-842B-78999346EAF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2" name="Host Control  537" hidden="1">
          <a:extLst>
            <a:ext uri="{FF2B5EF4-FFF2-40B4-BE49-F238E27FC236}">
              <a16:creationId xmlns:a16="http://schemas.microsoft.com/office/drawing/2014/main" id="{EB0EF810-B150-474F-AA0E-A0B4011A6BD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3" name="Host Control  538" hidden="1">
          <a:extLst>
            <a:ext uri="{FF2B5EF4-FFF2-40B4-BE49-F238E27FC236}">
              <a16:creationId xmlns:a16="http://schemas.microsoft.com/office/drawing/2014/main" id="{7EFDA9BB-B12A-4EA8-AA36-890B5B687F0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4" name="Host Control  539" hidden="1">
          <a:extLst>
            <a:ext uri="{FF2B5EF4-FFF2-40B4-BE49-F238E27FC236}">
              <a16:creationId xmlns:a16="http://schemas.microsoft.com/office/drawing/2014/main" id="{886E3740-68B5-4DD5-8AFF-EF72AEBB23B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5" name="Host Control  540" hidden="1">
          <a:extLst>
            <a:ext uri="{FF2B5EF4-FFF2-40B4-BE49-F238E27FC236}">
              <a16:creationId xmlns:a16="http://schemas.microsoft.com/office/drawing/2014/main" id="{44ABD4B0-44C2-4B1D-B557-CC5B51FB46D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6" name="Host Control  541" hidden="1">
          <a:extLst>
            <a:ext uri="{FF2B5EF4-FFF2-40B4-BE49-F238E27FC236}">
              <a16:creationId xmlns:a16="http://schemas.microsoft.com/office/drawing/2014/main" id="{91300013-68E6-49AD-AB9C-F1454F307C6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7" name="Host Control  542" hidden="1">
          <a:extLst>
            <a:ext uri="{FF2B5EF4-FFF2-40B4-BE49-F238E27FC236}">
              <a16:creationId xmlns:a16="http://schemas.microsoft.com/office/drawing/2014/main" id="{E397E23A-FE79-47FB-93D7-13AECC1550D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8" name="Host Control  543" hidden="1">
          <a:extLst>
            <a:ext uri="{FF2B5EF4-FFF2-40B4-BE49-F238E27FC236}">
              <a16:creationId xmlns:a16="http://schemas.microsoft.com/office/drawing/2014/main" id="{555BD75F-4E9A-47F8-ACA6-CF2661E3E92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9" name="Host Control  544" hidden="1">
          <a:extLst>
            <a:ext uri="{FF2B5EF4-FFF2-40B4-BE49-F238E27FC236}">
              <a16:creationId xmlns:a16="http://schemas.microsoft.com/office/drawing/2014/main" id="{7A675324-DFC8-4B80-AB46-888DE2A2F45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0" name="Host Control  545" hidden="1">
          <a:extLst>
            <a:ext uri="{FF2B5EF4-FFF2-40B4-BE49-F238E27FC236}">
              <a16:creationId xmlns:a16="http://schemas.microsoft.com/office/drawing/2014/main" id="{9976151D-3139-4D79-B2E8-FA309E512B2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1" name="Host Control  583" hidden="1">
          <a:extLst>
            <a:ext uri="{FF2B5EF4-FFF2-40B4-BE49-F238E27FC236}">
              <a16:creationId xmlns:a16="http://schemas.microsoft.com/office/drawing/2014/main" id="{1A4E8AEA-2894-479A-9A71-FE4B9E967F1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2" name="Host Control  584" hidden="1">
          <a:extLst>
            <a:ext uri="{FF2B5EF4-FFF2-40B4-BE49-F238E27FC236}">
              <a16:creationId xmlns:a16="http://schemas.microsoft.com/office/drawing/2014/main" id="{82A4D7AE-55B1-4EEE-9241-53A8AF20961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3" name="Host Control  585" hidden="1">
          <a:extLst>
            <a:ext uri="{FF2B5EF4-FFF2-40B4-BE49-F238E27FC236}">
              <a16:creationId xmlns:a16="http://schemas.microsoft.com/office/drawing/2014/main" id="{61C8A94F-F53F-45FE-966A-4E62B727689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4" name="Host Control  586" hidden="1">
          <a:extLst>
            <a:ext uri="{FF2B5EF4-FFF2-40B4-BE49-F238E27FC236}">
              <a16:creationId xmlns:a16="http://schemas.microsoft.com/office/drawing/2014/main" id="{25C25D1F-BB81-41A2-8C94-73C59C3E023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5" name="Host Control  587" hidden="1">
          <a:extLst>
            <a:ext uri="{FF2B5EF4-FFF2-40B4-BE49-F238E27FC236}">
              <a16:creationId xmlns:a16="http://schemas.microsoft.com/office/drawing/2014/main" id="{DB30B924-C232-4A29-A622-83D53C02DD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6" name="Host Control  588" hidden="1">
          <a:extLst>
            <a:ext uri="{FF2B5EF4-FFF2-40B4-BE49-F238E27FC236}">
              <a16:creationId xmlns:a16="http://schemas.microsoft.com/office/drawing/2014/main" id="{48044D1D-C276-4D83-A1B7-7EA052D5502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7" name="Host Control  589" hidden="1">
          <a:extLst>
            <a:ext uri="{FF2B5EF4-FFF2-40B4-BE49-F238E27FC236}">
              <a16:creationId xmlns:a16="http://schemas.microsoft.com/office/drawing/2014/main" id="{7BAA46F2-A04A-48BB-9FE2-9D44C7E6AC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8" name="Host Control  590" hidden="1">
          <a:extLst>
            <a:ext uri="{FF2B5EF4-FFF2-40B4-BE49-F238E27FC236}">
              <a16:creationId xmlns:a16="http://schemas.microsoft.com/office/drawing/2014/main" id="{AD219A87-9CFE-4BE4-9CDE-E935C161E51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9" name="Host Control  591" hidden="1">
          <a:extLst>
            <a:ext uri="{FF2B5EF4-FFF2-40B4-BE49-F238E27FC236}">
              <a16:creationId xmlns:a16="http://schemas.microsoft.com/office/drawing/2014/main" id="{84F2536F-F9BC-4BBF-BC68-4978E7A9B4E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0" name="Host Control  592" hidden="1">
          <a:extLst>
            <a:ext uri="{FF2B5EF4-FFF2-40B4-BE49-F238E27FC236}">
              <a16:creationId xmlns:a16="http://schemas.microsoft.com/office/drawing/2014/main" id="{CD71D322-6FFE-4120-ACF0-D6C7BC59859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1" name="Host Control  593" hidden="1">
          <a:extLst>
            <a:ext uri="{FF2B5EF4-FFF2-40B4-BE49-F238E27FC236}">
              <a16:creationId xmlns:a16="http://schemas.microsoft.com/office/drawing/2014/main" id="{AD0673E3-59DF-434F-972C-457C40248CE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2" name="Host Control  594" hidden="1">
          <a:extLst>
            <a:ext uri="{FF2B5EF4-FFF2-40B4-BE49-F238E27FC236}">
              <a16:creationId xmlns:a16="http://schemas.microsoft.com/office/drawing/2014/main" id="{4415CFC7-9FF3-4DDA-9DD3-5A7A786D4ED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3" name="Host Control  595" hidden="1">
          <a:extLst>
            <a:ext uri="{FF2B5EF4-FFF2-40B4-BE49-F238E27FC236}">
              <a16:creationId xmlns:a16="http://schemas.microsoft.com/office/drawing/2014/main" id="{B364A936-854E-4906-8806-CC906FF5E9D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4" name="Host Control  596" hidden="1">
          <a:extLst>
            <a:ext uri="{FF2B5EF4-FFF2-40B4-BE49-F238E27FC236}">
              <a16:creationId xmlns:a16="http://schemas.microsoft.com/office/drawing/2014/main" id="{D6834D28-F2B4-4825-9C10-1A03396D650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5" name="Host Control  597" hidden="1">
          <a:extLst>
            <a:ext uri="{FF2B5EF4-FFF2-40B4-BE49-F238E27FC236}">
              <a16:creationId xmlns:a16="http://schemas.microsoft.com/office/drawing/2014/main" id="{030B72C0-A8D7-4D33-BFBD-4AAC0C973F2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6" name="Host Control  598" hidden="1">
          <a:extLst>
            <a:ext uri="{FF2B5EF4-FFF2-40B4-BE49-F238E27FC236}">
              <a16:creationId xmlns:a16="http://schemas.microsoft.com/office/drawing/2014/main" id="{D1892A1F-89AB-48E8-8D51-913AB389797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7" name="Host Control  599" hidden="1">
          <a:extLst>
            <a:ext uri="{FF2B5EF4-FFF2-40B4-BE49-F238E27FC236}">
              <a16:creationId xmlns:a16="http://schemas.microsoft.com/office/drawing/2014/main" id="{78118073-F166-4DF0-B1A5-D279D0702B4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8" name="Host Control  600" hidden="1">
          <a:extLst>
            <a:ext uri="{FF2B5EF4-FFF2-40B4-BE49-F238E27FC236}">
              <a16:creationId xmlns:a16="http://schemas.microsoft.com/office/drawing/2014/main" id="{093D0F67-E492-46C2-9382-08EFF58CE47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9" name="Host Control  601" hidden="1">
          <a:extLst>
            <a:ext uri="{FF2B5EF4-FFF2-40B4-BE49-F238E27FC236}">
              <a16:creationId xmlns:a16="http://schemas.microsoft.com/office/drawing/2014/main" id="{CE1F2525-C32E-441E-8B68-5EDD8734422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0" name="Host Control  602" hidden="1">
          <a:extLst>
            <a:ext uri="{FF2B5EF4-FFF2-40B4-BE49-F238E27FC236}">
              <a16:creationId xmlns:a16="http://schemas.microsoft.com/office/drawing/2014/main" id="{A64CEDE2-65EA-4150-A337-D1900A9BE15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1" name="Host Control  603" hidden="1">
          <a:extLst>
            <a:ext uri="{FF2B5EF4-FFF2-40B4-BE49-F238E27FC236}">
              <a16:creationId xmlns:a16="http://schemas.microsoft.com/office/drawing/2014/main" id="{6B11C7D7-4990-44DD-A0B9-4DCF8006F25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2" name="Host Control  604" hidden="1">
          <a:extLst>
            <a:ext uri="{FF2B5EF4-FFF2-40B4-BE49-F238E27FC236}">
              <a16:creationId xmlns:a16="http://schemas.microsoft.com/office/drawing/2014/main" id="{99B69F1B-02FB-47A3-A7EB-83D2C7B7E5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3" name="Host Control  605" hidden="1">
          <a:extLst>
            <a:ext uri="{FF2B5EF4-FFF2-40B4-BE49-F238E27FC236}">
              <a16:creationId xmlns:a16="http://schemas.microsoft.com/office/drawing/2014/main" id="{D9A8977A-6071-4A6C-ABD4-03DA2627D2A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4" name="Host Control  606" hidden="1">
          <a:extLst>
            <a:ext uri="{FF2B5EF4-FFF2-40B4-BE49-F238E27FC236}">
              <a16:creationId xmlns:a16="http://schemas.microsoft.com/office/drawing/2014/main" id="{D7C3136D-0346-48AC-BADF-B3E429D5BFB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5" name="Host Control  607" hidden="1">
          <a:extLst>
            <a:ext uri="{FF2B5EF4-FFF2-40B4-BE49-F238E27FC236}">
              <a16:creationId xmlns:a16="http://schemas.microsoft.com/office/drawing/2014/main" id="{A8126DD4-8BF2-4F3D-942E-D8E4A49CFC4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6" name="Host Control  608" hidden="1">
          <a:extLst>
            <a:ext uri="{FF2B5EF4-FFF2-40B4-BE49-F238E27FC236}">
              <a16:creationId xmlns:a16="http://schemas.microsoft.com/office/drawing/2014/main" id="{3F23DA34-AB25-43D7-B6B2-E3ED763523D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7" name="Host Control  609" hidden="1">
          <a:extLst>
            <a:ext uri="{FF2B5EF4-FFF2-40B4-BE49-F238E27FC236}">
              <a16:creationId xmlns:a16="http://schemas.microsoft.com/office/drawing/2014/main" id="{5A5E9F8F-CF76-4618-9C00-BCEB8DA855B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8" name="Host Control  610" hidden="1">
          <a:extLst>
            <a:ext uri="{FF2B5EF4-FFF2-40B4-BE49-F238E27FC236}">
              <a16:creationId xmlns:a16="http://schemas.microsoft.com/office/drawing/2014/main" id="{0CC06586-8ABE-47D9-A5CC-69D8124821A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9" name="Host Control  611" hidden="1">
          <a:extLst>
            <a:ext uri="{FF2B5EF4-FFF2-40B4-BE49-F238E27FC236}">
              <a16:creationId xmlns:a16="http://schemas.microsoft.com/office/drawing/2014/main" id="{460B4DE0-F316-4C8C-A1AB-818547AE8BE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AppData\Local\Temp\MicrosoftEdgeDownloads\a21ac609-2d86-4091-8ada-8f13d6aedf28\2023-1-0714\F01\&#26368;&#32456;\&#20108;&#23457;-F01&#39034;&#20041;&#26032;&#22478;&#22303;&#22320;-&#39044;&#27979;&#324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433;&#26480;\2.&#39318;&#24320;\&#39318;&#24320;&#32929;&#20221;\&#19979;&#23646;&#20844;&#21496;\&#39318;&#24320;&#20159;&#20449;\&#39034;&#24658;&#36828;&#27888;&#32622;&#19994;\&#39033;&#30446;&#26448;&#26009;\&#12304;&#23450;&#20301;&#20250;&#21475;&#24452;&#12305;&#31532;&#19968;&#34903;&#21306;010109&#22320;&#22359;&#39033;&#30446;&#65288;&#21351;&#40857;&#65289;_(2023&#24180;6&#26376;29&#26085;12&#26102;20&#20998;&#29983;&#25104;&#65289;%20-&#27979;&#31639;&#2925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预测绘"/>
      <sheetName val="概念指标"/>
      <sheetName val="出让合同"/>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仓储"/>
      <sheetName val="不动产比较法-车位"/>
      <sheetName val="典型户型修正"/>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5">
          <cell r="D5">
            <v>4.899</v>
          </cell>
        </row>
      </sheetData>
      <sheetData sheetId="14"/>
      <sheetData sheetId="15">
        <row r="17">
          <cell r="C17" t="str">
            <v>项目类型</v>
          </cell>
        </row>
        <row r="19">
          <cell r="C19" t="str">
            <v>住宅-小高层、洋房</v>
          </cell>
        </row>
        <row r="20">
          <cell r="C20" t="str">
            <v>地下车库</v>
          </cell>
        </row>
        <row r="21">
          <cell r="C21" t="str">
            <v>地下仓储</v>
          </cell>
        </row>
        <row r="22">
          <cell r="C22" t="str">
            <v>商业</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较适宜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较好</v>
          </cell>
        </row>
      </sheetData>
      <sheetData sheetId="21"/>
      <sheetData sheetId="22"/>
      <sheetData sheetId="23"/>
      <sheetData sheetId="24">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叠拼</v>
          </cell>
          <cell r="D100" t="str">
            <v>小高层、洋房</v>
          </cell>
          <cell r="E100" t="str">
            <v>高层</v>
          </cell>
        </row>
        <row r="105">
          <cell r="B105" t="str">
            <v>建筑结构</v>
          </cell>
          <cell r="C105" t="str">
            <v>钢混</v>
          </cell>
        </row>
        <row r="107">
          <cell r="B107" t="str">
            <v>建筑品质</v>
          </cell>
          <cell r="C107" t="str">
            <v>高档</v>
          </cell>
          <cell r="D107" t="str">
            <v>中高档</v>
          </cell>
          <cell r="E107" t="str">
            <v>中档</v>
          </cell>
          <cell r="F107" t="str">
            <v>低档</v>
          </cell>
        </row>
        <row r="109">
          <cell r="B109" t="str">
            <v>公共部分装修</v>
          </cell>
          <cell r="C109" t="str">
            <v>精装修</v>
          </cell>
          <cell r="D109" t="str">
            <v>普通装修</v>
          </cell>
          <cell r="E109" t="str">
            <v>简单装修</v>
          </cell>
          <cell r="F109" t="str">
            <v>毛坯</v>
          </cell>
        </row>
        <row r="114">
          <cell r="B114" t="str">
            <v>物业管理</v>
          </cell>
          <cell r="C114" t="str">
            <v>品牌</v>
          </cell>
          <cell r="D114" t="str">
            <v>专业</v>
          </cell>
        </row>
        <row r="116">
          <cell r="B116" t="str">
            <v>市政基础设施</v>
          </cell>
          <cell r="C116" t="str">
            <v>七通</v>
          </cell>
          <cell r="D116" t="str">
            <v>六通</v>
          </cell>
          <cell r="E116" t="str">
            <v>五通</v>
          </cell>
          <cell r="F116" t="str">
            <v>四通</v>
          </cell>
          <cell r="G116" t="str">
            <v>三通</v>
          </cell>
        </row>
        <row r="118">
          <cell r="B118" t="str">
            <v>房型</v>
          </cell>
          <cell r="C118" t="str">
            <v>跃层</v>
          </cell>
          <cell r="D118" t="str">
            <v>平层</v>
          </cell>
        </row>
        <row r="122">
          <cell r="B122" t="str">
            <v>内部装修</v>
          </cell>
          <cell r="C122" t="str">
            <v>精装修</v>
          </cell>
          <cell r="D122" t="str">
            <v>普通装修</v>
          </cell>
          <cell r="E122" t="str">
            <v>简单装修</v>
          </cell>
          <cell r="F122" t="str">
            <v>毛坯</v>
          </cell>
        </row>
      </sheetData>
      <sheetData sheetId="36"/>
      <sheetData sheetId="37"/>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ow r="49">
          <cell r="A49" t="str">
            <v>交易情况</v>
          </cell>
          <cell r="C49" t="str">
            <v>正常</v>
          </cell>
        </row>
        <row r="51">
          <cell r="B51" t="str">
            <v>用途</v>
          </cell>
          <cell r="C51" t="str">
            <v>地下仓储</v>
          </cell>
        </row>
        <row r="69">
          <cell r="B69" t="str">
            <v>楼层</v>
          </cell>
        </row>
        <row r="77">
          <cell r="B77" t="str">
            <v>公共部分装修</v>
          </cell>
          <cell r="C77" t="str">
            <v>精装修</v>
          </cell>
        </row>
        <row r="82">
          <cell r="B82" t="str">
            <v>物业等级</v>
          </cell>
          <cell r="C82" t="str">
            <v>专业</v>
          </cell>
        </row>
        <row r="84">
          <cell r="B84" t="str">
            <v>有无电梯</v>
          </cell>
        </row>
        <row r="89">
          <cell r="B89" t="str">
            <v>是否封闭</v>
          </cell>
        </row>
      </sheetData>
      <sheetData sheetId="43">
        <row r="51">
          <cell r="A51" t="str">
            <v>交易情况</v>
          </cell>
          <cell r="C51" t="str">
            <v>正常</v>
          </cell>
        </row>
        <row r="53">
          <cell r="B53" t="str">
            <v>用途</v>
          </cell>
          <cell r="C53" t="str">
            <v>地下车库</v>
          </cell>
        </row>
        <row r="71">
          <cell r="B71" t="str">
            <v>楼层</v>
          </cell>
        </row>
        <row r="79">
          <cell r="B79" t="str">
            <v>配套类型（地上主用途）</v>
          </cell>
          <cell r="C79" t="str">
            <v>住宅</v>
          </cell>
        </row>
        <row r="83">
          <cell r="B83" t="str">
            <v>公共部分装修</v>
          </cell>
        </row>
        <row r="88">
          <cell r="B88" t="str">
            <v>物业等级</v>
          </cell>
          <cell r="C88" t="str">
            <v>专业</v>
          </cell>
        </row>
        <row r="93">
          <cell r="B93" t="str">
            <v>车位类型</v>
          </cell>
          <cell r="C93" t="str">
            <v>平面车位</v>
          </cell>
        </row>
        <row r="95">
          <cell r="B95" t="str">
            <v>是否直接入户</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建设标准"/>
      <sheetName val="进度"/>
      <sheetName val="地下货值分析"/>
      <sheetName val="收入测算 (低车位数量版本)"/>
      <sheetName val="收入测算-货值46.63亿终版"/>
      <sheetName val="成本构成"/>
      <sheetName val="土增税"/>
      <sheetName val="基础运算"/>
      <sheetName val="现金流量"/>
      <sheetName val="资金平衡"/>
      <sheetName val="偿还贷款表"/>
      <sheetName val="利润表"/>
      <sheetName val="敏感性_成本"/>
      <sheetName val="敏感性_售价"/>
      <sheetName val="敏感性_销售率"/>
      <sheetName val="投标价分析"/>
      <sheetName val="投标价倒算"/>
      <sheetName val="以往土地中标分析"/>
      <sheetName val="调研项目标准"/>
      <sheetName val="竞拍政策性用房（或现房销售）面积分析"/>
      <sheetName val="Sheet1"/>
    </sheetNames>
    <sheetDataSet>
      <sheetData sheetId="0"/>
      <sheetData sheetId="1"/>
      <sheetData sheetId="2"/>
      <sheetData sheetId="3"/>
      <sheetData sheetId="4">
        <row r="77">
          <cell r="F77">
            <v>105473.84</v>
          </cell>
        </row>
        <row r="82">
          <cell r="F82">
            <v>9395.1199872771394</v>
          </cell>
        </row>
        <row r="83">
          <cell r="F83">
            <v>463454.22719999996</v>
          </cell>
        </row>
      </sheetData>
      <sheetData sheetId="5">
        <row r="7">
          <cell r="F7">
            <v>228200</v>
          </cell>
        </row>
        <row r="61">
          <cell r="G61">
            <v>0.03</v>
          </cell>
        </row>
        <row r="65">
          <cell r="G65">
            <v>0.01</v>
          </cell>
        </row>
        <row r="72">
          <cell r="G72">
            <v>0.12</v>
          </cell>
        </row>
        <row r="79">
          <cell r="G79">
            <v>0.03</v>
          </cell>
        </row>
        <row r="81">
          <cell r="J81">
            <v>0.09</v>
          </cell>
        </row>
        <row r="83">
          <cell r="G83">
            <v>0.25</v>
          </cell>
        </row>
        <row r="84">
          <cell r="H84">
            <v>46677.967372094034</v>
          </cell>
        </row>
        <row r="85">
          <cell r="F85">
            <v>0.03</v>
          </cell>
        </row>
        <row r="86">
          <cell r="F86">
            <v>5.5E-2</v>
          </cell>
        </row>
        <row r="87">
          <cell r="F87">
            <v>0.15</v>
          </cell>
        </row>
        <row r="88">
          <cell r="F88">
            <v>0.03</v>
          </cell>
        </row>
        <row r="89">
          <cell r="F89">
            <v>0.06</v>
          </cell>
        </row>
      </sheetData>
      <sheetData sheetId="6"/>
      <sheetData sheetId="7">
        <row r="3">
          <cell r="C3">
            <v>358431.02138881513</v>
          </cell>
        </row>
        <row r="4">
          <cell r="C4">
            <v>117595.46146737601</v>
          </cell>
        </row>
        <row r="13">
          <cell r="C13">
            <v>31390.397951999999</v>
          </cell>
        </row>
        <row r="14">
          <cell r="C14">
            <v>4634.5422719999997</v>
          </cell>
        </row>
        <row r="15">
          <cell r="C15">
            <v>15169.5</v>
          </cell>
        </row>
        <row r="16">
          <cell r="C16">
            <v>11586.355680000002</v>
          </cell>
        </row>
        <row r="17">
          <cell r="C17">
            <v>10522.534385750396</v>
          </cell>
        </row>
        <row r="18">
          <cell r="C18">
            <v>872.98364397576006</v>
          </cell>
        </row>
        <row r="19">
          <cell r="C19">
            <v>0</v>
          </cell>
        </row>
        <row r="46">
          <cell r="C46">
            <v>401216.93737054133</v>
          </cell>
        </row>
        <row r="48">
          <cell r="C48">
            <v>62237.289829458634</v>
          </cell>
        </row>
        <row r="49">
          <cell r="C49">
            <v>15559.322457364658</v>
          </cell>
        </row>
        <row r="50">
          <cell r="C50">
            <v>46677.967372093975</v>
          </cell>
        </row>
        <row r="51">
          <cell r="C51">
            <v>0.2617616457058774</v>
          </cell>
        </row>
        <row r="52">
          <cell r="C52">
            <v>0.11634096924723006</v>
          </cell>
        </row>
        <row r="53">
          <cell r="C53">
            <v>0.22660966207103536</v>
          </cell>
        </row>
        <row r="54">
          <cell r="C54">
            <v>0.10071753505001578</v>
          </cell>
        </row>
        <row r="72">
          <cell r="C72">
            <v>0.15124857153337889</v>
          </cell>
        </row>
      </sheetData>
      <sheetData sheetId="8"/>
      <sheetData sheetId="9">
        <row r="38">
          <cell r="D38">
            <v>0.27846459159021197</v>
          </cell>
        </row>
      </sheetData>
      <sheetData sheetId="10"/>
      <sheetData sheetId="11">
        <row r="22">
          <cell r="C22">
            <v>15559.322457364658</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北京市顺义区顺义新城第1街区01-01-09地块R2二类居住用地、01-01-04地块A334托幼用地出让国有建设用地使用权及在建建筑物房地产抵押价值预评估</v>
      </c>
    </row>
    <row r="3" spans="1:2">
      <c r="A3" s="1116" t="s">
        <v>523</v>
      </c>
      <c r="B3" s="1117">
        <f>'预评函-封皮'!B40</f>
        <v>0</v>
      </c>
    </row>
    <row r="4" spans="1:2">
      <c r="A4" s="1116" t="s">
        <v>524</v>
      </c>
      <c r="B4" s="1117" t="str">
        <f ca="1">'预评函-封皮'!B46</f>
        <v>吴薇（注册号：1419970001)、（注册号：0)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受贵公司委托，我公司对北京市顺义区顺义新城第1街区01-01-09地块R2二类居住用地、01-01-04地块A334托幼用地出让国有建设用地使用权及在建建筑物房地产抵押价值进行了预评估。</v>
      </c>
    </row>
    <row r="7" spans="1:2">
      <c r="A7" s="1116" t="s">
        <v>566</v>
      </c>
      <c r="B7" s="1117" t="str">
        <f>'预评函-1'!A7</f>
        <v>估价对象为北京市顺义区顺义新城第1街区01-01-09地块R2二类居住用地、01-01-04地块A334托幼用地出让国有建设用地使用权及在建建筑物房地产，为所有。根据《国有土地使用证》[]，估价对象（分摊）出让国有建设用地使用权面积为39582.79平方米，建筑面积为106355.86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顺义区顺义新城第1街区01-01-09地块R2二类居住用地、01-01-04地块A334托幼用地出让国有建设用地使用权及在建建筑物房地产,属开发建设的，该项目尚在开发建设中。根据《国有土地使用证》[]，估价对象（分摊）出让国有建设用地使用权面积为39582.79平方米，规划建筑面积为106355.86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2024年12月13日（评估专业人员实地查勘之日）</v>
      </c>
    </row>
    <row r="13" spans="1:2">
      <c r="A13" s="1116" t="s">
        <v>529</v>
      </c>
      <c r="B13" s="1117" t="str">
        <f>'预评函-1'!A18</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259876</v>
      </c>
    </row>
    <row r="21" spans="1:2">
      <c r="A21" s="1116" t="s">
        <v>537</v>
      </c>
      <c r="B21" s="1117">
        <f ca="1">'预评函-2'!D7</f>
        <v>24435</v>
      </c>
    </row>
    <row r="22" spans="1:2">
      <c r="A22" s="1116" t="s">
        <v>538</v>
      </c>
      <c r="B22" s="1117" t="str">
        <f ca="1">'预评函-2'!D6</f>
        <v>贰拾伍亿玖仟捌佰柒拾陆万元整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259876</v>
      </c>
    </row>
    <row r="31" spans="1:2">
      <c r="A31" s="1116" t="s">
        <v>576</v>
      </c>
      <c r="B31" s="1117">
        <f ca="1">'预评函-2'!D15</f>
        <v>24435</v>
      </c>
    </row>
    <row r="32" spans="1:2">
      <c r="A32" s="1116" t="s">
        <v>543</v>
      </c>
      <c r="B32" s="1117" t="str">
        <f ca="1">'预评函-2'!D14</f>
        <v>贰拾伍亿玖仟捌佰柒拾陆万元整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北京市顺义区顺义新城第1街区01-01-09地块R2二类居住用地、01-01-04地块A334托幼用地出让国有建设用地使用权及在建建筑物房地产</v>
      </c>
    </row>
    <row r="42" spans="1:2">
      <c r="A42" s="1116" t="s">
        <v>590</v>
      </c>
      <c r="B42" s="1117" t="str">
        <f>'预评函-3'!B2</f>
        <v>建筑面积</v>
      </c>
    </row>
    <row r="43" spans="1:2">
      <c r="A43" s="1116" t="s">
        <v>591</v>
      </c>
      <c r="B43" s="1117">
        <f>'预评函-3'!B4</f>
        <v>106355.86000000013</v>
      </c>
    </row>
    <row r="44" spans="1:2">
      <c r="A44" s="1116" t="s">
        <v>575</v>
      </c>
      <c r="B44" s="1117" t="str">
        <f>'预评函-3'!C2</f>
        <v>(分摊)土地面积</v>
      </c>
    </row>
    <row r="45" spans="1:2">
      <c r="A45" s="1116" t="s">
        <v>547</v>
      </c>
      <c r="B45" s="1117">
        <f>'预评函-3'!C4</f>
        <v>39582.79</v>
      </c>
    </row>
    <row r="46" spans="1:2">
      <c r="A46" s="1116" t="s">
        <v>573</v>
      </c>
      <c r="B46" s="1117" t="str">
        <f>'预评函-3'!D2</f>
        <v>出让国有建设用地使用权价值</v>
      </c>
    </row>
    <row r="47" spans="1:2">
      <c r="A47" s="1116" t="s">
        <v>548</v>
      </c>
      <c r="B47" s="1117">
        <f ca="1">'预评函-3'!D4</f>
        <v>207381</v>
      </c>
    </row>
    <row r="48" spans="1:2">
      <c r="A48" s="1116" t="s">
        <v>549</v>
      </c>
      <c r="B48" s="1117">
        <f ca="1">'预评函-3'!E4</f>
        <v>19499</v>
      </c>
    </row>
    <row r="49" spans="1:2">
      <c r="A49" s="1116" t="s">
        <v>550</v>
      </c>
      <c r="B49" s="1117" t="str">
        <f ca="1">'预评函-3'!D5</f>
        <v>贰拾亿柒仟叁佰捌拾壹万元整</v>
      </c>
    </row>
    <row r="50" spans="1:2">
      <c r="A50" s="1116" t="s">
        <v>574</v>
      </c>
      <c r="B50" s="1117" t="str">
        <f>'预评函-3'!F2</f>
        <v>在建建筑物价值</v>
      </c>
    </row>
    <row r="51" spans="1:2">
      <c r="A51" s="1116" t="s">
        <v>551</v>
      </c>
      <c r="B51" s="1117">
        <f ca="1">'预评函-3'!F4</f>
        <v>52495</v>
      </c>
    </row>
    <row r="52" spans="1:2">
      <c r="A52" s="1116" t="s">
        <v>552</v>
      </c>
      <c r="B52" s="1117">
        <f ca="1">'预评函-3'!G4</f>
        <v>4936</v>
      </c>
    </row>
    <row r="53" spans="1:2">
      <c r="A53" s="1116" t="s">
        <v>580</v>
      </c>
      <c r="B53" s="1117" t="str">
        <f ca="1">'预评函-3'!F5</f>
        <v>伍亿贰仟肆佰玖拾伍万元整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3348</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3334</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3335</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3336</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3337</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3338</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3339</v>
      </c>
    </row>
    <row r="8" spans="1:23">
      <c r="A8" s="1438" t="s">
        <v>1026</v>
      </c>
      <c r="B8" s="1438" t="s">
        <v>1027</v>
      </c>
      <c r="C8" s="1439" t="s">
        <v>319</v>
      </c>
      <c r="F8" s="1440" t="s">
        <v>1028</v>
      </c>
      <c r="H8" s="1440" t="s">
        <v>2574</v>
      </c>
      <c r="I8" s="1440" t="s">
        <v>3340</v>
      </c>
    </row>
    <row r="9" spans="1:23">
      <c r="A9" s="1438" t="s">
        <v>1029</v>
      </c>
      <c r="B9" s="1438" t="s">
        <v>1030</v>
      </c>
      <c r="C9" s="1439" t="s">
        <v>320</v>
      </c>
      <c r="F9" s="1440" t="s">
        <v>1031</v>
      </c>
      <c r="H9" s="1440"/>
      <c r="I9" s="1442" t="s">
        <v>3341</v>
      </c>
    </row>
    <row r="10" spans="1:23">
      <c r="A10" s="1438" t="s">
        <v>1032</v>
      </c>
      <c r="B10" s="1438" t="s">
        <v>1033</v>
      </c>
      <c r="C10" s="1439" t="s">
        <v>321</v>
      </c>
      <c r="F10" s="1440" t="s">
        <v>2575</v>
      </c>
      <c r="I10" s="1442" t="s">
        <v>3342</v>
      </c>
    </row>
    <row r="11" spans="1:23">
      <c r="A11" s="1438" t="s">
        <v>1034</v>
      </c>
      <c r="B11" s="1438" t="s">
        <v>1035</v>
      </c>
      <c r="C11" s="1439" t="s">
        <v>322</v>
      </c>
      <c r="F11" s="1440" t="s">
        <v>13</v>
      </c>
      <c r="I11" s="1442" t="s">
        <v>3343</v>
      </c>
    </row>
    <row r="12" spans="1:23">
      <c r="A12" s="1438" t="s">
        <v>1036</v>
      </c>
      <c r="B12" s="1438" t="s">
        <v>1037</v>
      </c>
      <c r="C12" s="1439" t="s">
        <v>323</v>
      </c>
      <c r="I12" s="1442" t="s">
        <v>3344</v>
      </c>
    </row>
    <row r="13" spans="1:23">
      <c r="A13" s="1438" t="s">
        <v>1038</v>
      </c>
      <c r="B13" s="1438" t="s">
        <v>1039</v>
      </c>
      <c r="C13" s="1439" t="s">
        <v>324</v>
      </c>
      <c r="I13" s="1442" t="s">
        <v>3345</v>
      </c>
    </row>
    <row r="14" spans="1:23">
      <c r="A14" s="1438" t="s">
        <v>1040</v>
      </c>
      <c r="B14" s="1438" t="s">
        <v>1041</v>
      </c>
      <c r="C14" s="1440" t="s">
        <v>13</v>
      </c>
      <c r="I14" s="1442" t="s">
        <v>3346</v>
      </c>
    </row>
    <row r="15" spans="1:23">
      <c r="A15" s="1438" t="s">
        <v>1042</v>
      </c>
      <c r="B15" s="1438" t="s">
        <v>1043</v>
      </c>
      <c r="C15" s="1439"/>
      <c r="I15" s="1442" t="s">
        <v>3347</v>
      </c>
    </row>
    <row r="16" spans="1:23">
      <c r="A16" s="1438" t="s">
        <v>1044</v>
      </c>
      <c r="B16" s="1438" t="s">
        <v>312</v>
      </c>
      <c r="C16" s="1439"/>
    </row>
    <row r="17" spans="1:3">
      <c r="A17" s="1438" t="s">
        <v>1045</v>
      </c>
      <c r="B17" s="1438" t="s">
        <v>2288</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56"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444" t="s">
        <v>385</v>
      </c>
      <c r="C54" s="1442" t="s">
        <v>583</v>
      </c>
    </row>
    <row r="55" spans="1:4">
      <c r="A55" s="3256"/>
      <c r="B55" s="1444" t="s">
        <v>386</v>
      </c>
      <c r="C55" s="1442" t="s">
        <v>584</v>
      </c>
    </row>
    <row r="56" spans="1:4">
      <c r="A56" s="3256"/>
      <c r="B56" s="1444" t="s">
        <v>387</v>
      </c>
      <c r="C56" s="1442" t="s">
        <v>588</v>
      </c>
    </row>
    <row r="57" spans="1:4">
      <c r="A57" s="3256"/>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257" t="s">
        <v>2577</v>
      </c>
      <c r="J2" s="3257"/>
      <c r="K2" s="3257"/>
      <c r="L2" s="3257"/>
      <c r="M2" s="3257"/>
      <c r="N2" s="3257"/>
      <c r="O2" s="3257"/>
      <c r="P2" s="3257"/>
      <c r="Q2" s="3257"/>
      <c r="R2" s="3257"/>
    </row>
    <row r="3" spans="1:18">
      <c r="A3" s="2755" t="s">
        <v>2498</v>
      </c>
      <c r="B3" s="2756">
        <f>项目基本情况!D3</f>
        <v>45639</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2.0099999999999998</v>
      </c>
      <c r="D5" s="2760">
        <f>IF(ISERROR(ROUND(POWER(1+E5,A5-C5)*(POWER(1+E5,C5)-1)/(POWER(1+E5,A5)-1),3)),0,ROUND(POWER(1+E5,A5-C5)*(POWER(1+E5,C5)-1)/(POWER(1+E5,A5)-1),4))</f>
        <v>9.5799999999999996E-2</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12.02</v>
      </c>
      <c r="D6" s="2760">
        <f>IF(ISERROR(ROUND(POWER(1+E6,A6-C6)*(POWER(1+E6,C6)-1)/(POWER(1+E6,A6)-1),3)),0,ROUND(POWER(1+E6,A6-C6)*(POWER(1+E6,C6)-1)/(POWER(1+E6,A6)-1),4))</f>
        <v>0.43740000000000001</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32.03</v>
      </c>
      <c r="D7" s="2760">
        <f>IF(ISERROR(ROUND(POWER(1+E7,A7-C7)*(POWER(1+E7,C7)-1)/(POWER(1+E7,A7)-1),3)),0,ROUND(POWER(1+E7,A7-C7)*(POWER(1+E7,C7)-1)/(POWER(1+E7,A7)-1),4))</f>
        <v>0.76439999999999997</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2564</v>
      </c>
      <c r="M23" s="2792" t="s">
        <v>2565</v>
      </c>
    </row>
    <row r="24" spans="1:13">
      <c r="A24" s="2769" t="s">
        <v>2525</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2563</v>
      </c>
      <c r="M24" s="2792">
        <v>10</v>
      </c>
    </row>
    <row r="25" spans="1:13">
      <c r="A25" s="2769" t="s">
        <v>2526</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2567</v>
      </c>
      <c r="M25" s="2792">
        <v>8</v>
      </c>
    </row>
    <row r="26" spans="1:13">
      <c r="A26" s="2774"/>
      <c r="B26" s="2775"/>
      <c r="C26" s="2775"/>
      <c r="D26" s="2775"/>
      <c r="E26" s="2775"/>
      <c r="F26" s="2775"/>
      <c r="G26" s="2776"/>
      <c r="I26" s="2792">
        <v>30</v>
      </c>
      <c r="J26" s="2792">
        <v>90.5</v>
      </c>
      <c r="K26" s="2792">
        <f t="shared" si="2"/>
        <v>4.2000000000000028</v>
      </c>
      <c r="L26" s="2792" t="s">
        <v>2568</v>
      </c>
      <c r="M26" s="2792">
        <v>5</v>
      </c>
    </row>
    <row r="27" spans="1:13">
      <c r="A27" s="2774" t="s">
        <v>2527</v>
      </c>
      <c r="B27" s="2775"/>
      <c r="C27" s="2775"/>
      <c r="D27" s="2775"/>
      <c r="E27" s="2775"/>
      <c r="F27" s="2775"/>
      <c r="G27" s="2776"/>
      <c r="I27" s="2792">
        <v>35</v>
      </c>
      <c r="J27" s="2792">
        <v>93.8</v>
      </c>
      <c r="K27" s="2792">
        <f t="shared" si="2"/>
        <v>3.2999999999999972</v>
      </c>
      <c r="L27" s="2792" t="s">
        <v>2569</v>
      </c>
      <c r="M27" s="2792">
        <v>3</v>
      </c>
    </row>
    <row r="28" spans="1:13">
      <c r="A28" s="2774" t="s">
        <v>2528</v>
      </c>
      <c r="B28" s="2775"/>
      <c r="C28" s="2775"/>
      <c r="D28" s="2775"/>
      <c r="E28" s="2775"/>
      <c r="F28" s="2775"/>
      <c r="G28" s="2776"/>
      <c r="I28" s="2792">
        <v>40</v>
      </c>
      <c r="J28" s="2792">
        <v>96.4</v>
      </c>
      <c r="K28" s="2792">
        <f t="shared" si="2"/>
        <v>2.6000000000000085</v>
      </c>
      <c r="L28" s="2792" t="s">
        <v>2570</v>
      </c>
      <c r="M28" s="2792">
        <v>2</v>
      </c>
    </row>
    <row r="29" spans="1:13">
      <c r="A29" s="2774" t="s">
        <v>2529</v>
      </c>
      <c r="B29" s="2775"/>
      <c r="C29" s="2775"/>
      <c r="D29" s="2775"/>
      <c r="E29" s="2775"/>
      <c r="F29" s="2775"/>
      <c r="G29" s="2776"/>
      <c r="I29" s="2792">
        <v>45</v>
      </c>
      <c r="J29" s="2792">
        <v>98.4</v>
      </c>
      <c r="K29" s="2792">
        <f t="shared" si="2"/>
        <v>2</v>
      </c>
    </row>
    <row r="30" spans="1:13">
      <c r="A30" s="2774" t="s">
        <v>2530</v>
      </c>
      <c r="B30" s="2775"/>
      <c r="C30" s="2775"/>
      <c r="D30" s="2775"/>
      <c r="E30" s="2775"/>
      <c r="F30" s="2775"/>
      <c r="G30" s="2776"/>
      <c r="I30" s="2792">
        <v>50</v>
      </c>
      <c r="J30" s="2792">
        <v>100</v>
      </c>
      <c r="K30" s="2792">
        <f t="shared" si="2"/>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3">J36-J35</f>
        <v>9.2999999999999972</v>
      </c>
      <c r="L36" s="2792" t="s">
        <v>2564</v>
      </c>
      <c r="M36" s="2792" t="s">
        <v>2565</v>
      </c>
    </row>
    <row r="37" spans="1:13">
      <c r="A37" s="2774" t="s">
        <v>2537</v>
      </c>
      <c r="B37" s="2775"/>
      <c r="C37" s="2775"/>
      <c r="D37" s="2775"/>
      <c r="E37" s="2775"/>
      <c r="F37" s="2775"/>
      <c r="G37" s="2776"/>
      <c r="I37" s="2792">
        <v>20</v>
      </c>
      <c r="J37" s="2792">
        <v>83.6</v>
      </c>
      <c r="K37" s="2792">
        <f t="shared" si="3"/>
        <v>7.2999999999999972</v>
      </c>
      <c r="L37" s="2792" t="s">
        <v>2563</v>
      </c>
      <c r="M37" s="2792">
        <v>10</v>
      </c>
    </row>
    <row r="38" spans="1:13">
      <c r="A38" s="2774" t="s">
        <v>2538</v>
      </c>
      <c r="B38" s="2775"/>
      <c r="C38" s="2775"/>
      <c r="D38" s="2775"/>
      <c r="E38" s="2775"/>
      <c r="F38" s="2775"/>
      <c r="G38" s="2776"/>
      <c r="I38" s="2792">
        <v>25</v>
      </c>
      <c r="J38" s="2792">
        <v>89.3</v>
      </c>
      <c r="K38" s="2792">
        <f t="shared" si="3"/>
        <v>5.7000000000000028</v>
      </c>
      <c r="L38" s="2792" t="s">
        <v>2567</v>
      </c>
      <c r="M38" s="2792">
        <v>8</v>
      </c>
    </row>
    <row r="39" spans="1:13">
      <c r="A39" s="2774"/>
      <c r="B39" s="2775"/>
      <c r="C39" s="2775"/>
      <c r="D39" s="2775"/>
      <c r="E39" s="2775"/>
      <c r="F39" s="2775"/>
      <c r="G39" s="2776"/>
      <c r="I39" s="2792">
        <v>30</v>
      </c>
      <c r="J39" s="2792">
        <v>93.8</v>
      </c>
      <c r="K39" s="2792">
        <f t="shared" si="3"/>
        <v>4.5</v>
      </c>
      <c r="L39" s="2792" t="s">
        <v>2568</v>
      </c>
      <c r="M39" s="2792">
        <v>6</v>
      </c>
    </row>
    <row r="40" spans="1:13">
      <c r="A40" s="2777" t="s">
        <v>2539</v>
      </c>
      <c r="B40" s="2778"/>
      <c r="C40" s="2778"/>
      <c r="D40" s="2778"/>
      <c r="E40" s="2778"/>
      <c r="F40" s="2778"/>
      <c r="G40" s="2779"/>
      <c r="I40" s="2792">
        <v>35</v>
      </c>
      <c r="J40" s="2792">
        <v>97.2</v>
      </c>
      <c r="K40" s="2792">
        <f t="shared" si="3"/>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3"/>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5"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7" t="s">
        <v>2167</v>
      </c>
      <c r="B1" s="3265" t="str">
        <f>IF(B10="北京市","北京市",C10)&amp;F10&amp;IF(结果表!G1="在建","出让国有建设用地使用权及在建建筑物",IF(结果表!G1="土地","出让国有建设用地使用权",))&amp;B9&amp;"预评估"</f>
        <v>北京市顺义区顺义新城第1街区01-01-09地块R2二类居住用地、01-01-04地块A334托幼用地出让国有建设用地使用权及在建建筑物房地产抵押价值预评估</v>
      </c>
      <c r="C1" s="3266"/>
      <c r="D1" s="3266"/>
      <c r="E1" s="3266"/>
      <c r="F1" s="3266"/>
      <c r="G1" s="3266"/>
      <c r="H1" s="3266"/>
      <c r="I1" s="3267"/>
      <c r="J1" s="2241"/>
      <c r="K1" s="2179"/>
      <c r="L1" s="2180"/>
      <c r="M1" s="2180"/>
      <c r="N1" s="2178"/>
      <c r="O1" s="1463"/>
      <c r="P1" s="2178"/>
      <c r="Q1" s="2178"/>
      <c r="R1" s="2178"/>
      <c r="S1" s="1558" t="str">
        <f>IF(B10="北京市","北京市",C10)&amp;F10&amp;IF(结果表!G1="在建","出让国有建设用地使用权及在建建筑物房地产抵押价值",IF(结果表!G1="土地","出让国有建设用地使用权抵押价值",B9))</f>
        <v>北京市顺义区顺义新城第1街区01-01-09地块R2二类居住用地、01-01-04地块A334托幼用地出让国有建设用地使用权及在建建筑物房地产抵押价值</v>
      </c>
      <c r="T1" s="1614"/>
      <c r="U1" s="1614"/>
      <c r="V1" s="1614"/>
      <c r="W1" s="1614"/>
      <c r="X1" s="1614"/>
      <c r="Y1" s="1614"/>
      <c r="Z1" s="1614"/>
      <c r="AA1" s="1614"/>
      <c r="AB1" s="1614"/>
    </row>
    <row r="2" spans="1:30">
      <c r="A2" s="2178" t="s">
        <v>2168</v>
      </c>
      <c r="B2" s="120"/>
      <c r="D2" s="2440"/>
      <c r="E2" s="2434"/>
      <c r="F2" s="2434"/>
      <c r="G2" s="2435"/>
      <c r="H2" s="2435"/>
      <c r="I2" s="2435"/>
      <c r="J2" s="2241"/>
      <c r="K2" s="2179"/>
      <c r="L2" s="2180"/>
      <c r="M2" s="2180"/>
      <c r="N2" s="2178"/>
      <c r="O2" s="1463"/>
      <c r="P2" s="2178"/>
      <c r="Q2" s="2178"/>
      <c r="R2" s="2178"/>
      <c r="S2" s="1558" t="str">
        <f>IF(B10="北京市","北京市",C10)&amp;F10&amp;IF(结果表!G1="在建","出让国有建设用地使用权及在建建筑物房地产",IF(结果表!G1="土地","出让国有建设用地使用权","房地产"))</f>
        <v>北京市顺义区顺义新城第1街区01-01-09地块R2二类居住用地、01-01-04地块A334托幼用地出让国有建设用地使用权及在建建筑物房地产</v>
      </c>
      <c r="T2" s="1614"/>
      <c r="U2" s="1614"/>
      <c r="V2" s="1614"/>
      <c r="W2" s="1614"/>
      <c r="X2" s="1614"/>
      <c r="Y2" s="1614"/>
      <c r="Z2" s="1614"/>
      <c r="AA2" s="1614"/>
      <c r="AB2" s="1614"/>
    </row>
    <row r="3" spans="1:30">
      <c r="A3" s="292" t="s">
        <v>2169</v>
      </c>
      <c r="B3" s="2181">
        <v>45639</v>
      </c>
      <c r="C3" s="2182" t="s">
        <v>2170</v>
      </c>
      <c r="D3" s="2181">
        <f>B3</f>
        <v>45639</v>
      </c>
      <c r="E3" s="2435"/>
      <c r="F3" s="2435"/>
      <c r="G3" s="2435"/>
      <c r="H3" s="2435"/>
      <c r="I3" s="2435"/>
      <c r="J3" s="2241"/>
      <c r="K3" s="2179"/>
      <c r="L3" s="2180"/>
      <c r="M3" s="2180"/>
      <c r="N3" s="2178"/>
      <c r="O3" s="1463"/>
      <c r="P3" s="2178"/>
      <c r="Q3" s="2178"/>
      <c r="R3" s="2178"/>
      <c r="S3" s="1558"/>
      <c r="T3" s="1614"/>
      <c r="U3" s="1614"/>
      <c r="V3" s="1614"/>
      <c r="W3" s="1614"/>
      <c r="X3" s="1614"/>
      <c r="Y3" s="1614"/>
      <c r="Z3" s="1614"/>
      <c r="AA3" s="1614"/>
      <c r="AB3" s="1614"/>
    </row>
    <row r="4" spans="1:30" ht="13.5" thickBot="1">
      <c r="A4" s="1024" t="s">
        <v>2171</v>
      </c>
      <c r="B4" s="2183" t="s">
        <v>3385</v>
      </c>
      <c r="C4" s="2184">
        <f ca="1">SUMIF(注册房地产估价师,B4,估价师及机构信息!B3:B24)</f>
        <v>1419970001</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吴薇（注册号：1419970001)、（注册号：0)</v>
      </c>
      <c r="L4" s="2180"/>
      <c r="M4" s="2180"/>
      <c r="N4" s="2178"/>
      <c r="O4" s="1463"/>
      <c r="P4" s="2178"/>
      <c r="Q4" s="2178"/>
      <c r="R4" s="2178"/>
      <c r="S4" s="1558"/>
      <c r="T4" s="1614"/>
      <c r="U4" s="1614"/>
      <c r="V4" s="1614"/>
      <c r="W4" s="1614"/>
      <c r="X4" s="1614"/>
      <c r="Y4" s="1614"/>
      <c r="Z4" s="1614"/>
      <c r="AA4" s="1614"/>
      <c r="AB4" s="1614"/>
    </row>
    <row r="5" spans="1:30" ht="13.5" thickTop="1">
      <c r="A5" s="2186" t="s">
        <v>2172</v>
      </c>
      <c r="B5" s="2187"/>
      <c r="C5" s="2188"/>
      <c r="D5" s="2189"/>
      <c r="E5" s="2435"/>
      <c r="F5" s="2435"/>
      <c r="G5" s="2435"/>
      <c r="H5" s="2435"/>
      <c r="I5" s="2435"/>
      <c r="J5" s="2241"/>
      <c r="K5" s="2185" t="str">
        <f>IF(F4="——","",IF(H4="——",F4&amp;"（注册号："&amp;G4&amp;")",CONCATENATE(F4,"（注册号：",G4,")、",H4,"（注册号：",I4,")")))</f>
        <v>（注册号：0)、（注册号：0)</v>
      </c>
      <c r="L5" s="2180"/>
      <c r="M5" s="2180"/>
      <c r="N5" s="2178"/>
      <c r="O5" s="1463"/>
      <c r="P5" s="2178"/>
      <c r="Q5" s="2178"/>
      <c r="R5" s="2178"/>
      <c r="S5" s="1614"/>
      <c r="T5" s="1614"/>
      <c r="U5" s="1614"/>
      <c r="V5" s="1614"/>
      <c r="W5" s="1614"/>
      <c r="X5" s="1614"/>
      <c r="Y5" s="1614"/>
      <c r="Z5" s="1614"/>
      <c r="AA5" s="1614"/>
      <c r="AB5" s="1614"/>
    </row>
    <row r="6" spans="1:30">
      <c r="A6" s="2190" t="s">
        <v>2173</v>
      </c>
      <c r="B6" s="2191"/>
      <c r="C6" s="2192"/>
      <c r="D6" s="2193"/>
      <c r="E6" s="2434"/>
      <c r="F6" s="2435"/>
      <c r="G6" s="2435"/>
      <c r="H6" s="2435"/>
      <c r="I6" s="2435"/>
      <c r="J6" s="2241"/>
      <c r="K6" s="2394" t="str">
        <f>IF(COUNTIF(B6,"*上海银行*"),"上海银行","")</f>
        <v/>
      </c>
      <c r="L6" s="2392"/>
      <c r="M6" s="2392"/>
      <c r="N6" s="2241"/>
      <c r="O6" s="1666"/>
      <c r="P6" s="2241"/>
      <c r="Q6" s="2241"/>
      <c r="R6" s="2241"/>
    </row>
    <row r="7" spans="1:30">
      <c r="A7" s="2190" t="s">
        <v>2174</v>
      </c>
      <c r="B7" s="2194"/>
      <c r="C7" s="2192"/>
      <c r="D7" s="2193"/>
      <c r="E7" s="2434"/>
      <c r="F7" s="2435"/>
      <c r="G7" s="2435"/>
      <c r="H7" s="2435"/>
      <c r="I7" s="2435"/>
      <c r="J7" s="2241"/>
      <c r="K7" s="2395"/>
      <c r="L7" s="2392"/>
      <c r="M7" s="2392"/>
      <c r="N7" s="2241"/>
      <c r="O7" s="1666"/>
      <c r="P7" s="2241"/>
      <c r="Q7" s="2241"/>
      <c r="R7" s="2241"/>
    </row>
    <row r="8" spans="1:30">
      <c r="A8" s="2195" t="s">
        <v>2175</v>
      </c>
      <c r="B8" s="2196" t="s">
        <v>3386</v>
      </c>
      <c r="C8" s="2197"/>
      <c r="D8" s="3268" t="s">
        <v>2176</v>
      </c>
      <c r="E8" s="2198" t="s">
        <v>3387</v>
      </c>
      <c r="F8" s="2199"/>
      <c r="G8" s="2435"/>
      <c r="H8" s="2435"/>
      <c r="I8" s="2435"/>
      <c r="J8" s="2241"/>
      <c r="K8" s="2393"/>
      <c r="L8" s="2392"/>
      <c r="M8" s="2392"/>
      <c r="N8" s="2241"/>
      <c r="O8" s="1666"/>
      <c r="P8" s="2241"/>
      <c r="Q8" s="2241"/>
      <c r="R8" s="2241"/>
    </row>
    <row r="9" spans="1:30" ht="13.5" thickBot="1">
      <c r="A9" s="2200" t="s">
        <v>2177</v>
      </c>
      <c r="B9" s="2201" t="s">
        <v>3387</v>
      </c>
      <c r="C9" s="2202"/>
      <c r="D9" s="3269"/>
      <c r="E9" s="2201"/>
      <c r="F9" s="2203"/>
      <c r="G9" s="2436"/>
      <c r="H9" s="2436"/>
      <c r="I9" s="2436"/>
      <c r="J9" s="2241"/>
      <c r="K9" s="2395"/>
      <c r="L9" s="2392"/>
      <c r="M9" s="2392"/>
      <c r="N9" s="2241"/>
      <c r="O9" s="1666"/>
      <c r="P9" s="2241"/>
      <c r="Q9" s="2241"/>
      <c r="R9" s="2241"/>
    </row>
    <row r="10" spans="1:30" ht="15" thickTop="1">
      <c r="A10" s="2204" t="s">
        <v>2178</v>
      </c>
      <c r="B10" s="2205" t="s">
        <v>3388</v>
      </c>
      <c r="C10" s="2206"/>
      <c r="D10" s="2189"/>
      <c r="E10" s="2207" t="s">
        <v>2179</v>
      </c>
      <c r="F10" s="3137" t="s">
        <v>3390</v>
      </c>
      <c r="G10" s="2437"/>
      <c r="H10" s="2438"/>
      <c r="I10" s="2439"/>
      <c r="J10" s="2241"/>
      <c r="K10" s="2395"/>
      <c r="L10" s="2392"/>
      <c r="M10" s="2392"/>
      <c r="N10" s="2241"/>
      <c r="O10" s="1666"/>
      <c r="P10" s="2241"/>
      <c r="Q10" s="2241"/>
      <c r="R10" s="2241"/>
    </row>
    <row r="11" spans="1:30">
      <c r="A11" s="2208" t="s">
        <v>2180</v>
      </c>
      <c r="B11" s="2209" t="s">
        <v>3389</v>
      </c>
      <c r="C11" s="2210"/>
      <c r="D11" s="2211"/>
      <c r="E11" s="2178"/>
      <c r="F11" s="2178"/>
      <c r="G11" s="2178"/>
      <c r="H11" s="2178"/>
      <c r="I11" s="2178"/>
      <c r="J11" s="2794"/>
      <c r="K11" s="2392"/>
      <c r="L11" s="2392"/>
      <c r="M11" s="2392"/>
      <c r="N11" s="2241"/>
      <c r="O11" s="1666"/>
      <c r="P11" s="2241"/>
      <c r="Q11" s="2241"/>
      <c r="R11" s="2241"/>
    </row>
    <row r="12" spans="1:30">
      <c r="A12" s="2212" t="s">
        <v>2181</v>
      </c>
      <c r="B12" s="313" t="s">
        <v>2182</v>
      </c>
      <c r="C12" s="2213" t="s">
        <v>2183</v>
      </c>
      <c r="D12" s="2213" t="s">
        <v>2184</v>
      </c>
      <c r="E12" s="2213" t="s">
        <v>2185</v>
      </c>
      <c r="F12" s="2213" t="s">
        <v>2186</v>
      </c>
      <c r="G12" s="2213" t="s">
        <v>2187</v>
      </c>
      <c r="H12" s="2213" t="s">
        <v>2188</v>
      </c>
      <c r="I12" s="2793" t="s">
        <v>2573</v>
      </c>
      <c r="J12" s="2795"/>
      <c r="K12" s="2392"/>
      <c r="L12" s="2392"/>
      <c r="M12" s="2241"/>
      <c r="N12" s="1666"/>
      <c r="O12" s="2241"/>
      <c r="P12" s="2241"/>
      <c r="Q12" s="2241"/>
      <c r="AD12" s="1614"/>
    </row>
    <row r="13" spans="1:30">
      <c r="A13" s="3114" t="s">
        <v>3329</v>
      </c>
      <c r="B13" s="2214" t="s">
        <v>2189</v>
      </c>
      <c r="C13" s="800">
        <v>70699</v>
      </c>
      <c r="D13" s="800">
        <v>59741</v>
      </c>
      <c r="E13" s="800"/>
      <c r="F13" s="800">
        <v>63394</v>
      </c>
      <c r="G13" s="800">
        <v>63394</v>
      </c>
      <c r="H13" s="800"/>
      <c r="I13" s="800"/>
      <c r="J13" s="2795"/>
      <c r="K13" s="2392"/>
      <c r="L13" s="2392"/>
      <c r="M13" s="2241"/>
      <c r="N13" s="1666"/>
      <c r="O13" s="2241"/>
      <c r="P13" s="2241"/>
      <c r="Q13" s="2241"/>
      <c r="AD13" s="1614"/>
    </row>
    <row r="14" spans="1:30">
      <c r="A14" s="1015"/>
      <c r="B14" s="2214" t="s">
        <v>2190</v>
      </c>
      <c r="C14" s="2215">
        <v>70</v>
      </c>
      <c r="D14" s="2215">
        <v>40</v>
      </c>
      <c r="E14" s="2215"/>
      <c r="F14" s="2215">
        <v>50</v>
      </c>
      <c r="G14" s="2215">
        <v>50</v>
      </c>
      <c r="H14" s="2215"/>
      <c r="I14" s="2215"/>
      <c r="J14" s="2796"/>
      <c r="K14" s="2392"/>
      <c r="L14" s="2392"/>
      <c r="M14" s="2241"/>
      <c r="N14" s="1666"/>
      <c r="O14" s="2241"/>
      <c r="P14" s="2241"/>
      <c r="Q14" s="2241"/>
      <c r="AD14" s="1614"/>
    </row>
    <row r="15" spans="1:30">
      <c r="A15" s="310"/>
      <c r="B15" s="2216" t="s">
        <v>2191</v>
      </c>
      <c r="C15" s="2217">
        <f>IF(A13="出让",IF(C13="","",ROUNDDOWN(MIN((C13-$D$3)/365,C14),2)),C14)</f>
        <v>68.650000000000006</v>
      </c>
      <c r="D15" s="2217">
        <f>IF(A13="出让",IF(D13="","",ROUNDDOWN(MIN((D13-$D$3)/365,D14),2)),D14)</f>
        <v>38.630000000000003</v>
      </c>
      <c r="E15" s="2217" t="str">
        <f>IF(A13="出让",IF(E13="","",ROUNDDOWN(MIN((E13-$D$3)/365,E14),2)),E14)</f>
        <v/>
      </c>
      <c r="F15" s="2217">
        <f>IF(A13="出让",IF(F13="","",ROUNDDOWN(MIN((F13-$D$3)/365,F14),2)),F14)</f>
        <v>48.64</v>
      </c>
      <c r="G15" s="2217">
        <f>IF(A13="出让",IF(G13="","",ROUNDDOWN(MIN((G13-$D$3)/365,G14),2)),G14)</f>
        <v>48.64</v>
      </c>
      <c r="H15" s="2217" t="str">
        <f>IF(A13="出让",IF(H13="","",ROUNDDOWN(MIN((H13-$D$3)/365,H14),2)),H14)</f>
        <v/>
      </c>
      <c r="I15" s="2217" t="str">
        <f>IF(A13="出让",IF(I13="","",ROUNDDOWN(MIN((I13-$D$3)/365,I14),2)),I14)</f>
        <v/>
      </c>
      <c r="J15" s="2797"/>
      <c r="K15" s="1666"/>
      <c r="L15" s="1666"/>
      <c r="M15" s="2241"/>
      <c r="N15" s="1666"/>
      <c r="O15" s="2241"/>
      <c r="P15" s="2241"/>
      <c r="Q15" s="2241"/>
      <c r="AD15" s="1614"/>
    </row>
    <row r="16" spans="1:30">
      <c r="A16" s="2207" t="s">
        <v>2192</v>
      </c>
      <c r="B16" s="3275"/>
      <c r="C16" s="3276"/>
      <c r="D16" s="3277"/>
      <c r="E16" s="2218" t="s">
        <v>2193</v>
      </c>
      <c r="F16" s="3278"/>
      <c r="G16" s="3279"/>
      <c r="H16" s="3279"/>
      <c r="I16" s="3280"/>
      <c r="J16" s="2241"/>
      <c r="K16" s="2396"/>
      <c r="L16" s="1666"/>
      <c r="M16" s="1666"/>
      <c r="N16" s="2241"/>
      <c r="O16" s="1666"/>
      <c r="P16" s="2241"/>
      <c r="Q16" s="2241"/>
      <c r="R16" s="2241"/>
    </row>
    <row r="17" spans="1:28">
      <c r="A17" s="303" t="s">
        <v>2194</v>
      </c>
      <c r="B17" s="292" t="s">
        <v>2195</v>
      </c>
      <c r="C17" s="8">
        <f>'数据-汇总表'!E3</f>
        <v>106355.86000000013</v>
      </c>
      <c r="D17" s="1253" t="s">
        <v>2196</v>
      </c>
      <c r="E17" s="3281" t="s">
        <v>2197</v>
      </c>
      <c r="F17" s="3282"/>
      <c r="G17" s="3282"/>
      <c r="H17" s="3282"/>
      <c r="I17" s="3283"/>
      <c r="J17" s="2241"/>
      <c r="K17" s="2397"/>
      <c r="L17" s="1666"/>
      <c r="M17" s="1666"/>
      <c r="N17" s="2241"/>
      <c r="O17" s="1666"/>
      <c r="P17" s="2241"/>
      <c r="Q17" s="2241"/>
      <c r="R17" s="2241"/>
      <c r="S17" s="2241"/>
      <c r="T17" s="2241"/>
      <c r="U17" s="2241"/>
      <c r="V17" s="2241"/>
    </row>
    <row r="18" spans="1:28" ht="24.75" thickBot="1">
      <c r="A18" s="2219" t="s">
        <v>2198</v>
      </c>
      <c r="B18" s="1024" t="s">
        <v>2199</v>
      </c>
      <c r="C18" s="2220">
        <f>'数据-汇总表'!D3</f>
        <v>39582.79</v>
      </c>
      <c r="D18" s="1026" t="s">
        <v>2200</v>
      </c>
      <c r="E18" s="3284" t="s">
        <v>2201</v>
      </c>
      <c r="F18" s="3285"/>
      <c r="G18" s="3285"/>
      <c r="H18" s="3285"/>
      <c r="I18" s="3286"/>
      <c r="J18" s="2241"/>
      <c r="K18" s="2397"/>
      <c r="L18" s="1666"/>
      <c r="M18" s="1666"/>
      <c r="N18" s="2241"/>
      <c r="O18" s="1666"/>
      <c r="P18" s="2241"/>
      <c r="Q18" s="2241"/>
      <c r="R18" s="2241"/>
      <c r="S18" s="2241"/>
      <c r="T18" s="2241"/>
      <c r="U18" s="2241"/>
      <c r="V18" s="2241"/>
    </row>
    <row r="19" spans="1:28" ht="37.5" thickTop="1" thickBot="1">
      <c r="A19" s="317" t="s">
        <v>1055</v>
      </c>
      <c r="B19" s="297" t="s">
        <v>2202</v>
      </c>
      <c r="C19" s="1452"/>
      <c r="D19" s="1453" t="s">
        <v>2203</v>
      </c>
      <c r="E19" s="1454"/>
      <c r="F19" s="1455" t="str">
        <f>IF(AND(C19="是",E19="否"),"是否提供他项权证或相关说明","")</f>
        <v/>
      </c>
      <c r="G19" s="1456"/>
      <c r="H19" s="2435"/>
      <c r="I19" s="2435"/>
      <c r="J19" s="2241"/>
      <c r="K19" s="2395"/>
      <c r="L19" s="2392"/>
      <c r="M19" s="2392"/>
      <c r="N19" s="2241"/>
      <c r="O19" s="1666"/>
      <c r="P19" s="2241"/>
      <c r="Q19" s="2241"/>
      <c r="R19" s="2241"/>
      <c r="S19" s="2241"/>
      <c r="T19" s="2241"/>
      <c r="U19" s="2241"/>
      <c r="V19" s="2241"/>
    </row>
    <row r="20" spans="1:28">
      <c r="A20" s="2410" t="s">
        <v>2204</v>
      </c>
      <c r="B20" s="3271" t="s">
        <v>2205</v>
      </c>
      <c r="C20" s="3272"/>
      <c r="D20" s="3273" t="s">
        <v>2206</v>
      </c>
      <c r="E20" s="3274"/>
      <c r="F20" s="2423" t="s">
        <v>1056</v>
      </c>
      <c r="G20" s="2435"/>
      <c r="H20" s="2435"/>
      <c r="I20" s="2435"/>
      <c r="J20" s="2241"/>
      <c r="K20" s="3270" t="s">
        <v>2207</v>
      </c>
      <c r="L20" s="6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3"/>
      <c r="P20" s="2178"/>
      <c r="Q20" s="2178"/>
      <c r="R20" s="2178"/>
      <c r="S20" s="2178"/>
      <c r="T20" s="2178"/>
      <c r="U20" s="2178"/>
      <c r="V20" s="2178"/>
      <c r="W20" s="1614"/>
      <c r="X20" s="1614"/>
      <c r="Y20" s="1614"/>
      <c r="Z20" s="1614"/>
      <c r="AA20" s="1614"/>
      <c r="AB20" s="1614"/>
    </row>
    <row r="21" spans="1:28" ht="24.75" thickBot="1">
      <c r="A21" s="2410"/>
      <c r="B21" s="2411" t="s">
        <v>2208</v>
      </c>
      <c r="C21" s="2289" t="s">
        <v>1057</v>
      </c>
      <c r="D21" s="1457" t="s">
        <v>2209</v>
      </c>
      <c r="E21" s="2412" t="s">
        <v>1057</v>
      </c>
      <c r="F21" s="2424"/>
      <c r="G21" s="2435"/>
      <c r="H21" s="2435"/>
      <c r="I21" s="2435"/>
      <c r="J21" s="2241"/>
      <c r="K21" s="3270"/>
      <c r="L21" s="6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3"/>
      <c r="P21" s="2178"/>
      <c r="Q21" s="2178"/>
      <c r="R21" s="2178"/>
      <c r="S21" s="2178"/>
      <c r="T21" s="2178"/>
      <c r="U21" s="2178"/>
      <c r="V21" s="2178"/>
      <c r="W21" s="1614"/>
      <c r="X21" s="1614"/>
      <c r="Y21" s="1614"/>
      <c r="Z21" s="1614"/>
      <c r="AA21" s="1614"/>
      <c r="AB21" s="1614"/>
    </row>
    <row r="22" spans="1:28" ht="24.75" thickBot="1">
      <c r="A22" s="2410"/>
      <c r="B22" s="2413" t="s">
        <v>2210</v>
      </c>
      <c r="C22" s="2289" t="s">
        <v>1058</v>
      </c>
      <c r="D22" s="2435"/>
      <c r="E22" s="2435"/>
      <c r="F22" s="2435"/>
      <c r="G22" s="2435"/>
      <c r="H22" s="2435"/>
      <c r="I22" s="2435"/>
      <c r="J22" s="2241"/>
      <c r="K22" s="3270"/>
      <c r="L22" s="6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3"/>
      <c r="P22" s="2178"/>
      <c r="Q22" s="2178"/>
      <c r="R22" s="2178"/>
      <c r="S22" s="2178"/>
      <c r="T22" s="2178"/>
      <c r="U22" s="2178"/>
      <c r="V22" s="2178"/>
      <c r="W22" s="1614"/>
      <c r="X22" s="1614"/>
      <c r="Y22" s="1614"/>
      <c r="Z22" s="1614"/>
      <c r="AA22" s="1614"/>
      <c r="AB22" s="1614"/>
    </row>
    <row r="23" spans="1:28">
      <c r="A23" s="2414" t="s">
        <v>2211</v>
      </c>
      <c r="B23" s="2286" t="s">
        <v>2212</v>
      </c>
      <c r="C23" s="2415"/>
      <c r="D23" s="2416" t="s">
        <v>2212</v>
      </c>
      <c r="E23" s="2417"/>
      <c r="F23" s="2435"/>
      <c r="G23" s="2435"/>
      <c r="H23" s="2435"/>
      <c r="I23" s="2435"/>
      <c r="J23" s="2241"/>
      <c r="K23" s="2394"/>
      <c r="L23" s="119"/>
      <c r="M23" s="2392"/>
      <c r="N23" s="2241"/>
      <c r="O23" s="1666"/>
      <c r="P23" s="2241"/>
      <c r="Q23" s="2241"/>
      <c r="R23" s="2241"/>
      <c r="S23" s="2241"/>
      <c r="T23" s="2241"/>
      <c r="U23" s="2241"/>
      <c r="V23" s="2241"/>
    </row>
    <row r="24" spans="1:28">
      <c r="A24" s="2414"/>
      <c r="B24" s="2286" t="s">
        <v>1059</v>
      </c>
      <c r="C24" s="2265"/>
      <c r="D24" s="2414" t="s">
        <v>1059</v>
      </c>
      <c r="E24" s="2418"/>
      <c r="F24" s="2435"/>
      <c r="G24" s="2435"/>
      <c r="H24" s="2435"/>
      <c r="I24" s="2435"/>
      <c r="J24" s="2241"/>
      <c r="K24" s="2394"/>
      <c r="L24" s="119"/>
      <c r="M24" s="2392"/>
      <c r="N24" s="2241"/>
      <c r="O24" s="1666"/>
      <c r="P24" s="2241"/>
      <c r="Q24" s="2241"/>
      <c r="R24" s="2241"/>
      <c r="S24" s="2241"/>
      <c r="T24" s="2241"/>
      <c r="U24" s="2241"/>
      <c r="V24" s="2241"/>
    </row>
    <row r="25" spans="1:28">
      <c r="A25" s="2414"/>
      <c r="B25" s="2286" t="s">
        <v>1060</v>
      </c>
      <c r="C25" s="2265"/>
      <c r="D25" s="2414" t="s">
        <v>1060</v>
      </c>
      <c r="E25" s="2418"/>
      <c r="F25" s="2435"/>
      <c r="G25" s="2435"/>
      <c r="H25" s="2435"/>
      <c r="I25" s="2435"/>
      <c r="J25" s="2241"/>
      <c r="K25" s="2395"/>
      <c r="L25" s="2392"/>
      <c r="M25" s="2392"/>
      <c r="N25" s="2241"/>
      <c r="O25" s="1666"/>
      <c r="P25" s="2241"/>
      <c r="Q25" s="2241"/>
      <c r="R25" s="2241"/>
      <c r="S25" s="2241"/>
      <c r="T25" s="2241"/>
      <c r="U25" s="2241"/>
      <c r="V25" s="2241"/>
    </row>
    <row r="26" spans="1:28" ht="13.5" thickBot="1">
      <c r="A26" s="2419"/>
      <c r="B26" s="2420" t="s">
        <v>1061</v>
      </c>
      <c r="C26" s="2421"/>
      <c r="D26" s="2419" t="s">
        <v>1061</v>
      </c>
      <c r="E26" s="2422"/>
      <c r="F26" s="2436"/>
      <c r="G26" s="2436"/>
      <c r="H26" s="2436"/>
      <c r="I26" s="2436"/>
      <c r="J26" s="2241"/>
      <c r="K26" s="2395"/>
      <c r="L26" s="2392"/>
      <c r="M26" s="2392"/>
      <c r="N26" s="2241"/>
      <c r="O26" s="1666"/>
      <c r="P26" s="2241"/>
      <c r="Q26" s="2241"/>
      <c r="R26" s="2241"/>
      <c r="S26" s="2241"/>
      <c r="T26" s="2241"/>
      <c r="U26" s="2241"/>
      <c r="V26" s="2241"/>
    </row>
    <row r="27" spans="1:28" ht="13.5" thickTop="1">
      <c r="A27" s="3259" t="s">
        <v>2213</v>
      </c>
      <c r="B27" s="310" t="s">
        <v>2214</v>
      </c>
      <c r="C27" s="2221"/>
      <c r="D27" s="2222"/>
      <c r="E27" s="2435"/>
      <c r="F27" s="2435"/>
      <c r="G27" s="2435"/>
      <c r="H27" s="2435"/>
      <c r="I27" s="2435"/>
      <c r="J27" s="2241"/>
      <c r="K27" s="2396"/>
      <c r="L27" s="1666"/>
      <c r="M27" s="1666"/>
      <c r="N27" s="2241"/>
      <c r="O27" s="1666"/>
      <c r="P27" s="2241"/>
      <c r="Q27" s="2241"/>
      <c r="R27" s="2241"/>
      <c r="S27" s="2241"/>
      <c r="T27" s="2241"/>
      <c r="U27" s="2241"/>
      <c r="V27" s="2241"/>
    </row>
    <row r="28" spans="1:28">
      <c r="A28" s="3259"/>
      <c r="B28" s="292" t="s">
        <v>2215</v>
      </c>
      <c r="C28" s="2223"/>
      <c r="D28" s="2224"/>
      <c r="E28" s="2435"/>
      <c r="F28" s="2435"/>
      <c r="G28" s="2435"/>
      <c r="H28" s="2435"/>
      <c r="I28" s="2435"/>
      <c r="J28" s="2241"/>
      <c r="K28" s="2395"/>
      <c r="L28" s="2392"/>
      <c r="M28" s="2392"/>
      <c r="N28" s="2241"/>
      <c r="O28" s="1666"/>
      <c r="P28" s="2241"/>
      <c r="Q28" s="2241"/>
      <c r="R28" s="2241"/>
      <c r="S28" s="2241"/>
      <c r="T28" s="2241"/>
      <c r="U28" s="2241"/>
      <c r="V28" s="2241"/>
    </row>
    <row r="29" spans="1:28">
      <c r="A29" s="3259"/>
      <c r="B29" s="292" t="s">
        <v>2216</v>
      </c>
      <c r="C29" s="2225"/>
      <c r="D29" s="2226"/>
      <c r="E29" s="2435"/>
      <c r="F29" s="2435"/>
      <c r="G29" s="2435"/>
      <c r="H29" s="2435"/>
      <c r="I29" s="2435"/>
      <c r="J29" s="2241"/>
      <c r="K29" s="2395"/>
      <c r="L29" s="2392"/>
      <c r="M29" s="2392"/>
      <c r="N29" s="2241"/>
      <c r="O29" s="1666"/>
      <c r="P29" s="2241"/>
      <c r="Q29" s="2241"/>
      <c r="R29" s="2241"/>
      <c r="S29" s="2241"/>
      <c r="T29" s="2241"/>
      <c r="U29" s="2241"/>
      <c r="V29" s="2241"/>
    </row>
    <row r="30" spans="1:28">
      <c r="A30" s="3260"/>
      <c r="B30" s="292" t="s">
        <v>2217</v>
      </c>
      <c r="C30" s="3261"/>
      <c r="D30" s="3262"/>
      <c r="E30" s="2435"/>
      <c r="F30" s="2435"/>
      <c r="G30" s="2435"/>
      <c r="H30" s="2435"/>
      <c r="I30" s="2435"/>
      <c r="J30" s="2241"/>
      <c r="K30" s="2395"/>
      <c r="L30" s="2392"/>
      <c r="M30" s="2392"/>
      <c r="N30" s="2241"/>
      <c r="O30" s="1666"/>
      <c r="P30" s="2241"/>
      <c r="Q30" s="2241"/>
      <c r="R30" s="2241"/>
      <c r="S30" s="2241"/>
      <c r="T30" s="2241"/>
      <c r="U30" s="2241"/>
      <c r="V30" s="2241"/>
    </row>
    <row r="31" spans="1:28">
      <c r="A31" s="3263" t="s">
        <v>2218</v>
      </c>
      <c r="B31" s="2227"/>
      <c r="C31" s="12" t="str">
        <f>IF(B31="现房","成新及维护状况正常否",IF(B31="在建","工程状态是否正常",IF(B31="土地","是否闲置","-")))</f>
        <v>-</v>
      </c>
      <c r="D31" s="1278"/>
      <c r="E31" s="2228"/>
      <c r="F31" s="2435"/>
      <c r="G31" s="2435"/>
      <c r="H31" s="2435"/>
      <c r="I31" s="2435"/>
      <c r="J31" s="2241"/>
      <c r="K31" s="2394"/>
      <c r="L31" s="2392"/>
      <c r="M31" s="2392"/>
      <c r="N31" s="2241"/>
      <c r="O31" s="1666"/>
      <c r="P31" s="2241"/>
      <c r="Q31" s="2241"/>
      <c r="R31" s="2241"/>
      <c r="S31" s="2241"/>
      <c r="T31" s="2241"/>
      <c r="U31" s="2241"/>
      <c r="V31" s="2241"/>
    </row>
    <row r="32" spans="1:28">
      <c r="A32" s="3264"/>
      <c r="B32" s="2227"/>
      <c r="C32" s="12" t="str">
        <f>IF(B32="现房","成新及维护状况是否正常",IF(B32="在建","工程状态是否正常",IF(B32="土地","是否闲置","-")))</f>
        <v>-</v>
      </c>
      <c r="D32" s="1278"/>
      <c r="E32" s="2228"/>
      <c r="F32" s="2435"/>
      <c r="G32" s="2435"/>
      <c r="H32" s="2435"/>
      <c r="I32" s="2435"/>
      <c r="J32" s="2241"/>
      <c r="K32" s="2395"/>
      <c r="L32" s="2392"/>
      <c r="M32" s="2392"/>
      <c r="N32" s="2241"/>
      <c r="O32" s="1666"/>
      <c r="P32" s="2241"/>
      <c r="Q32" s="2241"/>
      <c r="R32" s="2241"/>
      <c r="S32" s="2241"/>
      <c r="T32" s="2241"/>
      <c r="U32" s="2241"/>
      <c r="V32" s="2241"/>
    </row>
    <row r="33" spans="1:30">
      <c r="A33" s="3264"/>
      <c r="B33" s="2230"/>
      <c r="C33" s="1475" t="str">
        <f>IF(B33="现房","成新及维护状况是否正常",IF(B33="在建","工程状态是否正常",IF(B33="土地","是否闲置","-")))</f>
        <v>-</v>
      </c>
      <c r="D33" s="1271"/>
      <c r="E33" s="2231"/>
      <c r="F33" s="2435"/>
      <c r="G33" s="2435"/>
      <c r="H33" s="2435"/>
      <c r="I33" s="2435"/>
      <c r="J33" s="2241"/>
      <c r="K33" s="2395"/>
      <c r="L33" s="2392"/>
      <c r="M33" s="2392"/>
      <c r="N33" s="2241"/>
      <c r="O33" s="1666"/>
      <c r="P33" s="2241"/>
      <c r="Q33" s="2241"/>
      <c r="R33" s="2241"/>
      <c r="S33" s="2241"/>
      <c r="T33" s="2241"/>
      <c r="U33" s="2241"/>
      <c r="V33" s="2241"/>
    </row>
    <row r="34" spans="1:30">
      <c r="A34" s="292" t="s">
        <v>2219</v>
      </c>
      <c r="B34" s="1866" t="s">
        <v>3391</v>
      </c>
      <c r="C34" s="1866" t="s">
        <v>3392</v>
      </c>
      <c r="D34" s="1866" t="s">
        <v>3393</v>
      </c>
      <c r="E34" s="1866" t="s">
        <v>3394</v>
      </c>
      <c r="F34" s="1866" t="s">
        <v>3395</v>
      </c>
      <c r="G34" s="1866" t="s">
        <v>3396</v>
      </c>
      <c r="H34" s="1866" t="s">
        <v>3397</v>
      </c>
      <c r="I34" s="2435"/>
      <c r="J34" s="2241"/>
      <c r="K34" s="8">
        <f>COUNTIF(B34:H34,"——")</f>
        <v>0</v>
      </c>
      <c r="L34" s="313" t="s">
        <v>2220</v>
      </c>
      <c r="M34" s="313" t="s">
        <v>2221</v>
      </c>
      <c r="N34" s="313" t="s">
        <v>2222</v>
      </c>
      <c r="O34" s="313" t="s">
        <v>2223</v>
      </c>
      <c r="P34" s="313" t="s">
        <v>2224</v>
      </c>
      <c r="Q34" s="313" t="s">
        <v>2225</v>
      </c>
      <c r="R34" s="313" t="s">
        <v>2226</v>
      </c>
      <c r="S34" s="3258" t="s">
        <v>2227</v>
      </c>
      <c r="T34" s="313" t="str">
        <f>NUMBERSTRING(7-K34,1)&amp;"通"</f>
        <v>七通</v>
      </c>
      <c r="U34" s="2241"/>
      <c r="V34" s="2241"/>
    </row>
    <row r="35" spans="1:30">
      <c r="A35" s="2232"/>
      <c r="B35" s="3258" t="s">
        <v>2228</v>
      </c>
      <c r="C35" s="3258"/>
      <c r="D35" s="3258"/>
      <c r="E35" s="3258"/>
      <c r="F35" s="8">
        <f>C10</f>
        <v>0</v>
      </c>
      <c r="G35" s="2435"/>
      <c r="H35" s="2435"/>
      <c r="I35" s="2435"/>
      <c r="J35" s="2241"/>
      <c r="K35" s="313"/>
      <c r="L35" s="313" t="str">
        <f>B34</f>
        <v>通路</v>
      </c>
      <c r="M35" s="136" t="str">
        <f>B34&amp;"、"&amp;C34</f>
        <v>通路、通电</v>
      </c>
      <c r="N35" s="136" t="str">
        <f>B34&amp;"、"&amp;C34&amp;"、"&amp;D34</f>
        <v>通路、通电、通讯</v>
      </c>
      <c r="O35" s="136" t="str">
        <f>B34&amp;"、"&amp;C34&amp;"、"&amp;D34&amp;"、"&amp;E34</f>
        <v>通路、通电、通讯、通上水</v>
      </c>
      <c r="P35" s="136" t="str">
        <f>B34&amp;"、"&amp;C34&amp;"、"&amp;D34&amp;"、"&amp;E34&amp;"、"&amp;F34</f>
        <v>通路、通电、通讯、通上水、通下水</v>
      </c>
      <c r="Q35" s="136" t="str">
        <f>B34&amp;"、"&amp;C34&amp;"、"&amp;D34&amp;"、"&amp;E34&amp;"、"&amp;F34&amp;"、"&amp;G34</f>
        <v>通路、通电、通讯、通上水、通下水、通热</v>
      </c>
      <c r="R35" s="136" t="str">
        <f>B34&amp;"、"&amp;C34&amp;"、"&amp;D34&amp;"、"&amp;E34&amp;"、"&amp;F34&amp;"、"&amp;G34&amp;"、"&amp;H34</f>
        <v>通路、通电、通讯、通上水、通下水、通热、燃气</v>
      </c>
      <c r="S35" s="3258"/>
      <c r="T35" s="136" t="str">
        <f>IF(T34="一通",L35,IF(T34="二通",M35,IF(T34="三通",N35,IF(T34="四通",O35,IF(T34="五通",P35,IF(T34="六通",Q35,R35))))))</f>
        <v>通路、通电、通讯、通上水、通下水、通热、燃气</v>
      </c>
      <c r="U35" s="2241"/>
      <c r="V35" s="2241"/>
    </row>
    <row r="36" spans="1:30">
      <c r="A36" s="2179"/>
      <c r="B36" s="8" t="s">
        <v>2184</v>
      </c>
      <c r="C36" s="8" t="s">
        <v>2185</v>
      </c>
      <c r="D36" s="8" t="s">
        <v>2183</v>
      </c>
      <c r="E36" s="8" t="s">
        <v>2188</v>
      </c>
      <c r="F36" s="2793" t="s">
        <v>2576</v>
      </c>
      <c r="G36" s="2435"/>
      <c r="H36" s="2435"/>
      <c r="I36" s="2435"/>
      <c r="J36" s="2241"/>
      <c r="K36" s="2395"/>
      <c r="L36" s="2392"/>
      <c r="M36" s="2392"/>
      <c r="N36" s="2241"/>
      <c r="O36" s="1666"/>
      <c r="P36" s="2241"/>
      <c r="Q36" s="2241"/>
      <c r="R36" s="2241"/>
      <c r="S36" s="2241"/>
      <c r="T36" s="2241"/>
      <c r="U36" s="2241"/>
      <c r="V36" s="2241"/>
    </row>
    <row r="37" spans="1:30" ht="14.25">
      <c r="A37" s="2408" t="s">
        <v>2229</v>
      </c>
      <c r="B37" s="3138" t="s">
        <v>304</v>
      </c>
      <c r="C37" s="3138" t="s">
        <v>304</v>
      </c>
      <c r="D37" s="3138" t="s">
        <v>304</v>
      </c>
      <c r="E37" s="2233"/>
      <c r="F37" s="2233"/>
      <c r="G37" s="2435"/>
      <c r="H37" s="2435"/>
      <c r="I37" s="2435"/>
      <c r="J37" s="2241"/>
      <c r="K37" s="2395"/>
      <c r="L37" s="2392"/>
      <c r="M37" s="2392"/>
      <c r="N37" s="2241"/>
      <c r="O37" s="1666"/>
      <c r="P37" s="2241"/>
      <c r="Q37" s="2241"/>
      <c r="R37" s="2241"/>
      <c r="S37" s="2241"/>
      <c r="T37" s="2241"/>
      <c r="U37" s="2241"/>
      <c r="V37" s="2241"/>
    </row>
    <row r="38" spans="1:30" ht="13.5" thickBot="1">
      <c r="A38" s="2409" t="s">
        <v>2230</v>
      </c>
      <c r="B38" s="2234"/>
      <c r="C38" s="2234"/>
      <c r="D38" s="2234"/>
      <c r="E38" s="2234"/>
      <c r="F38" s="2234"/>
      <c r="G38" s="2436"/>
      <c r="H38" s="2436"/>
      <c r="I38" s="2436"/>
      <c r="J38" s="2241"/>
      <c r="K38" s="2395"/>
      <c r="L38" s="2392"/>
      <c r="M38" s="2392"/>
      <c r="N38" s="2241"/>
      <c r="O38" s="1666"/>
      <c r="P38" s="2241"/>
      <c r="Q38" s="2241"/>
      <c r="R38" s="2241"/>
      <c r="S38" s="2241"/>
      <c r="T38" s="2241"/>
      <c r="U38" s="2241"/>
      <c r="V38" s="2241"/>
    </row>
    <row r="39" spans="1:30" s="2237" customFormat="1" ht="14.25" thickTop="1" thickBot="1">
      <c r="A39" s="2235" t="s">
        <v>2231</v>
      </c>
      <c r="B39" s="2236"/>
      <c r="C39" s="2236"/>
      <c r="D39" s="2236"/>
      <c r="E39" s="2236"/>
      <c r="F39" s="2236"/>
      <c r="G39" s="2236"/>
      <c r="H39" s="2236"/>
      <c r="I39" s="2236"/>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8"/>
      <c r="B40" s="2178"/>
      <c r="C40" s="2178"/>
      <c r="D40" s="2178"/>
      <c r="E40" s="2178"/>
      <c r="F40" s="2178"/>
      <c r="G40" s="2178"/>
      <c r="H40" s="2178"/>
      <c r="I40" s="1463"/>
      <c r="J40" s="2241"/>
      <c r="K40" s="2394"/>
      <c r="L40" s="1666"/>
      <c r="M40" s="1666"/>
      <c r="N40" s="2241"/>
      <c r="O40" s="1666"/>
      <c r="P40" s="2241"/>
      <c r="Q40" s="2241"/>
      <c r="R40" s="2241"/>
      <c r="S40" s="2241"/>
      <c r="T40" s="2241"/>
      <c r="U40" s="2241"/>
      <c r="V40" s="2241"/>
    </row>
    <row r="41" spans="1:30">
      <c r="A41" s="2238" t="s">
        <v>2232</v>
      </c>
      <c r="B41" s="1623"/>
      <c r="C41" s="1278"/>
      <c r="D41" s="2178"/>
      <c r="E41" s="2178"/>
      <c r="F41" s="2178"/>
      <c r="G41" s="2178"/>
      <c r="H41" s="2178"/>
      <c r="I41" s="1463"/>
      <c r="J41" s="2241"/>
      <c r="K41" s="2395"/>
      <c r="L41" s="2392"/>
      <c r="M41" s="2392"/>
      <c r="N41" s="2241"/>
      <c r="O41" s="1666"/>
      <c r="P41" s="2241"/>
      <c r="Q41" s="2241"/>
      <c r="R41" s="2241"/>
      <c r="S41" s="2241"/>
      <c r="T41" s="2241"/>
      <c r="U41" s="2241"/>
      <c r="V41" s="2241"/>
    </row>
    <row r="42" spans="1:30" ht="25.5">
      <c r="A42" s="313" t="s">
        <v>2233</v>
      </c>
      <c r="B42" s="8" t="s">
        <v>2234</v>
      </c>
      <c r="C42" s="8" t="s">
        <v>2235</v>
      </c>
      <c r="D42" s="8" t="s">
        <v>2236</v>
      </c>
      <c r="E42" s="8" t="s">
        <v>2237</v>
      </c>
      <c r="F42" s="8" t="s">
        <v>2238</v>
      </c>
      <c r="G42" s="8" t="s">
        <v>2239</v>
      </c>
      <c r="H42" s="8" t="s">
        <v>2240</v>
      </c>
      <c r="I42" s="8" t="s">
        <v>2241</v>
      </c>
      <c r="J42" s="2404" t="s">
        <v>2242</v>
      </c>
      <c r="K42" s="2405" t="s">
        <v>2243</v>
      </c>
      <c r="L42" s="2405" t="s">
        <v>2244</v>
      </c>
      <c r="M42" s="2405" t="s">
        <v>2245</v>
      </c>
      <c r="N42" s="2398" t="s">
        <v>2246</v>
      </c>
      <c r="O42" s="2398" t="s">
        <v>2247</v>
      </c>
      <c r="P42" s="2398" t="s">
        <v>2248</v>
      </c>
      <c r="Q42" s="2399" t="s">
        <v>2249</v>
      </c>
      <c r="R42" s="2399" t="s">
        <v>2250</v>
      </c>
      <c r="S42" s="2241"/>
      <c r="T42" s="2241"/>
      <c r="U42" s="2241"/>
      <c r="V42" s="2241"/>
    </row>
    <row r="43" spans="1:30" s="1612" customFormat="1">
      <c r="A43" s="1459"/>
      <c r="B43" s="625"/>
      <c r="C43" s="625"/>
      <c r="D43" s="625"/>
      <c r="E43" s="625"/>
      <c r="F43" s="625"/>
      <c r="G43" s="625"/>
      <c r="H43" s="625"/>
      <c r="I43" s="625"/>
      <c r="J43" s="2239"/>
      <c r="K43" s="2240"/>
      <c r="L43" s="2240"/>
      <c r="M43" s="625"/>
      <c r="N43" s="625"/>
      <c r="O43" s="625"/>
      <c r="P43" s="625"/>
      <c r="Q43" s="625"/>
      <c r="R43" s="625"/>
      <c r="S43" s="2241"/>
      <c r="T43" s="2241"/>
      <c r="U43" s="2241"/>
      <c r="V43" s="2241"/>
    </row>
    <row r="44" spans="1:30" s="1612" customFormat="1">
      <c r="A44" s="1459"/>
      <c r="B44" s="1459"/>
      <c r="C44" s="625"/>
      <c r="D44" s="625"/>
      <c r="E44" s="625"/>
      <c r="F44" s="625"/>
      <c r="G44" s="625"/>
      <c r="H44" s="625"/>
      <c r="I44" s="625"/>
      <c r="J44" s="2239"/>
      <c r="K44" s="2240"/>
      <c r="L44" s="2240"/>
      <c r="M44" s="625"/>
      <c r="N44" s="625"/>
      <c r="O44" s="625"/>
      <c r="P44" s="625"/>
      <c r="Q44" s="625"/>
      <c r="R44" s="625"/>
      <c r="S44" s="2241"/>
      <c r="T44" s="2241"/>
      <c r="U44" s="2241"/>
      <c r="V44" s="2241"/>
    </row>
    <row r="45" spans="1:30" s="1612" customFormat="1">
      <c r="A45" s="1459"/>
      <c r="B45" s="1459"/>
      <c r="C45" s="625"/>
      <c r="D45" s="625"/>
      <c r="E45" s="625"/>
      <c r="F45" s="625"/>
      <c r="G45" s="625"/>
      <c r="H45" s="625"/>
      <c r="I45" s="625"/>
      <c r="J45" s="2239"/>
      <c r="K45" s="2240"/>
      <c r="L45" s="2240"/>
      <c r="M45" s="625"/>
      <c r="N45" s="625"/>
      <c r="O45" s="625"/>
      <c r="P45" s="625"/>
      <c r="Q45" s="625"/>
      <c r="R45" s="625"/>
      <c r="S45" s="2241"/>
      <c r="T45" s="2241"/>
      <c r="U45" s="2241"/>
      <c r="V45" s="2241"/>
    </row>
    <row r="46" spans="1:30" s="1612" customFormat="1">
      <c r="A46" s="1459"/>
      <c r="B46" s="1459"/>
      <c r="C46" s="625"/>
      <c r="D46" s="625"/>
      <c r="E46" s="625"/>
      <c r="F46" s="625"/>
      <c r="G46" s="625"/>
      <c r="H46" s="625"/>
      <c r="I46" s="625"/>
      <c r="J46" s="2239"/>
      <c r="K46" s="2240"/>
      <c r="L46" s="2240"/>
      <c r="M46" s="625"/>
      <c r="N46" s="625"/>
      <c r="O46" s="625"/>
      <c r="P46" s="625"/>
      <c r="Q46" s="625"/>
      <c r="R46" s="625"/>
      <c r="S46" s="2241"/>
      <c r="T46" s="2241"/>
      <c r="U46" s="2241"/>
      <c r="V46" s="2241"/>
    </row>
    <row r="47" spans="1:30" s="1612" customFormat="1">
      <c r="A47" s="1459"/>
      <c r="B47" s="1459"/>
      <c r="C47" s="625"/>
      <c r="D47" s="625"/>
      <c r="E47" s="625"/>
      <c r="F47" s="625"/>
      <c r="G47" s="625"/>
      <c r="H47" s="625"/>
      <c r="I47" s="625"/>
      <c r="J47" s="2239"/>
      <c r="K47" s="2240"/>
      <c r="L47" s="2240"/>
      <c r="M47" s="625"/>
      <c r="N47" s="625"/>
      <c r="O47" s="625"/>
      <c r="P47" s="625"/>
      <c r="Q47" s="625"/>
      <c r="R47" s="625"/>
      <c r="S47" s="2241"/>
      <c r="T47" s="2241"/>
      <c r="U47" s="2241"/>
      <c r="V47" s="2241"/>
    </row>
    <row r="48" spans="1:30" s="1612" customFormat="1">
      <c r="A48" s="1459"/>
      <c r="B48" s="1459"/>
      <c r="C48" s="625"/>
      <c r="D48" s="625"/>
      <c r="E48" s="625"/>
      <c r="F48" s="625"/>
      <c r="G48" s="625"/>
      <c r="H48" s="625"/>
      <c r="I48" s="625"/>
      <c r="J48" s="2239"/>
      <c r="K48" s="2240"/>
      <c r="L48" s="2240"/>
      <c r="M48" s="625"/>
      <c r="N48" s="625"/>
      <c r="O48" s="625"/>
      <c r="P48" s="625"/>
      <c r="Q48" s="625"/>
      <c r="R48" s="625"/>
      <c r="S48" s="2241"/>
      <c r="T48" s="2241"/>
      <c r="U48" s="2241"/>
      <c r="V48" s="2241"/>
    </row>
    <row r="49" spans="1:22" s="1612" customFormat="1">
      <c r="A49" s="1459"/>
      <c r="B49" s="1459"/>
      <c r="C49" s="625"/>
      <c r="D49" s="625"/>
      <c r="E49" s="625"/>
      <c r="F49" s="625"/>
      <c r="G49" s="625"/>
      <c r="H49" s="625"/>
      <c r="I49" s="625"/>
      <c r="J49" s="2239"/>
      <c r="K49" s="2240"/>
      <c r="L49" s="2240"/>
      <c r="M49" s="625"/>
      <c r="N49" s="625"/>
      <c r="O49" s="625"/>
      <c r="P49" s="625"/>
      <c r="Q49" s="625"/>
      <c r="R49" s="625"/>
      <c r="S49" s="2241"/>
      <c r="T49" s="2241"/>
      <c r="U49" s="2241"/>
      <c r="V49" s="2241"/>
    </row>
    <row r="50" spans="1:22" s="1612" customFormat="1">
      <c r="A50" s="1459"/>
      <c r="B50" s="1459"/>
      <c r="C50" s="625"/>
      <c r="D50" s="625"/>
      <c r="E50" s="625"/>
      <c r="F50" s="625"/>
      <c r="G50" s="625"/>
      <c r="H50" s="625"/>
      <c r="I50" s="625"/>
      <c r="J50" s="2239"/>
      <c r="K50" s="2240"/>
      <c r="L50" s="2240"/>
      <c r="M50" s="625"/>
      <c r="N50" s="625"/>
      <c r="O50" s="625"/>
      <c r="P50" s="625"/>
      <c r="Q50" s="625"/>
      <c r="R50" s="625"/>
      <c r="S50" s="2241"/>
      <c r="T50" s="2241"/>
      <c r="U50" s="2241"/>
      <c r="V50" s="2241"/>
    </row>
    <row r="51" spans="1:22" s="1612" customFormat="1">
      <c r="A51" s="1459"/>
      <c r="B51" s="1459"/>
      <c r="C51" s="625"/>
      <c r="D51" s="625"/>
      <c r="E51" s="625"/>
      <c r="F51" s="625"/>
      <c r="G51" s="625"/>
      <c r="H51" s="625"/>
      <c r="I51" s="625"/>
      <c r="J51" s="2239"/>
      <c r="K51" s="2240"/>
      <c r="L51" s="2240"/>
      <c r="M51" s="625"/>
      <c r="N51" s="625"/>
      <c r="O51" s="625"/>
      <c r="P51" s="625"/>
      <c r="Q51" s="625"/>
      <c r="R51" s="625"/>
    </row>
    <row r="52" spans="1:22" s="1612" customFormat="1">
      <c r="A52" s="1459"/>
      <c r="B52" s="1459"/>
      <c r="C52" s="1459"/>
      <c r="D52" s="1459"/>
      <c r="E52" s="1459"/>
      <c r="F52" s="625"/>
      <c r="G52" s="1459"/>
      <c r="H52" s="1459"/>
      <c r="I52" s="1459"/>
      <c r="J52" s="2242"/>
      <c r="K52" s="2240"/>
      <c r="L52" s="2240"/>
      <c r="M52" s="2240"/>
      <c r="N52" s="1459"/>
      <c r="O52" s="1459"/>
      <c r="P52" s="1459"/>
      <c r="Q52" s="1459"/>
      <c r="R52" s="1459"/>
    </row>
    <row r="53" spans="1:22" s="1612" customFormat="1">
      <c r="A53" s="1459"/>
      <c r="B53" s="1459"/>
      <c r="C53" s="1459"/>
      <c r="D53" s="1459"/>
      <c r="E53" s="1459"/>
      <c r="F53" s="625"/>
      <c r="G53" s="1459"/>
      <c r="H53" s="1459"/>
      <c r="I53" s="1459"/>
      <c r="J53" s="2242"/>
      <c r="K53" s="2240"/>
      <c r="L53" s="2240"/>
      <c r="M53" s="2240"/>
      <c r="N53" s="1459"/>
      <c r="O53" s="1459"/>
      <c r="P53" s="1459"/>
      <c r="Q53" s="1459"/>
      <c r="R53" s="1459"/>
    </row>
    <row r="54" spans="1:22" s="1612" customFormat="1">
      <c r="A54" s="1459"/>
      <c r="B54" s="1459"/>
      <c r="C54" s="1459"/>
      <c r="D54" s="1459"/>
      <c r="E54" s="1459"/>
      <c r="F54" s="625"/>
      <c r="G54" s="1459"/>
      <c r="H54" s="1459"/>
      <c r="I54" s="1459"/>
      <c r="J54" s="2242"/>
      <c r="K54" s="2240"/>
      <c r="L54" s="2240"/>
      <c r="M54" s="2240"/>
      <c r="N54" s="1459"/>
      <c r="O54" s="1459"/>
      <c r="P54" s="1459"/>
      <c r="Q54" s="1459"/>
      <c r="R54" s="1459"/>
    </row>
    <row r="55" spans="1:22" s="1612" customFormat="1">
      <c r="A55" s="1459"/>
      <c r="B55" s="1459"/>
      <c r="C55" s="1459"/>
      <c r="D55" s="1459"/>
      <c r="E55" s="1459"/>
      <c r="F55" s="625"/>
      <c r="G55" s="1459"/>
      <c r="H55" s="1459"/>
      <c r="I55" s="1459"/>
      <c r="J55" s="2242"/>
      <c r="K55" s="2240"/>
      <c r="L55" s="2240"/>
      <c r="M55" s="2240"/>
      <c r="N55" s="1459"/>
      <c r="O55" s="1459"/>
      <c r="P55" s="1459"/>
      <c r="Q55" s="1459"/>
      <c r="R55" s="1459"/>
    </row>
    <row r="56" spans="1:22" s="1612" customFormat="1">
      <c r="A56" s="1459"/>
      <c r="B56" s="1459"/>
      <c r="C56" s="1459"/>
      <c r="D56" s="1459"/>
      <c r="E56" s="1459"/>
      <c r="F56" s="625"/>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G78"/>
  <sheetViews>
    <sheetView zoomScale="150" zoomScaleNormal="150" workbookViewId="0">
      <pane xSplit="3" ySplit="2" topLeftCell="D48" activePane="bottomRight" state="frozen"/>
      <selection pane="topRight" activeCell="D1" sqref="D1"/>
      <selection pane="bottomLeft" activeCell="A3" sqref="A3"/>
      <selection pane="bottomRight" activeCell="G79" sqref="G79"/>
    </sheetView>
  </sheetViews>
  <sheetFormatPr defaultRowHeight="13.5"/>
  <cols>
    <col min="1" max="1" width="8.75" style="3142" customWidth="1"/>
    <col min="2" max="2" width="9.25" style="3142" customWidth="1"/>
    <col min="3" max="3" width="13.25" style="3142" customWidth="1"/>
    <col min="4" max="4" width="11.75" style="3142" customWidth="1"/>
    <col min="5" max="5" width="11.25" style="3142" customWidth="1"/>
    <col min="6" max="6" width="10.75" style="3142" customWidth="1"/>
    <col min="7" max="7" width="11" style="3142" customWidth="1"/>
    <col min="8" max="8" width="11.375" style="3142" customWidth="1"/>
    <col min="9" max="9" width="11" style="3153" customWidth="1"/>
    <col min="10" max="10" width="9.875" style="3142" customWidth="1"/>
    <col min="11" max="11" width="12.875" style="3142" customWidth="1"/>
    <col min="12" max="12" width="10.125" style="3142" customWidth="1"/>
    <col min="13" max="13" width="11.375" style="3153" customWidth="1"/>
    <col min="14" max="14" width="12.25" style="3142" customWidth="1"/>
    <col min="15" max="15" width="9.875" style="3142" customWidth="1"/>
    <col min="16" max="16" width="11.875" style="3142" customWidth="1"/>
    <col min="17" max="17" width="14.125" style="3142" customWidth="1"/>
    <col min="18" max="18" width="17.75" style="3142" customWidth="1"/>
    <col min="19" max="19" width="14" style="3142" customWidth="1"/>
    <col min="20" max="20" width="9.875" style="3142" customWidth="1"/>
    <col min="21" max="21" width="22" style="3142" customWidth="1"/>
    <col min="22" max="22" width="13.5" style="3142" customWidth="1"/>
    <col min="23" max="23" width="14.25" style="3142" customWidth="1"/>
    <col min="24" max="24" width="19" style="3142" customWidth="1"/>
    <col min="25" max="26" width="13.75" style="3142" customWidth="1"/>
    <col min="27" max="27" width="8.875" style="3142" customWidth="1"/>
    <col min="28" max="16384" width="9" style="3142"/>
  </cols>
  <sheetData>
    <row r="1" spans="1:31">
      <c r="A1" s="3296" t="s">
        <v>4017</v>
      </c>
      <c r="B1" s="3296" t="s">
        <v>4018</v>
      </c>
      <c r="C1" s="3296"/>
      <c r="D1" s="3296" t="s">
        <v>4019</v>
      </c>
      <c r="E1" s="3296" t="s">
        <v>4020</v>
      </c>
      <c r="F1" s="3296" t="s">
        <v>4021</v>
      </c>
      <c r="G1" s="3299" t="s">
        <v>4022</v>
      </c>
      <c r="H1" s="3299"/>
      <c r="I1" s="3299"/>
      <c r="J1" s="3299"/>
      <c r="K1" s="3299"/>
      <c r="L1" s="3139"/>
      <c r="M1" s="3140"/>
      <c r="N1" s="3293" t="s">
        <v>4023</v>
      </c>
      <c r="O1" s="3294"/>
      <c r="P1" s="3294"/>
      <c r="Q1" s="3294"/>
      <c r="R1" s="3294"/>
      <c r="S1" s="3294"/>
      <c r="T1" s="3294"/>
      <c r="U1" s="3294"/>
      <c r="V1" s="3294"/>
      <c r="W1" s="3294"/>
      <c r="X1" s="3294"/>
      <c r="Y1" s="3294"/>
      <c r="Z1" s="3294"/>
      <c r="AA1" s="3295"/>
      <c r="AB1" s="3141"/>
      <c r="AC1" s="3141"/>
    </row>
    <row r="2" spans="1:31">
      <c r="A2" s="3296"/>
      <c r="B2" s="3296"/>
      <c r="C2" s="3296"/>
      <c r="D2" s="3296"/>
      <c r="E2" s="3296"/>
      <c r="F2" s="3296"/>
      <c r="G2" s="3143" t="s">
        <v>2549</v>
      </c>
      <c r="H2" s="3143" t="s">
        <v>4024</v>
      </c>
      <c r="I2" s="3144" t="s">
        <v>4025</v>
      </c>
      <c r="J2" s="3143" t="s">
        <v>4026</v>
      </c>
      <c r="K2" s="3143" t="s">
        <v>4027</v>
      </c>
      <c r="L2" s="3143" t="s">
        <v>4028</v>
      </c>
      <c r="M2" s="3144" t="s">
        <v>4029</v>
      </c>
      <c r="N2" s="3145" t="s">
        <v>4030</v>
      </c>
      <c r="O2" s="3145" t="s">
        <v>4031</v>
      </c>
      <c r="P2" s="3145" t="s">
        <v>4032</v>
      </c>
      <c r="Q2" s="3145" t="s">
        <v>4027</v>
      </c>
      <c r="R2" s="3145" t="s">
        <v>4033</v>
      </c>
      <c r="S2" s="3145" t="s">
        <v>4034</v>
      </c>
      <c r="T2" s="3145" t="s">
        <v>4035</v>
      </c>
      <c r="U2" s="3145" t="s">
        <v>4036</v>
      </c>
      <c r="V2" s="3145" t="s">
        <v>4037</v>
      </c>
      <c r="W2" s="3145" t="s">
        <v>4038</v>
      </c>
      <c r="X2" s="3145" t="s">
        <v>4039</v>
      </c>
      <c r="Y2" s="3145" t="s">
        <v>4040</v>
      </c>
      <c r="Z2" s="3145" t="s">
        <v>4041</v>
      </c>
      <c r="AA2" s="3145" t="s">
        <v>4042</v>
      </c>
      <c r="AB2" s="3141" t="s">
        <v>4043</v>
      </c>
      <c r="AC2" s="3141" t="s">
        <v>4023</v>
      </c>
    </row>
    <row r="3" spans="1:31" s="3149" customFormat="1">
      <c r="A3" s="3287" t="s">
        <v>4044</v>
      </c>
      <c r="B3" s="3296" t="s">
        <v>2549</v>
      </c>
      <c r="C3" s="3146" t="s">
        <v>4045</v>
      </c>
      <c r="D3" s="3146">
        <f>E3+F3</f>
        <v>9477.82</v>
      </c>
      <c r="E3" s="3146">
        <f>G3+H3+I3+J3+K3+L3+M3</f>
        <v>8967.9599999999991</v>
      </c>
      <c r="F3" s="3146">
        <f>N3+O3+P3+Q3+R3+S3+T3+U3+V3+W3+X3+Y3+Z3+AA3</f>
        <v>509.86000000000058</v>
      </c>
      <c r="G3" s="3147">
        <v>8967.9599999999991</v>
      </c>
      <c r="H3" s="3147"/>
      <c r="I3" s="3144"/>
      <c r="J3" s="3147"/>
      <c r="K3" s="3147"/>
      <c r="L3" s="3147"/>
      <c r="M3" s="3144"/>
      <c r="N3" s="3148">
        <v>72.11999999999999</v>
      </c>
      <c r="O3" s="3148">
        <v>437.74000000000058</v>
      </c>
      <c r="P3" s="3148"/>
      <c r="Q3" s="3148"/>
      <c r="R3" s="3148"/>
      <c r="S3" s="3148"/>
      <c r="T3" s="3148"/>
      <c r="U3" s="3148"/>
      <c r="V3" s="3148"/>
      <c r="W3" s="3148"/>
      <c r="X3" s="3148"/>
      <c r="Y3" s="3148"/>
      <c r="Z3" s="3148"/>
      <c r="AA3" s="3148"/>
      <c r="AB3" s="3146">
        <v>11</v>
      </c>
      <c r="AC3" s="3146">
        <v>2</v>
      </c>
      <c r="AD3" s="3149">
        <f>N3/AE3</f>
        <v>9.0149999999999988</v>
      </c>
      <c r="AE3" s="3149">
        <v>8</v>
      </c>
    </row>
    <row r="4" spans="1:31" s="3149" customFormat="1">
      <c r="A4" s="3288"/>
      <c r="B4" s="3296"/>
      <c r="C4" s="3146" t="s">
        <v>4046</v>
      </c>
      <c r="D4" s="3146">
        <f t="shared" ref="D4:D26" si="0">E4+F4</f>
        <v>9455.9</v>
      </c>
      <c r="E4" s="3146">
        <f t="shared" ref="E4:E11" si="1">G4+H4+I4+J4+K4+L4+M4</f>
        <v>8971.26</v>
      </c>
      <c r="F4" s="3146">
        <f t="shared" ref="F4:F27" si="2">N4+O4+P4+Q4+R4+S4+T4+U4+V4+W4+X4+Y4+Z4+AA4</f>
        <v>484.63999999999942</v>
      </c>
      <c r="G4" s="3147">
        <v>8971.26</v>
      </c>
      <c r="H4" s="3147"/>
      <c r="I4" s="3144"/>
      <c r="J4" s="3147"/>
      <c r="K4" s="3147"/>
      <c r="L4" s="3147"/>
      <c r="M4" s="3144"/>
      <c r="N4" s="3148">
        <v>72.08</v>
      </c>
      <c r="O4" s="3148">
        <v>412.55999999999943</v>
      </c>
      <c r="P4" s="3148"/>
      <c r="Q4" s="3148"/>
      <c r="R4" s="3148"/>
      <c r="S4" s="3148"/>
      <c r="T4" s="3148"/>
      <c r="U4" s="3148"/>
      <c r="V4" s="3148"/>
      <c r="W4" s="3148"/>
      <c r="X4" s="3148"/>
      <c r="Y4" s="3148"/>
      <c r="Z4" s="3148"/>
      <c r="AA4" s="3148"/>
      <c r="AB4" s="3146">
        <v>11</v>
      </c>
      <c r="AC4" s="3146">
        <v>2</v>
      </c>
      <c r="AD4" s="3149">
        <f t="shared" ref="AD4:AD23" si="3">N4/AE4</f>
        <v>12.013333333333334</v>
      </c>
      <c r="AE4" s="3149">
        <v>6</v>
      </c>
    </row>
    <row r="5" spans="1:31" s="3149" customFormat="1">
      <c r="A5" s="3288"/>
      <c r="B5" s="3296"/>
      <c r="C5" s="3146" t="s">
        <v>4047</v>
      </c>
      <c r="D5" s="3146">
        <f t="shared" si="0"/>
        <v>5679.48</v>
      </c>
      <c r="E5" s="3146">
        <f>G5+H5+I5+J5+K5+L5+M5-I5</f>
        <v>5483.97</v>
      </c>
      <c r="F5" s="3146">
        <f t="shared" si="2"/>
        <v>195.50999999999962</v>
      </c>
      <c r="G5" s="3147">
        <v>5433.83</v>
      </c>
      <c r="H5" s="3147">
        <v>50.14</v>
      </c>
      <c r="I5" s="3144">
        <v>8.0299999999999994</v>
      </c>
      <c r="J5" s="3147"/>
      <c r="K5" s="3147"/>
      <c r="L5" s="3147"/>
      <c r="M5" s="3144"/>
      <c r="N5" s="3148">
        <v>47.460000000000008</v>
      </c>
      <c r="O5" s="3148">
        <v>148.04999999999961</v>
      </c>
      <c r="P5" s="3148"/>
      <c r="Q5" s="3148"/>
      <c r="R5" s="3148"/>
      <c r="S5" s="3148"/>
      <c r="T5" s="3148"/>
      <c r="U5" s="3148"/>
      <c r="V5" s="3148"/>
      <c r="W5" s="3148"/>
      <c r="X5" s="3148"/>
      <c r="Y5" s="3148"/>
      <c r="Z5" s="3148"/>
      <c r="AA5" s="3148"/>
      <c r="AB5" s="3146">
        <v>11</v>
      </c>
      <c r="AC5" s="3146">
        <v>1</v>
      </c>
      <c r="AD5" s="3149">
        <f t="shared" si="3"/>
        <v>11.865000000000002</v>
      </c>
      <c r="AE5" s="3149">
        <v>4</v>
      </c>
    </row>
    <row r="6" spans="1:31" s="3149" customFormat="1">
      <c r="A6" s="3288"/>
      <c r="B6" s="3296"/>
      <c r="C6" s="3146" t="s">
        <v>4048</v>
      </c>
      <c r="D6" s="3146">
        <f t="shared" si="0"/>
        <v>1941.06</v>
      </c>
      <c r="E6" s="3146">
        <f t="shared" si="1"/>
        <v>1748.27</v>
      </c>
      <c r="F6" s="3146">
        <f t="shared" si="2"/>
        <v>192.78999999999996</v>
      </c>
      <c r="G6" s="3147">
        <v>1748.27</v>
      </c>
      <c r="H6" s="3147"/>
      <c r="I6" s="3147"/>
      <c r="J6" s="3147"/>
      <c r="K6" s="3147"/>
      <c r="L6" s="3147"/>
      <c r="M6" s="3147"/>
      <c r="N6" s="3148">
        <v>23.16</v>
      </c>
      <c r="O6" s="3148">
        <v>169.62999999999997</v>
      </c>
      <c r="P6" s="3148"/>
      <c r="Q6" s="3148"/>
      <c r="R6" s="3148"/>
      <c r="S6" s="3148"/>
      <c r="T6" s="3148"/>
      <c r="U6" s="3148"/>
      <c r="V6" s="3148"/>
      <c r="W6" s="3148"/>
      <c r="X6" s="3148"/>
      <c r="Y6" s="3148"/>
      <c r="Z6" s="3148"/>
      <c r="AA6" s="3148"/>
      <c r="AB6" s="3146">
        <v>7</v>
      </c>
      <c r="AC6" s="3146">
        <v>1</v>
      </c>
      <c r="AD6" s="3149">
        <f t="shared" si="3"/>
        <v>11.58</v>
      </c>
      <c r="AE6" s="3149">
        <v>2</v>
      </c>
    </row>
    <row r="7" spans="1:31" s="3149" customFormat="1">
      <c r="A7" s="3288"/>
      <c r="B7" s="3296"/>
      <c r="C7" s="3146" t="s">
        <v>4049</v>
      </c>
      <c r="D7" s="3146">
        <f t="shared" si="0"/>
        <v>3429.56</v>
      </c>
      <c r="E7" s="3146">
        <f t="shared" si="1"/>
        <v>2989.94</v>
      </c>
      <c r="F7" s="3146">
        <f t="shared" si="2"/>
        <v>439.61999999999989</v>
      </c>
      <c r="G7" s="3147">
        <v>2989.94</v>
      </c>
      <c r="H7" s="3147"/>
      <c r="I7" s="3147"/>
      <c r="J7" s="3147"/>
      <c r="K7" s="3147"/>
      <c r="L7" s="3147"/>
      <c r="M7" s="3147"/>
      <c r="N7" s="3148">
        <v>8.24</v>
      </c>
      <c r="O7" s="3148">
        <v>176.7399999999999</v>
      </c>
      <c r="P7" s="3148">
        <v>254.64</v>
      </c>
      <c r="Q7" s="3148"/>
      <c r="R7" s="3148"/>
      <c r="S7" s="3148"/>
      <c r="T7" s="3148"/>
      <c r="U7" s="3148"/>
      <c r="V7" s="3148"/>
      <c r="W7" s="3148"/>
      <c r="X7" s="3148"/>
      <c r="Y7" s="3148"/>
      <c r="Z7" s="3148"/>
      <c r="AA7" s="3148"/>
      <c r="AB7" s="3146">
        <v>6</v>
      </c>
      <c r="AC7" s="3146">
        <v>1</v>
      </c>
      <c r="AD7" s="3149">
        <f t="shared" si="3"/>
        <v>8.24</v>
      </c>
      <c r="AE7" s="3149">
        <v>1</v>
      </c>
    </row>
    <row r="8" spans="1:31" s="3149" customFormat="1">
      <c r="A8" s="3288"/>
      <c r="B8" s="3296"/>
      <c r="C8" s="3146" t="s">
        <v>4050</v>
      </c>
      <c r="D8" s="3146">
        <f t="shared" si="0"/>
        <v>4039.11</v>
      </c>
      <c r="E8" s="3146">
        <f t="shared" si="1"/>
        <v>3674.2400000000002</v>
      </c>
      <c r="F8" s="3146">
        <f t="shared" si="2"/>
        <v>364.86999999999978</v>
      </c>
      <c r="G8" s="3147">
        <v>3673.1200000000003</v>
      </c>
      <c r="H8" s="3147">
        <v>1.1200000000000001</v>
      </c>
      <c r="I8" s="3147"/>
      <c r="J8" s="3147"/>
      <c r="K8" s="3147"/>
      <c r="L8" s="3147"/>
      <c r="M8" s="3147"/>
      <c r="N8" s="3148">
        <v>10.16</v>
      </c>
      <c r="O8" s="3148">
        <v>222.22999999999976</v>
      </c>
      <c r="P8" s="3148">
        <v>132.47999999999999</v>
      </c>
      <c r="Q8" s="3148"/>
      <c r="R8" s="3148"/>
      <c r="S8" s="3148"/>
      <c r="T8" s="3148"/>
      <c r="U8" s="3148"/>
      <c r="V8" s="3148"/>
      <c r="W8" s="3148"/>
      <c r="X8" s="3148"/>
      <c r="Y8" s="3148"/>
      <c r="Z8" s="3148"/>
      <c r="AA8" s="3148"/>
      <c r="AB8" s="3146">
        <v>9</v>
      </c>
      <c r="AC8" s="3146">
        <v>2</v>
      </c>
      <c r="AD8" s="3149">
        <f t="shared" si="3"/>
        <v>10.16</v>
      </c>
      <c r="AE8" s="3149">
        <v>1</v>
      </c>
    </row>
    <row r="9" spans="1:31" s="3149" customFormat="1">
      <c r="A9" s="3288"/>
      <c r="B9" s="3296"/>
      <c r="C9" s="3146" t="s">
        <v>4051</v>
      </c>
      <c r="D9" s="3146">
        <f>E9+F9</f>
        <v>3318.52</v>
      </c>
      <c r="E9" s="3146">
        <f t="shared" si="1"/>
        <v>3097.65</v>
      </c>
      <c r="F9" s="3146">
        <f t="shared" si="2"/>
        <v>220.86999999999983</v>
      </c>
      <c r="G9" s="3147">
        <v>3091.59</v>
      </c>
      <c r="H9" s="3147">
        <v>6.06</v>
      </c>
      <c r="I9" s="3147"/>
      <c r="J9" s="3147"/>
      <c r="K9" s="3147"/>
      <c r="L9" s="3147"/>
      <c r="M9" s="3147"/>
      <c r="N9" s="3148">
        <v>60.97</v>
      </c>
      <c r="O9" s="3148">
        <v>159.89999999999984</v>
      </c>
      <c r="P9" s="3148"/>
      <c r="Q9" s="3148"/>
      <c r="R9" s="3148"/>
      <c r="S9" s="3148"/>
      <c r="T9" s="3148"/>
      <c r="U9" s="3148"/>
      <c r="V9" s="3148"/>
      <c r="W9" s="3148"/>
      <c r="X9" s="3148"/>
      <c r="Y9" s="3148"/>
      <c r="Z9" s="3148"/>
      <c r="AA9" s="3148"/>
      <c r="AB9" s="3146">
        <v>8</v>
      </c>
      <c r="AC9" s="3146">
        <v>1</v>
      </c>
      <c r="AD9" s="3149">
        <f t="shared" si="3"/>
        <v>15.2425</v>
      </c>
      <c r="AE9" s="3149">
        <v>4</v>
      </c>
    </row>
    <row r="10" spans="1:31" s="3149" customFormat="1">
      <c r="A10" s="3288"/>
      <c r="B10" s="3296"/>
      <c r="C10" s="3146" t="s">
        <v>4052</v>
      </c>
      <c r="D10" s="3146">
        <f t="shared" si="0"/>
        <v>4336.58</v>
      </c>
      <c r="E10" s="3146">
        <f t="shared" si="1"/>
        <v>3820.64</v>
      </c>
      <c r="F10" s="3146">
        <f t="shared" si="2"/>
        <v>515.94000000000005</v>
      </c>
      <c r="G10" s="3147">
        <v>3820.64</v>
      </c>
      <c r="H10" s="3147"/>
      <c r="I10" s="3147"/>
      <c r="J10" s="3147"/>
      <c r="K10" s="3147"/>
      <c r="L10" s="3147"/>
      <c r="M10" s="3147"/>
      <c r="N10" s="3148">
        <v>20.11</v>
      </c>
      <c r="O10" s="3148">
        <v>263.33000000000004</v>
      </c>
      <c r="P10" s="3148">
        <v>232.5</v>
      </c>
      <c r="Q10" s="3148"/>
      <c r="R10" s="3148"/>
      <c r="S10" s="3148"/>
      <c r="T10" s="3148"/>
      <c r="U10" s="3148"/>
      <c r="V10" s="3148"/>
      <c r="W10" s="3148"/>
      <c r="X10" s="3148"/>
      <c r="Y10" s="3148"/>
      <c r="Z10" s="3148"/>
      <c r="AA10" s="3148"/>
      <c r="AB10" s="3146">
        <v>7</v>
      </c>
      <c r="AC10" s="3146">
        <v>2</v>
      </c>
      <c r="AD10" s="3149">
        <f t="shared" si="3"/>
        <v>10.055</v>
      </c>
      <c r="AE10" s="3149">
        <v>2</v>
      </c>
    </row>
    <row r="11" spans="1:31" s="3149" customFormat="1">
      <c r="A11" s="3288"/>
      <c r="B11" s="3296"/>
      <c r="C11" s="3146" t="s">
        <v>4053</v>
      </c>
      <c r="D11" s="3146">
        <f t="shared" si="0"/>
        <v>3463.73</v>
      </c>
      <c r="E11" s="3146">
        <f t="shared" si="1"/>
        <v>3087.0099999999998</v>
      </c>
      <c r="F11" s="3146">
        <f t="shared" si="2"/>
        <v>376.7200000000002</v>
      </c>
      <c r="G11" s="3147">
        <v>3080.95</v>
      </c>
      <c r="H11" s="3147">
        <v>6.06</v>
      </c>
      <c r="I11" s="3147"/>
      <c r="J11" s="3147"/>
      <c r="K11" s="3147"/>
      <c r="L11" s="3147"/>
      <c r="M11" s="3147"/>
      <c r="N11" s="3148">
        <v>55.339999999999996</v>
      </c>
      <c r="O11" s="3148">
        <v>321.38000000000022</v>
      </c>
      <c r="P11" s="3148"/>
      <c r="Q11" s="3148"/>
      <c r="R11" s="3148"/>
      <c r="S11" s="3148"/>
      <c r="T11" s="3148"/>
      <c r="U11" s="3148"/>
      <c r="V11" s="3148"/>
      <c r="W11" s="3148"/>
      <c r="X11" s="3148"/>
      <c r="Y11" s="3148"/>
      <c r="Z11" s="3148"/>
      <c r="AA11" s="3148"/>
      <c r="AB11" s="3146">
        <v>8</v>
      </c>
      <c r="AC11" s="3146">
        <v>2</v>
      </c>
      <c r="AD11" s="3149">
        <f t="shared" si="3"/>
        <v>13.834999999999999</v>
      </c>
      <c r="AE11" s="3149">
        <v>4</v>
      </c>
    </row>
    <row r="12" spans="1:31" s="3149" customFormat="1">
      <c r="A12" s="3288"/>
      <c r="B12" s="3296"/>
      <c r="C12" s="3146" t="s">
        <v>4054</v>
      </c>
      <c r="D12" s="3146">
        <f t="shared" si="0"/>
        <v>11970.98</v>
      </c>
      <c r="E12" s="3146">
        <f>G12+H12+I12+J12+K12+L12+M12</f>
        <v>11255.810000000001</v>
      </c>
      <c r="F12" s="3146">
        <f t="shared" si="2"/>
        <v>715.16999999999894</v>
      </c>
      <c r="G12" s="3147">
        <v>11255.61</v>
      </c>
      <c r="H12" s="3147">
        <v>0.2</v>
      </c>
      <c r="I12" s="3147"/>
      <c r="J12" s="3147"/>
      <c r="K12" s="3147"/>
      <c r="L12" s="3147"/>
      <c r="M12" s="3147"/>
      <c r="N12" s="3148">
        <v>93.47999999999999</v>
      </c>
      <c r="O12" s="3148">
        <v>621.68999999999892</v>
      </c>
      <c r="P12" s="3148"/>
      <c r="Q12" s="3148"/>
      <c r="R12" s="3148"/>
      <c r="S12" s="3148"/>
      <c r="T12" s="3148"/>
      <c r="U12" s="3148"/>
      <c r="V12" s="3148"/>
      <c r="W12" s="3148"/>
      <c r="X12" s="3148"/>
      <c r="Y12" s="3148"/>
      <c r="Z12" s="3148"/>
      <c r="AA12" s="3148"/>
      <c r="AB12" s="3146">
        <v>11</v>
      </c>
      <c r="AC12" s="3146">
        <v>2</v>
      </c>
      <c r="AD12" s="3149">
        <f t="shared" si="3"/>
        <v>13.354285714285712</v>
      </c>
      <c r="AE12" s="3149">
        <v>7</v>
      </c>
    </row>
    <row r="13" spans="1:31" s="3149" customFormat="1">
      <c r="A13" s="3288"/>
      <c r="B13" s="3296"/>
      <c r="C13" s="3146" t="s">
        <v>4055</v>
      </c>
      <c r="D13" s="3146">
        <f t="shared" si="0"/>
        <v>4528.55</v>
      </c>
      <c r="E13" s="3146">
        <f t="shared" ref="E13:E26" si="4">G13+H13+I13+J13+K13+L13+M13</f>
        <v>4152.47</v>
      </c>
      <c r="F13" s="3146">
        <f t="shared" si="2"/>
        <v>376.08000000000033</v>
      </c>
      <c r="G13" s="3147">
        <v>4151.91</v>
      </c>
      <c r="H13" s="3147">
        <f>0.28*2</f>
        <v>0.56000000000000005</v>
      </c>
      <c r="I13" s="3147"/>
      <c r="J13" s="3147"/>
      <c r="K13" s="3147"/>
      <c r="L13" s="3147"/>
      <c r="M13" s="3147"/>
      <c r="N13" s="3148"/>
      <c r="O13" s="3148">
        <v>376.08000000000033</v>
      </c>
      <c r="P13" s="3148"/>
      <c r="Q13" s="3148"/>
      <c r="R13" s="3148"/>
      <c r="S13" s="3148"/>
      <c r="T13" s="3148"/>
      <c r="U13" s="3148"/>
      <c r="V13" s="3148"/>
      <c r="W13" s="3148"/>
      <c r="X13" s="3148"/>
      <c r="Y13" s="3148"/>
      <c r="Z13" s="3148"/>
      <c r="AA13" s="3148"/>
      <c r="AB13" s="3146">
        <v>11</v>
      </c>
      <c r="AC13" s="3146">
        <v>1</v>
      </c>
      <c r="AD13" s="3149" t="e">
        <f t="shared" si="3"/>
        <v>#DIV/0!</v>
      </c>
      <c r="AE13" s="3149">
        <v>0</v>
      </c>
    </row>
    <row r="14" spans="1:31" s="3149" customFormat="1">
      <c r="A14" s="3288"/>
      <c r="B14" s="3296"/>
      <c r="C14" s="3146" t="s">
        <v>4056</v>
      </c>
      <c r="D14" s="3146">
        <f t="shared" si="0"/>
        <v>5218.67</v>
      </c>
      <c r="E14" s="3146">
        <f t="shared" si="4"/>
        <v>4934.12</v>
      </c>
      <c r="F14" s="3146">
        <f t="shared" si="2"/>
        <v>284.55000000000018</v>
      </c>
      <c r="G14" s="3147">
        <v>4934.12</v>
      </c>
      <c r="H14" s="3147"/>
      <c r="I14" s="3147"/>
      <c r="J14" s="3147"/>
      <c r="K14" s="3147"/>
      <c r="L14" s="3147"/>
      <c r="M14" s="3147"/>
      <c r="N14" s="3148">
        <v>45.72</v>
      </c>
      <c r="O14" s="3148">
        <v>238.83000000000018</v>
      </c>
      <c r="P14" s="3148"/>
      <c r="Q14" s="3148"/>
      <c r="R14" s="3148"/>
      <c r="S14" s="3148"/>
      <c r="T14" s="3148"/>
      <c r="U14" s="3148"/>
      <c r="V14" s="3148"/>
      <c r="W14" s="3148"/>
      <c r="X14" s="3148"/>
      <c r="Y14" s="3148"/>
      <c r="Z14" s="3148"/>
      <c r="AA14" s="3148"/>
      <c r="AB14" s="3146">
        <v>8</v>
      </c>
      <c r="AC14" s="3146">
        <v>1</v>
      </c>
      <c r="AD14" s="3149">
        <f t="shared" si="3"/>
        <v>11.43</v>
      </c>
      <c r="AE14" s="3149">
        <v>4</v>
      </c>
    </row>
    <row r="15" spans="1:31" s="3149" customFormat="1">
      <c r="A15" s="3288"/>
      <c r="B15" s="3296"/>
      <c r="C15" s="3146" t="s">
        <v>4057</v>
      </c>
      <c r="D15" s="3146">
        <f t="shared" si="0"/>
        <v>3355.02</v>
      </c>
      <c r="E15" s="3146">
        <f t="shared" si="4"/>
        <v>3087.99</v>
      </c>
      <c r="F15" s="3146">
        <f t="shared" si="2"/>
        <v>267.03000000000014</v>
      </c>
      <c r="G15" s="3147">
        <v>3081.93</v>
      </c>
      <c r="H15" s="3147">
        <v>6.06</v>
      </c>
      <c r="I15" s="3147"/>
      <c r="J15" s="3147"/>
      <c r="K15" s="3147"/>
      <c r="L15" s="3147"/>
      <c r="M15" s="3147"/>
      <c r="N15" s="3148">
        <v>55.26</v>
      </c>
      <c r="O15" s="3148">
        <v>211.77000000000015</v>
      </c>
      <c r="P15" s="3148"/>
      <c r="Q15" s="3148"/>
      <c r="R15" s="3148"/>
      <c r="S15" s="3148"/>
      <c r="T15" s="3148"/>
      <c r="U15" s="3148"/>
      <c r="V15" s="3148"/>
      <c r="W15" s="3148"/>
      <c r="X15" s="3148"/>
      <c r="Y15" s="3148"/>
      <c r="Z15" s="3148"/>
      <c r="AA15" s="3148"/>
      <c r="AB15" s="3146">
        <v>8</v>
      </c>
      <c r="AC15" s="3146">
        <v>1</v>
      </c>
      <c r="AD15" s="3149">
        <f t="shared" si="3"/>
        <v>13.815</v>
      </c>
      <c r="AE15" s="3149">
        <v>4</v>
      </c>
    </row>
    <row r="16" spans="1:31" s="3149" customFormat="1">
      <c r="A16" s="3288"/>
      <c r="B16" s="3296"/>
      <c r="C16" s="3146" t="s">
        <v>4058</v>
      </c>
      <c r="D16" s="3146">
        <f t="shared" si="0"/>
        <v>3302.16</v>
      </c>
      <c r="E16" s="3146">
        <f t="shared" si="4"/>
        <v>3087.5</v>
      </c>
      <c r="F16" s="3146">
        <f t="shared" si="2"/>
        <v>214.6599999999998</v>
      </c>
      <c r="G16" s="3147">
        <v>3081.44</v>
      </c>
      <c r="H16" s="3147">
        <v>6.06</v>
      </c>
      <c r="I16" s="3147"/>
      <c r="J16" s="3147"/>
      <c r="K16" s="3147"/>
      <c r="L16" s="3147"/>
      <c r="M16" s="3147"/>
      <c r="N16" s="3148">
        <v>55.72</v>
      </c>
      <c r="O16" s="3148">
        <v>158.9399999999998</v>
      </c>
      <c r="P16" s="3148"/>
      <c r="Q16" s="3148"/>
      <c r="R16" s="3148"/>
      <c r="S16" s="3148"/>
      <c r="T16" s="3148"/>
      <c r="U16" s="3148"/>
      <c r="V16" s="3148"/>
      <c r="W16" s="3148"/>
      <c r="X16" s="3148"/>
      <c r="Y16" s="3148"/>
      <c r="Z16" s="3148"/>
      <c r="AA16" s="3148"/>
      <c r="AB16" s="3146">
        <v>8</v>
      </c>
      <c r="AC16" s="3146">
        <v>1</v>
      </c>
      <c r="AD16" s="3149">
        <f t="shared" si="3"/>
        <v>13.93</v>
      </c>
      <c r="AE16" s="3149">
        <v>4</v>
      </c>
    </row>
    <row r="17" spans="1:33" s="3149" customFormat="1">
      <c r="A17" s="3288"/>
      <c r="B17" s="3296"/>
      <c r="C17" s="3146" t="s">
        <v>4059</v>
      </c>
      <c r="D17" s="3146">
        <f t="shared" si="0"/>
        <v>3650.86</v>
      </c>
      <c r="E17" s="3146">
        <f t="shared" si="4"/>
        <v>3479.49</v>
      </c>
      <c r="F17" s="3146">
        <f t="shared" si="2"/>
        <v>171.37000000000035</v>
      </c>
      <c r="G17" s="3147">
        <v>3479.49</v>
      </c>
      <c r="H17" s="3147"/>
      <c r="I17" s="3147"/>
      <c r="J17" s="3147"/>
      <c r="K17" s="3147"/>
      <c r="L17" s="3147"/>
      <c r="M17" s="3147"/>
      <c r="N17" s="3148">
        <v>47.839999999999996</v>
      </c>
      <c r="O17" s="3148">
        <v>123.53000000000034</v>
      </c>
      <c r="P17" s="3148"/>
      <c r="Q17" s="3148"/>
      <c r="R17" s="3148"/>
      <c r="S17" s="3148"/>
      <c r="T17" s="3148"/>
      <c r="U17" s="3148"/>
      <c r="V17" s="3148"/>
      <c r="W17" s="3148"/>
      <c r="X17" s="3148"/>
      <c r="Y17" s="3148"/>
      <c r="Z17" s="3148"/>
      <c r="AA17" s="3148"/>
      <c r="AB17" s="3146">
        <v>7</v>
      </c>
      <c r="AC17" s="3146">
        <v>1</v>
      </c>
      <c r="AD17" s="3149">
        <f t="shared" si="3"/>
        <v>11.959999999999999</v>
      </c>
      <c r="AE17" s="3149">
        <v>4</v>
      </c>
    </row>
    <row r="18" spans="1:33" s="3149" customFormat="1">
      <c r="A18" s="3288"/>
      <c r="B18" s="3296"/>
      <c r="C18" s="3146" t="s">
        <v>4060</v>
      </c>
      <c r="D18" s="3146">
        <f t="shared" si="0"/>
        <v>8993.8700000000008</v>
      </c>
      <c r="E18" s="3146">
        <f t="shared" si="4"/>
        <v>8407.64</v>
      </c>
      <c r="F18" s="3146">
        <f t="shared" si="2"/>
        <v>586.23000000000138</v>
      </c>
      <c r="G18" s="3147">
        <v>8407.64</v>
      </c>
      <c r="H18" s="3147"/>
      <c r="I18" s="3147"/>
      <c r="J18" s="3147"/>
      <c r="K18" s="3147"/>
      <c r="L18" s="3147"/>
      <c r="M18" s="3147"/>
      <c r="N18" s="3148">
        <v>18.04</v>
      </c>
      <c r="O18" s="3148">
        <v>265.76000000000141</v>
      </c>
      <c r="P18" s="3148">
        <v>302.43</v>
      </c>
      <c r="Q18" s="3148"/>
      <c r="R18" s="3148"/>
      <c r="S18" s="3148"/>
      <c r="T18" s="3148"/>
      <c r="U18" s="3148"/>
      <c r="V18" s="3148"/>
      <c r="W18" s="3148"/>
      <c r="X18" s="3148"/>
      <c r="Y18" s="3148"/>
      <c r="Z18" s="3148"/>
      <c r="AA18" s="3148"/>
      <c r="AB18" s="3146">
        <v>11</v>
      </c>
      <c r="AC18" s="3146">
        <v>1</v>
      </c>
      <c r="AD18" s="3149">
        <f t="shared" si="3"/>
        <v>9.02</v>
      </c>
      <c r="AE18" s="3149">
        <v>2</v>
      </c>
    </row>
    <row r="19" spans="1:33" s="3149" customFormat="1">
      <c r="A19" s="3288"/>
      <c r="B19" s="3296"/>
      <c r="C19" s="3146" t="s">
        <v>4061</v>
      </c>
      <c r="D19" s="3146">
        <f t="shared" si="0"/>
        <v>7683.72</v>
      </c>
      <c r="E19" s="3146">
        <f t="shared" si="4"/>
        <v>7043.94</v>
      </c>
      <c r="F19" s="3146">
        <f t="shared" si="2"/>
        <v>639.78000000000065</v>
      </c>
      <c r="G19" s="3147">
        <v>7042.82</v>
      </c>
      <c r="H19" s="3147">
        <v>1.1200000000000001</v>
      </c>
      <c r="I19" s="3147"/>
      <c r="J19" s="3147"/>
      <c r="K19" s="3147"/>
      <c r="L19" s="3147"/>
      <c r="M19" s="3147"/>
      <c r="N19" s="3148">
        <v>29.66</v>
      </c>
      <c r="O19" s="3148">
        <v>266.45000000000056</v>
      </c>
      <c r="P19" s="3148">
        <v>343.67</v>
      </c>
      <c r="Q19" s="3148"/>
      <c r="R19" s="3148"/>
      <c r="S19" s="3148"/>
      <c r="T19" s="3148"/>
      <c r="U19" s="3148"/>
      <c r="V19" s="3148"/>
      <c r="W19" s="3148"/>
      <c r="X19" s="3148"/>
      <c r="Y19" s="3148"/>
      <c r="Z19" s="3148"/>
      <c r="AA19" s="3148"/>
      <c r="AB19" s="3146">
        <v>11</v>
      </c>
      <c r="AC19" s="3146">
        <v>1</v>
      </c>
      <c r="AD19" s="3149">
        <f t="shared" si="3"/>
        <v>9.8866666666666667</v>
      </c>
      <c r="AE19" s="3149">
        <v>3</v>
      </c>
    </row>
    <row r="20" spans="1:33" s="3149" customFormat="1">
      <c r="A20" s="3288"/>
      <c r="B20" s="3296"/>
      <c r="C20" s="3146" t="s">
        <v>4062</v>
      </c>
      <c r="D20" s="3146">
        <f t="shared" si="0"/>
        <v>2804.73</v>
      </c>
      <c r="E20" s="3146">
        <f t="shared" si="4"/>
        <v>2433.38</v>
      </c>
      <c r="F20" s="3146">
        <f t="shared" si="2"/>
        <v>371.34999999999991</v>
      </c>
      <c r="G20" s="3147">
        <v>2433.13</v>
      </c>
      <c r="H20" s="3147">
        <v>0.25</v>
      </c>
      <c r="I20" s="3147"/>
      <c r="J20" s="3147"/>
      <c r="K20" s="3147"/>
      <c r="L20" s="3147"/>
      <c r="M20" s="3147"/>
      <c r="N20" s="3148">
        <v>14.47</v>
      </c>
      <c r="O20" s="3148">
        <v>170.14999999999989</v>
      </c>
      <c r="P20" s="3148">
        <v>186.73</v>
      </c>
      <c r="Q20" s="3148"/>
      <c r="R20" s="3148"/>
      <c r="S20" s="3148"/>
      <c r="T20" s="3148"/>
      <c r="U20" s="3148"/>
      <c r="V20" s="3148"/>
      <c r="W20" s="3148"/>
      <c r="X20" s="3148"/>
      <c r="Y20" s="3148"/>
      <c r="Z20" s="3148"/>
      <c r="AA20" s="3148"/>
      <c r="AB20" s="3146">
        <v>6</v>
      </c>
      <c r="AC20" s="3146">
        <v>1</v>
      </c>
      <c r="AD20" s="3149">
        <f t="shared" si="3"/>
        <v>14.47</v>
      </c>
      <c r="AE20" s="3149">
        <v>1</v>
      </c>
    </row>
    <row r="21" spans="1:33" s="3149" customFormat="1">
      <c r="A21" s="3288"/>
      <c r="B21" s="3296"/>
      <c r="C21" s="3146" t="s">
        <v>4063</v>
      </c>
      <c r="D21" s="3146">
        <f t="shared" si="0"/>
        <v>5450.02</v>
      </c>
      <c r="E21" s="3146">
        <f t="shared" si="4"/>
        <v>4908.62</v>
      </c>
      <c r="F21" s="3146">
        <f t="shared" si="2"/>
        <v>541.40000000000055</v>
      </c>
      <c r="G21" s="3147">
        <v>4908.62</v>
      </c>
      <c r="H21" s="3147"/>
      <c r="I21" s="3147"/>
      <c r="J21" s="3147"/>
      <c r="K21" s="3147"/>
      <c r="L21" s="3147"/>
      <c r="M21" s="3147"/>
      <c r="N21" s="3148">
        <v>20.82</v>
      </c>
      <c r="O21" s="3148">
        <v>196.31000000000051</v>
      </c>
      <c r="P21" s="3148">
        <v>324.27</v>
      </c>
      <c r="Q21" s="3148"/>
      <c r="R21" s="3148"/>
      <c r="S21" s="3148"/>
      <c r="T21" s="3148"/>
      <c r="U21" s="3148"/>
      <c r="V21" s="3148"/>
      <c r="W21" s="3148"/>
      <c r="X21" s="3148"/>
      <c r="Y21" s="3148"/>
      <c r="Z21" s="3148"/>
      <c r="AA21" s="3148"/>
      <c r="AB21" s="3146">
        <v>8</v>
      </c>
      <c r="AC21" s="3146">
        <v>1</v>
      </c>
      <c r="AD21" s="3149">
        <f t="shared" si="3"/>
        <v>10.41</v>
      </c>
      <c r="AE21" s="3149">
        <v>2</v>
      </c>
    </row>
    <row r="22" spans="1:33" s="3149" customFormat="1">
      <c r="A22" s="3288"/>
      <c r="B22" s="3296"/>
      <c r="C22" s="3146" t="s">
        <v>4064</v>
      </c>
      <c r="D22" s="3146">
        <f t="shared" si="0"/>
        <v>4440.1000000000004</v>
      </c>
      <c r="E22" s="3146">
        <f t="shared" si="4"/>
        <v>4189.9399999999996</v>
      </c>
      <c r="F22" s="3146">
        <f t="shared" si="2"/>
        <v>250.16000000000039</v>
      </c>
      <c r="G22" s="3147">
        <v>4189.54</v>
      </c>
      <c r="H22" s="3147">
        <v>0.4</v>
      </c>
      <c r="I22" s="3147"/>
      <c r="J22" s="3147"/>
      <c r="K22" s="3147"/>
      <c r="L22" s="3147"/>
      <c r="M22" s="3147"/>
      <c r="N22" s="3148">
        <v>74.349999999999994</v>
      </c>
      <c r="O22" s="3148">
        <v>175.8100000000004</v>
      </c>
      <c r="P22" s="3148"/>
      <c r="Q22" s="3148"/>
      <c r="R22" s="3148"/>
      <c r="S22" s="3148"/>
      <c r="T22" s="3148"/>
      <c r="U22" s="3148"/>
      <c r="V22" s="3148"/>
      <c r="W22" s="3148"/>
      <c r="X22" s="3148"/>
      <c r="Y22" s="3148"/>
      <c r="Z22" s="3148"/>
      <c r="AA22" s="3148"/>
      <c r="AB22" s="3146">
        <v>11</v>
      </c>
      <c r="AC22" s="3146">
        <v>1</v>
      </c>
      <c r="AD22" s="3149">
        <f t="shared" si="3"/>
        <v>12.391666666666666</v>
      </c>
      <c r="AE22" s="3149">
        <v>6</v>
      </c>
    </row>
    <row r="23" spans="1:33" s="3149" customFormat="1">
      <c r="A23" s="3288"/>
      <c r="B23" s="3296"/>
      <c r="C23" s="3146" t="s">
        <v>4065</v>
      </c>
      <c r="D23" s="3146">
        <f t="shared" si="0"/>
        <v>6496.18</v>
      </c>
      <c r="E23" s="3146">
        <f t="shared" si="4"/>
        <v>6039.87</v>
      </c>
      <c r="F23" s="3146">
        <f t="shared" si="2"/>
        <v>456.3100000000008</v>
      </c>
      <c r="G23" s="3147">
        <v>6039.3099999999995</v>
      </c>
      <c r="H23" s="3147">
        <v>0.56000000000000005</v>
      </c>
      <c r="I23" s="3147"/>
      <c r="J23" s="3147"/>
      <c r="K23" s="3147"/>
      <c r="L23" s="3147"/>
      <c r="M23" s="3147"/>
      <c r="N23" s="3148">
        <v>26.55</v>
      </c>
      <c r="O23" s="3148">
        <v>214.73000000000079</v>
      </c>
      <c r="P23" s="3148">
        <v>215.03</v>
      </c>
      <c r="Q23" s="3148"/>
      <c r="R23" s="3148"/>
      <c r="S23" s="3148"/>
      <c r="T23" s="3148"/>
      <c r="U23" s="3148"/>
      <c r="V23" s="3148"/>
      <c r="W23" s="3148"/>
      <c r="X23" s="3148"/>
      <c r="Y23" s="3148"/>
      <c r="Z23" s="3148"/>
      <c r="AA23" s="3148"/>
      <c r="AB23" s="3146">
        <v>11</v>
      </c>
      <c r="AC23" s="3146">
        <v>1</v>
      </c>
      <c r="AD23" s="3149">
        <f t="shared" si="3"/>
        <v>13.275</v>
      </c>
      <c r="AE23" s="3149">
        <v>2</v>
      </c>
    </row>
    <row r="24" spans="1:33" s="3149" customFormat="1">
      <c r="A24" s="3288"/>
      <c r="B24" s="3296" t="s">
        <v>4066</v>
      </c>
      <c r="C24" s="3146" t="s">
        <v>4067</v>
      </c>
      <c r="D24" s="3146">
        <f t="shared" si="0"/>
        <v>1726.8100000000002</v>
      </c>
      <c r="E24" s="3146">
        <f t="shared" si="4"/>
        <v>100.44</v>
      </c>
      <c r="F24" s="3146">
        <f t="shared" si="2"/>
        <v>1626.3700000000001</v>
      </c>
      <c r="G24" s="3147"/>
      <c r="H24" s="3147"/>
      <c r="I24" s="3147"/>
      <c r="J24" s="3147"/>
      <c r="K24" s="3147">
        <v>100.44</v>
      </c>
      <c r="L24" s="3147"/>
      <c r="M24" s="3147"/>
      <c r="N24" s="3148"/>
      <c r="O24" s="3148">
        <v>420.24</v>
      </c>
      <c r="P24" s="3148"/>
      <c r="Q24" s="3148">
        <v>51.08</v>
      </c>
      <c r="R24" s="3148">
        <v>21.39</v>
      </c>
      <c r="S24" s="3148">
        <v>1133.6600000000001</v>
      </c>
      <c r="T24" s="3148"/>
      <c r="U24" s="3148"/>
      <c r="V24" s="3148"/>
      <c r="W24" s="3148"/>
      <c r="X24" s="3148"/>
      <c r="Y24" s="3148"/>
      <c r="Z24" s="3148"/>
      <c r="AA24" s="3148"/>
      <c r="AB24" s="3146">
        <v>1</v>
      </c>
      <c r="AC24" s="3146">
        <v>2</v>
      </c>
    </row>
    <row r="25" spans="1:33">
      <c r="A25" s="3288"/>
      <c r="B25" s="3296"/>
      <c r="C25" s="3141" t="s">
        <v>4068</v>
      </c>
      <c r="D25" s="3141">
        <f t="shared" si="0"/>
        <v>200</v>
      </c>
      <c r="E25" s="3146">
        <f t="shared" si="4"/>
        <v>200</v>
      </c>
      <c r="F25" s="3141">
        <f t="shared" si="2"/>
        <v>0</v>
      </c>
      <c r="G25" s="3143"/>
      <c r="H25" s="3143"/>
      <c r="I25" s="3144"/>
      <c r="J25" s="3143">
        <v>200</v>
      </c>
      <c r="K25" s="3143"/>
      <c r="L25" s="3143"/>
      <c r="M25" s="3144"/>
      <c r="N25" s="3145"/>
      <c r="O25" s="3145"/>
      <c r="P25" s="3145"/>
      <c r="Q25" s="3145"/>
      <c r="R25" s="3145"/>
      <c r="S25" s="3145"/>
      <c r="T25" s="3145"/>
      <c r="U25" s="3145"/>
      <c r="V25" s="3145"/>
      <c r="W25" s="3145"/>
      <c r="X25" s="3145"/>
      <c r="Y25" s="3145"/>
      <c r="Z25" s="3145"/>
      <c r="AA25" s="3145"/>
      <c r="AB25" s="3141">
        <v>1</v>
      </c>
      <c r="AC25" s="3141"/>
      <c r="AD25" s="3149"/>
      <c r="AF25" s="3149"/>
      <c r="AG25" s="3149"/>
    </row>
    <row r="26" spans="1:33">
      <c r="A26" s="3288"/>
      <c r="B26" s="3296"/>
      <c r="C26" s="3141" t="s">
        <v>4069</v>
      </c>
      <c r="D26" s="3141">
        <f t="shared" si="0"/>
        <v>360</v>
      </c>
      <c r="E26" s="3146">
        <f t="shared" si="4"/>
        <v>360</v>
      </c>
      <c r="F26" s="3141">
        <f t="shared" si="2"/>
        <v>0</v>
      </c>
      <c r="G26" s="3143"/>
      <c r="H26" s="3143"/>
      <c r="I26" s="3144"/>
      <c r="J26" s="3143">
        <v>360</v>
      </c>
      <c r="K26" s="3143"/>
      <c r="L26" s="3143"/>
      <c r="M26" s="3144"/>
      <c r="N26" s="3145"/>
      <c r="O26" s="3145"/>
      <c r="P26" s="3145"/>
      <c r="Q26" s="3145"/>
      <c r="R26" s="3145"/>
      <c r="S26" s="3145"/>
      <c r="T26" s="3145"/>
      <c r="U26" s="3145"/>
      <c r="V26" s="3145"/>
      <c r="W26" s="3145"/>
      <c r="X26" s="3145"/>
      <c r="Y26" s="3145"/>
      <c r="Z26" s="3145"/>
      <c r="AA26" s="3145"/>
      <c r="AB26" s="3141">
        <v>1</v>
      </c>
      <c r="AC26" s="3141"/>
      <c r="AD26" s="3149"/>
      <c r="AF26" s="3149"/>
      <c r="AG26" s="3149"/>
    </row>
    <row r="27" spans="1:33">
      <c r="A27" s="3288"/>
      <c r="B27" s="3141" t="s">
        <v>4007</v>
      </c>
      <c r="C27" s="3141" t="s">
        <v>4007</v>
      </c>
      <c r="D27" s="3141">
        <f>E27+F27</f>
        <v>28590.679999999997</v>
      </c>
      <c r="E27" s="3141">
        <f>G27+H27+I27+J27+K27+L27</f>
        <v>6.509999999999998</v>
      </c>
      <c r="F27" s="3141">
        <f t="shared" si="2"/>
        <v>28584.17</v>
      </c>
      <c r="G27" s="3143"/>
      <c r="H27" s="3143"/>
      <c r="I27" s="3144"/>
      <c r="J27" s="3143"/>
      <c r="K27" s="3143"/>
      <c r="L27" s="3143">
        <v>6.509999999999998</v>
      </c>
      <c r="M27" s="3144">
        <f>18.88*3</f>
        <v>56.64</v>
      </c>
      <c r="N27" s="3145"/>
      <c r="O27" s="3145">
        <v>1600.1999999999991</v>
      </c>
      <c r="P27" s="3145"/>
      <c r="Q27" s="3145"/>
      <c r="R27" s="3145"/>
      <c r="S27" s="3145"/>
      <c r="T27" s="3145">
        <v>26343.360000000001</v>
      </c>
      <c r="U27" s="3145">
        <v>363.68</v>
      </c>
      <c r="V27" s="3145">
        <v>48.18</v>
      </c>
      <c r="W27" s="3145">
        <v>15.34</v>
      </c>
      <c r="X27" s="3145">
        <v>10.66</v>
      </c>
      <c r="Y27" s="3145">
        <v>51.73</v>
      </c>
      <c r="Z27" s="3145">
        <v>32.6</v>
      </c>
      <c r="AA27" s="3145">
        <v>118.42</v>
      </c>
      <c r="AB27" s="3141"/>
      <c r="AC27" s="3141"/>
      <c r="AD27" s="3149"/>
      <c r="AF27" s="3149"/>
      <c r="AG27" s="3149"/>
    </row>
    <row r="28" spans="1:33" s="3153" customFormat="1" ht="40.5">
      <c r="A28" s="3288"/>
      <c r="B28" s="3150" t="s">
        <v>4070</v>
      </c>
      <c r="C28" s="3151" t="s">
        <v>4071</v>
      </c>
      <c r="D28" s="3150">
        <f>E28+F28</f>
        <v>9517.68</v>
      </c>
      <c r="E28" s="3150">
        <f>M27+I29</f>
        <v>64.67</v>
      </c>
      <c r="F28" s="3150">
        <f>9322.68+130.33</f>
        <v>9453.01</v>
      </c>
      <c r="G28" s="3144"/>
      <c r="H28" s="3144"/>
      <c r="I28" s="3144"/>
      <c r="J28" s="3144"/>
      <c r="K28" s="3144"/>
      <c r="L28" s="3144"/>
      <c r="M28" s="3144"/>
      <c r="N28" s="3152"/>
      <c r="O28" s="3152"/>
      <c r="P28" s="3152"/>
      <c r="Q28" s="3152"/>
      <c r="R28" s="3152"/>
      <c r="S28" s="3152"/>
      <c r="T28" s="3152"/>
      <c r="U28" s="3152"/>
      <c r="V28" s="3152"/>
      <c r="W28" s="3152"/>
      <c r="X28" s="3152"/>
      <c r="Y28" s="3152"/>
      <c r="Z28" s="3152"/>
      <c r="AA28" s="3152"/>
      <c r="AB28" s="3150"/>
      <c r="AC28" s="3150"/>
      <c r="AD28" s="3149"/>
      <c r="AF28" s="3149"/>
      <c r="AG28" s="3149"/>
    </row>
    <row r="29" spans="1:33" s="3156" customFormat="1">
      <c r="A29" s="3289"/>
      <c r="B29" s="3297" t="s">
        <v>4072</v>
      </c>
      <c r="C29" s="3298"/>
      <c r="D29" s="3154">
        <f>SUM(D3:D27)</f>
        <v>143914.11000000002</v>
      </c>
      <c r="E29" s="3154">
        <f>SUM(E3:E27)</f>
        <v>105528.66</v>
      </c>
      <c r="F29" s="3154">
        <f t="shared" ref="F29:AA29" si="5">SUM(F3:F27)</f>
        <v>38385.449999999997</v>
      </c>
      <c r="G29" s="3154">
        <f t="shared" si="5"/>
        <v>104783.12000000001</v>
      </c>
      <c r="H29" s="3154">
        <f t="shared" si="5"/>
        <v>78.590000000000018</v>
      </c>
      <c r="I29" s="3155">
        <f t="shared" si="5"/>
        <v>8.0299999999999994</v>
      </c>
      <c r="J29" s="3154">
        <f t="shared" si="5"/>
        <v>560</v>
      </c>
      <c r="K29" s="3154">
        <f t="shared" si="5"/>
        <v>100.44</v>
      </c>
      <c r="L29" s="3154">
        <f t="shared" si="5"/>
        <v>6.509999999999998</v>
      </c>
      <c r="M29" s="3155">
        <f t="shared" si="5"/>
        <v>56.64</v>
      </c>
      <c r="N29" s="3154">
        <f t="shared" si="5"/>
        <v>851.55000000000007</v>
      </c>
      <c r="O29" s="3154">
        <f t="shared" si="5"/>
        <v>7352.05</v>
      </c>
      <c r="P29" s="3154">
        <f t="shared" si="5"/>
        <v>1991.75</v>
      </c>
      <c r="Q29" s="3154">
        <f t="shared" si="5"/>
        <v>51.08</v>
      </c>
      <c r="R29" s="3154">
        <f t="shared" si="5"/>
        <v>21.39</v>
      </c>
      <c r="S29" s="3154">
        <f t="shared" si="5"/>
        <v>1133.6600000000001</v>
      </c>
      <c r="T29" s="3154">
        <f t="shared" si="5"/>
        <v>26343.360000000001</v>
      </c>
      <c r="U29" s="3154">
        <f t="shared" si="5"/>
        <v>363.68</v>
      </c>
      <c r="V29" s="3154">
        <f t="shared" si="5"/>
        <v>48.18</v>
      </c>
      <c r="W29" s="3154">
        <f t="shared" si="5"/>
        <v>15.34</v>
      </c>
      <c r="X29" s="3154">
        <f t="shared" si="5"/>
        <v>10.66</v>
      </c>
      <c r="Y29" s="3154">
        <f t="shared" si="5"/>
        <v>51.73</v>
      </c>
      <c r="Z29" s="3154">
        <f t="shared" si="5"/>
        <v>32.6</v>
      </c>
      <c r="AA29" s="3154">
        <f t="shared" si="5"/>
        <v>118.42</v>
      </c>
      <c r="AB29" s="3154"/>
      <c r="AC29" s="3154"/>
      <c r="AE29" s="3156">
        <f>SUM(AE3:AE28)</f>
        <v>71</v>
      </c>
    </row>
    <row r="30" spans="1:33">
      <c r="AD30" s="3157">
        <f>N29/AE29</f>
        <v>11.993661971830987</v>
      </c>
    </row>
    <row r="33" spans="1:19">
      <c r="A33" s="3141" t="s">
        <v>4017</v>
      </c>
      <c r="B33" s="3296" t="s">
        <v>4018</v>
      </c>
      <c r="C33" s="3296"/>
      <c r="D33" s="3141" t="s">
        <v>4019</v>
      </c>
      <c r="E33" s="3141" t="s">
        <v>4020</v>
      </c>
      <c r="F33" s="3141" t="s">
        <v>4021</v>
      </c>
      <c r="G33" s="3141" t="s">
        <v>4073</v>
      </c>
      <c r="H33" s="3141" t="s">
        <v>4074</v>
      </c>
      <c r="K33" s="3142" t="s">
        <v>4312</v>
      </c>
      <c r="L33" s="3142">
        <f>G29</f>
        <v>104783.12000000001</v>
      </c>
      <c r="M33" s="3153">
        <f>'数据-取费表'!L6</f>
        <v>6000</v>
      </c>
      <c r="N33" s="3142">
        <f>M36*L36/(L33+L34+L35)</f>
        <v>575.20016778550178</v>
      </c>
      <c r="R33" s="3142" t="s">
        <v>4075</v>
      </c>
      <c r="S33" s="3142">
        <f>R29+S29</f>
        <v>1155.0500000000002</v>
      </c>
    </row>
    <row r="34" spans="1:19">
      <c r="A34" s="3287" t="s">
        <v>4076</v>
      </c>
      <c r="B34" s="3290" t="s">
        <v>4066</v>
      </c>
      <c r="C34" s="3141" t="s">
        <v>4077</v>
      </c>
      <c r="D34" s="3141">
        <f>E34+F34</f>
        <v>5145.1000000000004</v>
      </c>
      <c r="E34" s="3141">
        <v>4788.6000000000004</v>
      </c>
      <c r="F34" s="3141">
        <v>356.5</v>
      </c>
      <c r="G34" s="3141">
        <v>3</v>
      </c>
      <c r="H34" s="3141">
        <v>1</v>
      </c>
      <c r="K34" s="3142" t="s">
        <v>4313</v>
      </c>
      <c r="L34" s="3142">
        <f>N29</f>
        <v>851.55000000000007</v>
      </c>
      <c r="M34" s="3153">
        <f>'数据-取费表'!L7</f>
        <v>4500</v>
      </c>
    </row>
    <row r="35" spans="1:19">
      <c r="A35" s="3288"/>
      <c r="B35" s="3291"/>
      <c r="C35" s="3141" t="s">
        <v>4078</v>
      </c>
      <c r="D35" s="3141">
        <f t="shared" ref="D35:D36" si="6">E35+F35</f>
        <v>50</v>
      </c>
      <c r="E35" s="3141">
        <v>50</v>
      </c>
      <c r="F35" s="3141"/>
      <c r="G35" s="3141">
        <v>1</v>
      </c>
      <c r="H35" s="3141"/>
      <c r="K35" s="3142" t="s">
        <v>4314</v>
      </c>
      <c r="L35" s="3142">
        <f>T29</f>
        <v>26343.360000000001</v>
      </c>
      <c r="M35" s="3153">
        <f>'数据-取费表'!L8</f>
        <v>4500</v>
      </c>
    </row>
    <row r="36" spans="1:19">
      <c r="A36" s="3288"/>
      <c r="B36" s="3291"/>
      <c r="C36" s="3141" t="s">
        <v>4079</v>
      </c>
      <c r="D36" s="3141">
        <f t="shared" si="6"/>
        <v>41.4</v>
      </c>
      <c r="E36" s="3141">
        <v>41.4</v>
      </c>
      <c r="F36" s="3141"/>
      <c r="G36" s="3141">
        <v>1</v>
      </c>
      <c r="H36" s="3141"/>
      <c r="K36" s="3142" t="s">
        <v>4316</v>
      </c>
      <c r="L36" s="3142">
        <f>O29+D28</f>
        <v>16869.73</v>
      </c>
      <c r="M36" s="3153">
        <f>M35</f>
        <v>4500</v>
      </c>
    </row>
    <row r="37" spans="1:19">
      <c r="A37" s="3289"/>
      <c r="B37" s="3292"/>
      <c r="C37" s="3141" t="s">
        <v>2589</v>
      </c>
      <c r="D37" s="3141">
        <f>SUM(D34:D36)</f>
        <v>5236.5</v>
      </c>
      <c r="E37" s="3141">
        <f t="shared" ref="E37:F37" si="7">SUM(E34:E36)</f>
        <v>4880</v>
      </c>
      <c r="F37" s="3141">
        <f t="shared" si="7"/>
        <v>356.5</v>
      </c>
      <c r="G37" s="3141"/>
      <c r="H37" s="3141"/>
      <c r="K37" s="3142" t="s">
        <v>4315</v>
      </c>
      <c r="L37" s="3142">
        <f>D41-L36-L35-L34-L33</f>
        <v>4584.0299999999843</v>
      </c>
    </row>
    <row r="38" spans="1:19">
      <c r="L38" s="3142">
        <f>SUM(L33:L37)</f>
        <v>153431.79000000004</v>
      </c>
    </row>
    <row r="39" spans="1:19">
      <c r="D39" s="3142">
        <f>D29+D37</f>
        <v>149150.61000000002</v>
      </c>
    </row>
    <row r="41" spans="1:19">
      <c r="A41" s="3158" t="s">
        <v>4080</v>
      </c>
      <c r="B41" s="3158">
        <v>57103.19</v>
      </c>
      <c r="C41" s="3158" t="s">
        <v>4081</v>
      </c>
      <c r="D41" s="3193">
        <f>D29+D28</f>
        <v>153431.79</v>
      </c>
      <c r="E41" s="3158"/>
      <c r="F41" s="3158" t="s">
        <v>4083</v>
      </c>
      <c r="G41" s="3159">
        <f>面积!C1476</f>
        <v>106355.86000000013</v>
      </c>
      <c r="H41" s="3158" t="s">
        <v>4082</v>
      </c>
      <c r="I41" s="3158">
        <f>ROUND(G41/D41*B41,2)</f>
        <v>39582.79</v>
      </c>
    </row>
    <row r="78" spans="7:7">
      <c r="G78" s="3142">
        <f>27160.25/999</f>
        <v>27.187437437437438</v>
      </c>
    </row>
  </sheetData>
  <mergeCells count="14">
    <mergeCell ref="A34:A37"/>
    <mergeCell ref="B34:B37"/>
    <mergeCell ref="N1:AA1"/>
    <mergeCell ref="A3:A29"/>
    <mergeCell ref="B3:B23"/>
    <mergeCell ref="B24:B26"/>
    <mergeCell ref="B29:C29"/>
    <mergeCell ref="B33:C33"/>
    <mergeCell ref="A1:A2"/>
    <mergeCell ref="B1:C2"/>
    <mergeCell ref="D1:D2"/>
    <mergeCell ref="E1:E2"/>
    <mergeCell ref="F1:F2"/>
    <mergeCell ref="G1:K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476"/>
  <sheetViews>
    <sheetView tabSelected="1" workbookViewId="0">
      <pane xSplit="1" ySplit="1" topLeftCell="B661" activePane="bottomRight" state="frozen"/>
      <selection pane="topRight" activeCell="B1" sqref="B1"/>
      <selection pane="bottomLeft" activeCell="A2" sqref="A2"/>
      <selection pane="bottomRight" activeCell="K668" sqref="K668"/>
    </sheetView>
  </sheetViews>
  <sheetFormatPr defaultRowHeight="14.25"/>
  <cols>
    <col min="1" max="2" width="13.625" style="639" customWidth="1"/>
    <col min="3" max="3" width="21.375" style="639" customWidth="1"/>
    <col min="4" max="4" width="13.625" style="639" customWidth="1"/>
    <col min="6" max="6" width="9.5" bestFit="1" customWidth="1"/>
    <col min="10" max="10" width="12.75" bestFit="1" customWidth="1"/>
  </cols>
  <sheetData>
    <row r="1" spans="1:11">
      <c r="A1" s="3184" t="s">
        <v>4002</v>
      </c>
      <c r="B1" s="3184" t="s">
        <v>4003</v>
      </c>
      <c r="C1" s="3185" t="s">
        <v>4006</v>
      </c>
      <c r="D1" s="3185" t="s">
        <v>4311</v>
      </c>
    </row>
    <row r="2" spans="1:11">
      <c r="A2" s="3184">
        <v>1</v>
      </c>
      <c r="B2" s="3184" t="s">
        <v>3398</v>
      </c>
      <c r="C2" s="3186">
        <v>137.1</v>
      </c>
      <c r="D2" s="3187" t="s">
        <v>2549</v>
      </c>
      <c r="F2" s="3188">
        <v>0.25</v>
      </c>
      <c r="G2" s="3188">
        <v>0.35</v>
      </c>
      <c r="H2" s="3188">
        <v>0.24</v>
      </c>
      <c r="I2" s="3188">
        <v>0.08</v>
      </c>
      <c r="J2" s="3188">
        <v>0.08</v>
      </c>
      <c r="K2" s="3188">
        <f>SUM(F2:J2)</f>
        <v>0.99999999999999989</v>
      </c>
    </row>
    <row r="3" spans="1:11">
      <c r="A3" s="3184">
        <v>2</v>
      </c>
      <c r="B3" s="3184" t="s">
        <v>3399</v>
      </c>
      <c r="C3" s="3186">
        <v>115.96</v>
      </c>
      <c r="D3" s="3187" t="s">
        <v>2549</v>
      </c>
      <c r="F3" s="3188" t="s">
        <v>4249</v>
      </c>
      <c r="G3" s="3188" t="s">
        <v>4250</v>
      </c>
      <c r="H3" s="3188" t="s">
        <v>4251</v>
      </c>
      <c r="I3" s="3188" t="s">
        <v>4252</v>
      </c>
      <c r="J3" s="3188" t="s">
        <v>4253</v>
      </c>
      <c r="K3" s="3188" t="s">
        <v>2589</v>
      </c>
    </row>
    <row r="4" spans="1:11">
      <c r="A4" s="3184">
        <v>3</v>
      </c>
      <c r="B4" s="3184" t="s">
        <v>3400</v>
      </c>
      <c r="C4" s="3186">
        <v>137.1</v>
      </c>
      <c r="D4" s="3187" t="s">
        <v>2549</v>
      </c>
      <c r="F4" s="3188">
        <f>F2</f>
        <v>0.25</v>
      </c>
      <c r="G4" s="3188">
        <v>0.3</v>
      </c>
      <c r="H4" s="3188">
        <f>H2*0.2</f>
        <v>4.8000000000000001E-2</v>
      </c>
      <c r="I4" s="3188">
        <f>I2*0.2</f>
        <v>1.6E-2</v>
      </c>
      <c r="J4" s="3188">
        <f>J2*0.2</f>
        <v>1.6E-2</v>
      </c>
      <c r="K4" s="3188">
        <f>SUM(F4:J4)</f>
        <v>0.63000000000000012</v>
      </c>
    </row>
    <row r="5" spans="1:11">
      <c r="A5" s="3184">
        <v>4</v>
      </c>
      <c r="B5" s="3184" t="s">
        <v>3401</v>
      </c>
      <c r="C5" s="3186">
        <v>136.68</v>
      </c>
      <c r="D5" s="3187" t="s">
        <v>2549</v>
      </c>
    </row>
    <row r="6" spans="1:11">
      <c r="A6" s="3184">
        <v>5</v>
      </c>
      <c r="B6" s="3184" t="s">
        <v>3402</v>
      </c>
      <c r="C6" s="3186">
        <v>137.1</v>
      </c>
      <c r="D6" s="3187" t="s">
        <v>2549</v>
      </c>
    </row>
    <row r="7" spans="1:11">
      <c r="A7" s="3184">
        <v>6</v>
      </c>
      <c r="B7" s="3184" t="s">
        <v>3403</v>
      </c>
      <c r="C7" s="3186">
        <v>136.68</v>
      </c>
      <c r="D7" s="3187" t="s">
        <v>2549</v>
      </c>
    </row>
    <row r="8" spans="1:11">
      <c r="A8" s="3184">
        <v>7</v>
      </c>
      <c r="B8" s="3184" t="s">
        <v>3404</v>
      </c>
      <c r="C8" s="3186">
        <v>137.1</v>
      </c>
      <c r="D8" s="3187" t="s">
        <v>2549</v>
      </c>
    </row>
    <row r="9" spans="1:11">
      <c r="A9" s="3184">
        <v>8</v>
      </c>
      <c r="B9" s="3184" t="s">
        <v>3405</v>
      </c>
      <c r="C9" s="3186">
        <v>136.68</v>
      </c>
      <c r="D9" s="3187" t="s">
        <v>2549</v>
      </c>
    </row>
    <row r="10" spans="1:11">
      <c r="A10" s="3184">
        <v>9</v>
      </c>
      <c r="B10" s="3184" t="s">
        <v>3406</v>
      </c>
      <c r="C10" s="3186">
        <v>137.1</v>
      </c>
      <c r="D10" s="3187" t="s">
        <v>2549</v>
      </c>
    </row>
    <row r="11" spans="1:11">
      <c r="A11" s="3184">
        <v>10</v>
      </c>
      <c r="B11" s="3184" t="s">
        <v>3407</v>
      </c>
      <c r="C11" s="3186">
        <v>136.68</v>
      </c>
      <c r="D11" s="3187" t="s">
        <v>2549</v>
      </c>
    </row>
    <row r="12" spans="1:11">
      <c r="A12" s="3184">
        <v>11</v>
      </c>
      <c r="B12" s="3184" t="s">
        <v>3408</v>
      </c>
      <c r="C12" s="3186">
        <v>137.1</v>
      </c>
      <c r="D12" s="3187" t="s">
        <v>2549</v>
      </c>
    </row>
    <row r="13" spans="1:11">
      <c r="A13" s="3184">
        <v>12</v>
      </c>
      <c r="B13" s="3184" t="s">
        <v>3409</v>
      </c>
      <c r="C13" s="3186">
        <v>136.68</v>
      </c>
      <c r="D13" s="3187" t="s">
        <v>2549</v>
      </c>
    </row>
    <row r="14" spans="1:11">
      <c r="A14" s="3184">
        <v>13</v>
      </c>
      <c r="B14" s="3184" t="s">
        <v>3410</v>
      </c>
      <c r="C14" s="3186">
        <v>137.1</v>
      </c>
      <c r="D14" s="3187" t="s">
        <v>2549</v>
      </c>
    </row>
    <row r="15" spans="1:11">
      <c r="A15" s="3184">
        <v>14</v>
      </c>
      <c r="B15" s="3184" t="s">
        <v>3411</v>
      </c>
      <c r="C15" s="3186">
        <v>136.68</v>
      </c>
      <c r="D15" s="3187" t="s">
        <v>2549</v>
      </c>
    </row>
    <row r="16" spans="1:11">
      <c r="A16" s="3184">
        <v>15</v>
      </c>
      <c r="B16" s="3184" t="s">
        <v>3412</v>
      </c>
      <c r="C16" s="3186">
        <v>137.1</v>
      </c>
      <c r="D16" s="3187" t="s">
        <v>2549</v>
      </c>
    </row>
    <row r="17" spans="1:4">
      <c r="A17" s="3184">
        <v>16</v>
      </c>
      <c r="B17" s="3184" t="s">
        <v>3413</v>
      </c>
      <c r="C17" s="3186">
        <v>136.68</v>
      </c>
      <c r="D17" s="3187" t="s">
        <v>2549</v>
      </c>
    </row>
    <row r="18" spans="1:4">
      <c r="A18" s="3184">
        <v>17</v>
      </c>
      <c r="B18" s="3184" t="s">
        <v>3414</v>
      </c>
      <c r="C18" s="3186">
        <v>137.1</v>
      </c>
      <c r="D18" s="3187" t="s">
        <v>2549</v>
      </c>
    </row>
    <row r="19" spans="1:4">
      <c r="A19" s="3184">
        <v>18</v>
      </c>
      <c r="B19" s="3184" t="s">
        <v>3415</v>
      </c>
      <c r="C19" s="3186">
        <v>136.68</v>
      </c>
      <c r="D19" s="3187" t="s">
        <v>2549</v>
      </c>
    </row>
    <row r="20" spans="1:4">
      <c r="A20" s="3184">
        <v>19</v>
      </c>
      <c r="B20" s="3184" t="s">
        <v>3416</v>
      </c>
      <c r="C20" s="3186">
        <v>137.1</v>
      </c>
      <c r="D20" s="3187" t="s">
        <v>2549</v>
      </c>
    </row>
    <row r="21" spans="1:4">
      <c r="A21" s="3184">
        <v>20</v>
      </c>
      <c r="B21" s="3184" t="s">
        <v>3417</v>
      </c>
      <c r="C21" s="3186">
        <v>136.68</v>
      </c>
      <c r="D21" s="3187" t="s">
        <v>2549</v>
      </c>
    </row>
    <row r="22" spans="1:4">
      <c r="A22" s="3184">
        <v>21</v>
      </c>
      <c r="B22" s="3184" t="s">
        <v>3418</v>
      </c>
      <c r="C22" s="3186">
        <v>137.1</v>
      </c>
      <c r="D22" s="3187" t="s">
        <v>2549</v>
      </c>
    </row>
    <row r="23" spans="1:4">
      <c r="A23" s="3184">
        <v>22</v>
      </c>
      <c r="B23" s="3184" t="s">
        <v>3419</v>
      </c>
      <c r="C23" s="3186">
        <v>136.68</v>
      </c>
      <c r="D23" s="3187" t="s">
        <v>2549</v>
      </c>
    </row>
    <row r="24" spans="1:4">
      <c r="A24" s="3184">
        <v>23</v>
      </c>
      <c r="B24" s="3184" t="s">
        <v>3420</v>
      </c>
      <c r="C24" s="3186">
        <v>136.68</v>
      </c>
      <c r="D24" s="3187" t="s">
        <v>2549</v>
      </c>
    </row>
    <row r="25" spans="1:4">
      <c r="A25" s="3184">
        <v>24</v>
      </c>
      <c r="B25" s="3184" t="s">
        <v>3421</v>
      </c>
      <c r="C25" s="3186">
        <v>115.96</v>
      </c>
      <c r="D25" s="3187" t="s">
        <v>2549</v>
      </c>
    </row>
    <row r="26" spans="1:4">
      <c r="A26" s="3184">
        <v>25</v>
      </c>
      <c r="B26" s="3184" t="s">
        <v>3422</v>
      </c>
      <c r="C26" s="3186">
        <v>136.68</v>
      </c>
      <c r="D26" s="3187" t="s">
        <v>2549</v>
      </c>
    </row>
    <row r="27" spans="1:4">
      <c r="A27" s="3184">
        <v>26</v>
      </c>
      <c r="B27" s="3184" t="s">
        <v>3423</v>
      </c>
      <c r="C27" s="3186">
        <v>136.68</v>
      </c>
      <c r="D27" s="3187" t="s">
        <v>2549</v>
      </c>
    </row>
    <row r="28" spans="1:4">
      <c r="A28" s="3184">
        <v>27</v>
      </c>
      <c r="B28" s="3184" t="s">
        <v>3424</v>
      </c>
      <c r="C28" s="3186">
        <v>136.68</v>
      </c>
      <c r="D28" s="3187" t="s">
        <v>2549</v>
      </c>
    </row>
    <row r="29" spans="1:4">
      <c r="A29" s="3184">
        <v>28</v>
      </c>
      <c r="B29" s="3184" t="s">
        <v>3425</v>
      </c>
      <c r="C29" s="3186">
        <v>136.68</v>
      </c>
      <c r="D29" s="3187" t="s">
        <v>2549</v>
      </c>
    </row>
    <row r="30" spans="1:4">
      <c r="A30" s="3184">
        <v>29</v>
      </c>
      <c r="B30" s="3184" t="s">
        <v>3426</v>
      </c>
      <c r="C30" s="3186">
        <v>136.68</v>
      </c>
      <c r="D30" s="3187" t="s">
        <v>2549</v>
      </c>
    </row>
    <row r="31" spans="1:4">
      <c r="A31" s="3184">
        <v>30</v>
      </c>
      <c r="B31" s="3184" t="s">
        <v>3427</v>
      </c>
      <c r="C31" s="3186">
        <v>136.68</v>
      </c>
      <c r="D31" s="3187" t="s">
        <v>2549</v>
      </c>
    </row>
    <row r="32" spans="1:4">
      <c r="A32" s="3184">
        <v>31</v>
      </c>
      <c r="B32" s="3184" t="s">
        <v>3428</v>
      </c>
      <c r="C32" s="3186">
        <v>136.68</v>
      </c>
      <c r="D32" s="3187" t="s">
        <v>2549</v>
      </c>
    </row>
    <row r="33" spans="1:4">
      <c r="A33" s="3184">
        <v>32</v>
      </c>
      <c r="B33" s="3184" t="s">
        <v>3429</v>
      </c>
      <c r="C33" s="3186">
        <v>136.68</v>
      </c>
      <c r="D33" s="3187" t="s">
        <v>2549</v>
      </c>
    </row>
    <row r="34" spans="1:4">
      <c r="A34" s="3184">
        <v>33</v>
      </c>
      <c r="B34" s="3184" t="s">
        <v>3430</v>
      </c>
      <c r="C34" s="3186">
        <v>136.68</v>
      </c>
      <c r="D34" s="3187" t="s">
        <v>2549</v>
      </c>
    </row>
    <row r="35" spans="1:4">
      <c r="A35" s="3184">
        <v>34</v>
      </c>
      <c r="B35" s="3184" t="s">
        <v>3431</v>
      </c>
      <c r="C35" s="3186">
        <v>136.68</v>
      </c>
      <c r="D35" s="3187" t="s">
        <v>2549</v>
      </c>
    </row>
    <row r="36" spans="1:4">
      <c r="A36" s="3184">
        <v>35</v>
      </c>
      <c r="B36" s="3184" t="s">
        <v>3432</v>
      </c>
      <c r="C36" s="3186">
        <v>136.68</v>
      </c>
      <c r="D36" s="3187" t="s">
        <v>2549</v>
      </c>
    </row>
    <row r="37" spans="1:4">
      <c r="A37" s="3184">
        <v>36</v>
      </c>
      <c r="B37" s="3184" t="s">
        <v>3433</v>
      </c>
      <c r="C37" s="3186">
        <v>136.68</v>
      </c>
      <c r="D37" s="3187" t="s">
        <v>2549</v>
      </c>
    </row>
    <row r="38" spans="1:4">
      <c r="A38" s="3184">
        <v>37</v>
      </c>
      <c r="B38" s="3184" t="s">
        <v>3434</v>
      </c>
      <c r="C38" s="3186">
        <v>136.68</v>
      </c>
      <c r="D38" s="3187" t="s">
        <v>2549</v>
      </c>
    </row>
    <row r="39" spans="1:4">
      <c r="A39" s="3184">
        <v>38</v>
      </c>
      <c r="B39" s="3184" t="s">
        <v>3435</v>
      </c>
      <c r="C39" s="3186">
        <v>136.68</v>
      </c>
      <c r="D39" s="3187" t="s">
        <v>2549</v>
      </c>
    </row>
    <row r="40" spans="1:4">
      <c r="A40" s="3184">
        <v>39</v>
      </c>
      <c r="B40" s="3184" t="s">
        <v>3436</v>
      </c>
      <c r="C40" s="3186">
        <v>136.68</v>
      </c>
      <c r="D40" s="3187" t="s">
        <v>2549</v>
      </c>
    </row>
    <row r="41" spans="1:4">
      <c r="A41" s="3184">
        <v>40</v>
      </c>
      <c r="B41" s="3184" t="s">
        <v>3437</v>
      </c>
      <c r="C41" s="3186">
        <v>136.68</v>
      </c>
      <c r="D41" s="3187" t="s">
        <v>2549</v>
      </c>
    </row>
    <row r="42" spans="1:4">
      <c r="A42" s="3184">
        <v>41</v>
      </c>
      <c r="B42" s="3184" t="s">
        <v>3438</v>
      </c>
      <c r="C42" s="3186">
        <v>136.68</v>
      </c>
      <c r="D42" s="3187" t="s">
        <v>2549</v>
      </c>
    </row>
    <row r="43" spans="1:4">
      <c r="A43" s="3184">
        <v>42</v>
      </c>
      <c r="B43" s="3184" t="s">
        <v>3439</v>
      </c>
      <c r="C43" s="3186">
        <v>136.68</v>
      </c>
      <c r="D43" s="3187" t="s">
        <v>2549</v>
      </c>
    </row>
    <row r="44" spans="1:4">
      <c r="A44" s="3184">
        <v>43</v>
      </c>
      <c r="B44" s="3184" t="s">
        <v>3440</v>
      </c>
      <c r="C44" s="3189">
        <v>136.68</v>
      </c>
      <c r="D44" s="3187" t="s">
        <v>2549</v>
      </c>
    </row>
    <row r="45" spans="1:4">
      <c r="A45" s="3184">
        <v>44</v>
      </c>
      <c r="B45" s="3184" t="s">
        <v>3441</v>
      </c>
      <c r="C45" s="3189">
        <v>136.68</v>
      </c>
      <c r="D45" s="3187" t="s">
        <v>2549</v>
      </c>
    </row>
    <row r="46" spans="1:4">
      <c r="A46" s="3184">
        <v>45</v>
      </c>
      <c r="B46" s="3184" t="s">
        <v>3442</v>
      </c>
      <c r="C46" s="3186">
        <v>115.96</v>
      </c>
      <c r="D46" s="3187" t="s">
        <v>2549</v>
      </c>
    </row>
    <row r="47" spans="1:4">
      <c r="A47" s="3184">
        <v>46</v>
      </c>
      <c r="B47" s="3184" t="s">
        <v>3443</v>
      </c>
      <c r="C47" s="3186">
        <v>137.1</v>
      </c>
      <c r="D47" s="3187" t="s">
        <v>2549</v>
      </c>
    </row>
    <row r="48" spans="1:4">
      <c r="A48" s="3184">
        <v>47</v>
      </c>
      <c r="B48" s="3184" t="s">
        <v>3444</v>
      </c>
      <c r="C48" s="3186">
        <v>136.68</v>
      </c>
      <c r="D48" s="3187" t="s">
        <v>2549</v>
      </c>
    </row>
    <row r="49" spans="1:4">
      <c r="A49" s="3184">
        <v>48</v>
      </c>
      <c r="B49" s="3184" t="s">
        <v>3445</v>
      </c>
      <c r="C49" s="3186">
        <v>137.1</v>
      </c>
      <c r="D49" s="3187" t="s">
        <v>2549</v>
      </c>
    </row>
    <row r="50" spans="1:4">
      <c r="A50" s="3184">
        <v>49</v>
      </c>
      <c r="B50" s="3184" t="s">
        <v>3446</v>
      </c>
      <c r="C50" s="3186">
        <v>136.68</v>
      </c>
      <c r="D50" s="3187" t="s">
        <v>2549</v>
      </c>
    </row>
    <row r="51" spans="1:4">
      <c r="A51" s="3184">
        <v>50</v>
      </c>
      <c r="B51" s="3184" t="s">
        <v>3447</v>
      </c>
      <c r="C51" s="3186">
        <v>137.1</v>
      </c>
      <c r="D51" s="3187" t="s">
        <v>2549</v>
      </c>
    </row>
    <row r="52" spans="1:4">
      <c r="A52" s="3184">
        <v>51</v>
      </c>
      <c r="B52" s="3184" t="s">
        <v>3448</v>
      </c>
      <c r="C52" s="3186">
        <v>136.68</v>
      </c>
      <c r="D52" s="3187" t="s">
        <v>2549</v>
      </c>
    </row>
    <row r="53" spans="1:4">
      <c r="A53" s="3184">
        <v>52</v>
      </c>
      <c r="B53" s="3184" t="s">
        <v>3449</v>
      </c>
      <c r="C53" s="3186">
        <v>137.1</v>
      </c>
      <c r="D53" s="3187" t="s">
        <v>2549</v>
      </c>
    </row>
    <row r="54" spans="1:4">
      <c r="A54" s="3184">
        <v>53</v>
      </c>
      <c r="B54" s="3184" t="s">
        <v>3450</v>
      </c>
      <c r="C54" s="3186">
        <v>136.68</v>
      </c>
      <c r="D54" s="3187" t="s">
        <v>2549</v>
      </c>
    </row>
    <row r="55" spans="1:4">
      <c r="A55" s="3184">
        <v>54</v>
      </c>
      <c r="B55" s="3184" t="s">
        <v>3451</v>
      </c>
      <c r="C55" s="3186">
        <v>137.1</v>
      </c>
      <c r="D55" s="3187" t="s">
        <v>2549</v>
      </c>
    </row>
    <row r="56" spans="1:4">
      <c r="A56" s="3184">
        <v>55</v>
      </c>
      <c r="B56" s="3184" t="s">
        <v>3452</v>
      </c>
      <c r="C56" s="3186">
        <v>136.68</v>
      </c>
      <c r="D56" s="3187" t="s">
        <v>2549</v>
      </c>
    </row>
    <row r="57" spans="1:4">
      <c r="A57" s="3184">
        <v>56</v>
      </c>
      <c r="B57" s="3184" t="s">
        <v>3453</v>
      </c>
      <c r="C57" s="3186">
        <v>137.1</v>
      </c>
      <c r="D57" s="3187" t="s">
        <v>2549</v>
      </c>
    </row>
    <row r="58" spans="1:4">
      <c r="A58" s="3184">
        <v>57</v>
      </c>
      <c r="B58" s="3184" t="s">
        <v>3454</v>
      </c>
      <c r="C58" s="3186">
        <v>136.68</v>
      </c>
      <c r="D58" s="3187" t="s">
        <v>2549</v>
      </c>
    </row>
    <row r="59" spans="1:4">
      <c r="A59" s="3184">
        <v>58</v>
      </c>
      <c r="B59" s="3184" t="s">
        <v>3455</v>
      </c>
      <c r="C59" s="3186">
        <v>137.1</v>
      </c>
      <c r="D59" s="3187" t="s">
        <v>2549</v>
      </c>
    </row>
    <row r="60" spans="1:4">
      <c r="A60" s="3184">
        <v>59</v>
      </c>
      <c r="B60" s="3184" t="s">
        <v>3456</v>
      </c>
      <c r="C60" s="3186">
        <v>136.68</v>
      </c>
      <c r="D60" s="3187" t="s">
        <v>2549</v>
      </c>
    </row>
    <row r="61" spans="1:4">
      <c r="A61" s="3184">
        <v>60</v>
      </c>
      <c r="B61" s="3184" t="s">
        <v>3457</v>
      </c>
      <c r="C61" s="3186">
        <v>137.1</v>
      </c>
      <c r="D61" s="3187" t="s">
        <v>2549</v>
      </c>
    </row>
    <row r="62" spans="1:4">
      <c r="A62" s="3184">
        <v>61</v>
      </c>
      <c r="B62" s="3184" t="s">
        <v>3458</v>
      </c>
      <c r="C62" s="3186">
        <v>136.68</v>
      </c>
      <c r="D62" s="3187" t="s">
        <v>2549</v>
      </c>
    </row>
    <row r="63" spans="1:4">
      <c r="A63" s="3184">
        <v>62</v>
      </c>
      <c r="B63" s="3184" t="s">
        <v>3459</v>
      </c>
      <c r="C63" s="3186">
        <v>137.1</v>
      </c>
      <c r="D63" s="3187" t="s">
        <v>2549</v>
      </c>
    </row>
    <row r="64" spans="1:4">
      <c r="A64" s="3184">
        <v>63</v>
      </c>
      <c r="B64" s="3184" t="s">
        <v>3460</v>
      </c>
      <c r="C64" s="3186">
        <v>136.68</v>
      </c>
      <c r="D64" s="3187" t="s">
        <v>2549</v>
      </c>
    </row>
    <row r="65" spans="1:4">
      <c r="A65" s="3184">
        <v>64</v>
      </c>
      <c r="B65" s="3184" t="s">
        <v>3461</v>
      </c>
      <c r="C65" s="3186">
        <v>136.68</v>
      </c>
      <c r="D65" s="3187" t="s">
        <v>2549</v>
      </c>
    </row>
    <row r="66" spans="1:4">
      <c r="A66" s="3184">
        <v>65</v>
      </c>
      <c r="B66" s="3184" t="s">
        <v>3462</v>
      </c>
      <c r="C66" s="3186">
        <v>137.1</v>
      </c>
      <c r="D66" s="3187" t="s">
        <v>2549</v>
      </c>
    </row>
    <row r="67" spans="1:4">
      <c r="A67" s="3184">
        <v>66</v>
      </c>
      <c r="B67" s="3184" t="s">
        <v>3463</v>
      </c>
      <c r="C67" s="3186">
        <v>137.15</v>
      </c>
      <c r="D67" s="3187" t="s">
        <v>2549</v>
      </c>
    </row>
    <row r="68" spans="1:4">
      <c r="A68" s="3184">
        <v>67</v>
      </c>
      <c r="B68" s="3184" t="s">
        <v>3464</v>
      </c>
      <c r="C68" s="3186">
        <v>116.01</v>
      </c>
      <c r="D68" s="3187" t="s">
        <v>2549</v>
      </c>
    </row>
    <row r="69" spans="1:4">
      <c r="A69" s="3184">
        <v>68</v>
      </c>
      <c r="B69" s="3184" t="s">
        <v>3465</v>
      </c>
      <c r="C69" s="3186">
        <v>137.15</v>
      </c>
      <c r="D69" s="3187" t="s">
        <v>2549</v>
      </c>
    </row>
    <row r="70" spans="1:4">
      <c r="A70" s="3184">
        <v>69</v>
      </c>
      <c r="B70" s="3184" t="s">
        <v>3466</v>
      </c>
      <c r="C70" s="3186">
        <v>136.72999999999999</v>
      </c>
      <c r="D70" s="3187" t="s">
        <v>2549</v>
      </c>
    </row>
    <row r="71" spans="1:4">
      <c r="A71" s="3184">
        <v>70</v>
      </c>
      <c r="B71" s="3184" t="s">
        <v>3467</v>
      </c>
      <c r="C71" s="3186">
        <v>137.15</v>
      </c>
      <c r="D71" s="3187" t="s">
        <v>2549</v>
      </c>
    </row>
    <row r="72" spans="1:4">
      <c r="A72" s="3184">
        <v>71</v>
      </c>
      <c r="B72" s="3184" t="s">
        <v>3468</v>
      </c>
      <c r="C72" s="3186">
        <v>136.72999999999999</v>
      </c>
      <c r="D72" s="3187" t="s">
        <v>2549</v>
      </c>
    </row>
    <row r="73" spans="1:4">
      <c r="A73" s="3184">
        <v>72</v>
      </c>
      <c r="B73" s="3184" t="s">
        <v>3469</v>
      </c>
      <c r="C73" s="3186">
        <v>137.15</v>
      </c>
      <c r="D73" s="3187" t="s">
        <v>2549</v>
      </c>
    </row>
    <row r="74" spans="1:4">
      <c r="A74" s="3184">
        <v>73</v>
      </c>
      <c r="B74" s="3184" t="s">
        <v>3470</v>
      </c>
      <c r="C74" s="3186">
        <v>136.72999999999999</v>
      </c>
      <c r="D74" s="3187" t="s">
        <v>2549</v>
      </c>
    </row>
    <row r="75" spans="1:4">
      <c r="A75" s="3184">
        <v>74</v>
      </c>
      <c r="B75" s="3184" t="s">
        <v>3471</v>
      </c>
      <c r="C75" s="3186">
        <v>137.15</v>
      </c>
      <c r="D75" s="3187" t="s">
        <v>2549</v>
      </c>
    </row>
    <row r="76" spans="1:4">
      <c r="A76" s="3184">
        <v>75</v>
      </c>
      <c r="B76" s="3184" t="s">
        <v>3472</v>
      </c>
      <c r="C76" s="3186">
        <v>136.72999999999999</v>
      </c>
      <c r="D76" s="3187" t="s">
        <v>2549</v>
      </c>
    </row>
    <row r="77" spans="1:4">
      <c r="A77" s="3184">
        <v>76</v>
      </c>
      <c r="B77" s="3184" t="s">
        <v>3473</v>
      </c>
      <c r="C77" s="3186">
        <v>137.15</v>
      </c>
      <c r="D77" s="3187" t="s">
        <v>2549</v>
      </c>
    </row>
    <row r="78" spans="1:4">
      <c r="A78" s="3184">
        <v>77</v>
      </c>
      <c r="B78" s="3184" t="s">
        <v>3474</v>
      </c>
      <c r="C78" s="3186">
        <v>136.72999999999999</v>
      </c>
      <c r="D78" s="3187" t="s">
        <v>2549</v>
      </c>
    </row>
    <row r="79" spans="1:4">
      <c r="A79" s="3184">
        <v>78</v>
      </c>
      <c r="B79" s="3184" t="s">
        <v>3475</v>
      </c>
      <c r="C79" s="3186">
        <v>137.15</v>
      </c>
      <c r="D79" s="3187" t="s">
        <v>2549</v>
      </c>
    </row>
    <row r="80" spans="1:4">
      <c r="A80" s="3184">
        <v>79</v>
      </c>
      <c r="B80" s="3184" t="s">
        <v>3476</v>
      </c>
      <c r="C80" s="3186">
        <v>136.72999999999999</v>
      </c>
      <c r="D80" s="3187" t="s">
        <v>2549</v>
      </c>
    </row>
    <row r="81" spans="1:4">
      <c r="A81" s="3184">
        <v>80</v>
      </c>
      <c r="B81" s="3184" t="s">
        <v>3477</v>
      </c>
      <c r="C81" s="3186">
        <v>137.15</v>
      </c>
      <c r="D81" s="3187" t="s">
        <v>2549</v>
      </c>
    </row>
    <row r="82" spans="1:4">
      <c r="A82" s="3184">
        <v>81</v>
      </c>
      <c r="B82" s="3184" t="s">
        <v>3478</v>
      </c>
      <c r="C82" s="3186">
        <v>136.72999999999999</v>
      </c>
      <c r="D82" s="3187" t="s">
        <v>2549</v>
      </c>
    </row>
    <row r="83" spans="1:4">
      <c r="A83" s="3184">
        <v>82</v>
      </c>
      <c r="B83" s="3184" t="s">
        <v>3479</v>
      </c>
      <c r="C83" s="3186">
        <v>137.15</v>
      </c>
      <c r="D83" s="3187" t="s">
        <v>2549</v>
      </c>
    </row>
    <row r="84" spans="1:4">
      <c r="A84" s="3184">
        <v>83</v>
      </c>
      <c r="B84" s="3184" t="s">
        <v>3480</v>
      </c>
      <c r="C84" s="3186">
        <v>136.72999999999999</v>
      </c>
      <c r="D84" s="3187" t="s">
        <v>2549</v>
      </c>
    </row>
    <row r="85" spans="1:4">
      <c r="A85" s="3184">
        <v>84</v>
      </c>
      <c r="B85" s="3184" t="s">
        <v>3481</v>
      </c>
      <c r="C85" s="3186">
        <v>137.15</v>
      </c>
      <c r="D85" s="3187" t="s">
        <v>2549</v>
      </c>
    </row>
    <row r="86" spans="1:4">
      <c r="A86" s="3184">
        <v>85</v>
      </c>
      <c r="B86" s="3184" t="s">
        <v>3482</v>
      </c>
      <c r="C86" s="3186">
        <v>136.72999999999999</v>
      </c>
      <c r="D86" s="3187" t="s">
        <v>2549</v>
      </c>
    </row>
    <row r="87" spans="1:4">
      <c r="A87" s="3184">
        <v>86</v>
      </c>
      <c r="B87" s="3184" t="s">
        <v>3483</v>
      </c>
      <c r="C87" s="3186">
        <v>137.15</v>
      </c>
      <c r="D87" s="3187" t="s">
        <v>2549</v>
      </c>
    </row>
    <row r="88" spans="1:4">
      <c r="A88" s="3184">
        <v>87</v>
      </c>
      <c r="B88" s="3184" t="s">
        <v>3484</v>
      </c>
      <c r="C88" s="3186">
        <v>136.72999999999999</v>
      </c>
      <c r="D88" s="3187" t="s">
        <v>2549</v>
      </c>
    </row>
    <row r="89" spans="1:4">
      <c r="A89" s="3184">
        <v>88</v>
      </c>
      <c r="B89" s="3184" t="s">
        <v>3485</v>
      </c>
      <c r="C89" s="3186">
        <v>136.72999999999999</v>
      </c>
      <c r="D89" s="3187" t="s">
        <v>2549</v>
      </c>
    </row>
    <row r="90" spans="1:4">
      <c r="A90" s="3184">
        <v>89</v>
      </c>
      <c r="B90" s="3184" t="s">
        <v>3486</v>
      </c>
      <c r="C90" s="3186">
        <v>116.01</v>
      </c>
      <c r="D90" s="3187" t="s">
        <v>2549</v>
      </c>
    </row>
    <row r="91" spans="1:4">
      <c r="A91" s="3184">
        <v>90</v>
      </c>
      <c r="B91" s="3184" t="s">
        <v>3487</v>
      </c>
      <c r="C91" s="3186">
        <v>136.72999999999999</v>
      </c>
      <c r="D91" s="3187" t="s">
        <v>2549</v>
      </c>
    </row>
    <row r="92" spans="1:4">
      <c r="A92" s="3184">
        <v>91</v>
      </c>
      <c r="B92" s="3184" t="s">
        <v>3488</v>
      </c>
      <c r="C92" s="3186">
        <v>136.72999999999999</v>
      </c>
      <c r="D92" s="3187" t="s">
        <v>2549</v>
      </c>
    </row>
    <row r="93" spans="1:4">
      <c r="A93" s="3184">
        <v>92</v>
      </c>
      <c r="B93" s="3184" t="s">
        <v>3489</v>
      </c>
      <c r="C93" s="3186">
        <v>136.72999999999999</v>
      </c>
      <c r="D93" s="3187" t="s">
        <v>2549</v>
      </c>
    </row>
    <row r="94" spans="1:4">
      <c r="A94" s="3184">
        <v>93</v>
      </c>
      <c r="B94" s="3184" t="s">
        <v>3490</v>
      </c>
      <c r="C94" s="3186">
        <v>136.72999999999999</v>
      </c>
      <c r="D94" s="3187" t="s">
        <v>2549</v>
      </c>
    </row>
    <row r="95" spans="1:4">
      <c r="A95" s="3184">
        <v>94</v>
      </c>
      <c r="B95" s="3184" t="s">
        <v>3491</v>
      </c>
      <c r="C95" s="3186">
        <v>136.72999999999999</v>
      </c>
      <c r="D95" s="3187" t="s">
        <v>2549</v>
      </c>
    </row>
    <row r="96" spans="1:4">
      <c r="A96" s="3184">
        <v>95</v>
      </c>
      <c r="B96" s="3184" t="s">
        <v>3492</v>
      </c>
      <c r="C96" s="3186">
        <v>136.72999999999999</v>
      </c>
      <c r="D96" s="3187" t="s">
        <v>2549</v>
      </c>
    </row>
    <row r="97" spans="1:4">
      <c r="A97" s="3184">
        <v>96</v>
      </c>
      <c r="B97" s="3184" t="s">
        <v>3493</v>
      </c>
      <c r="C97" s="3186">
        <v>136.72999999999999</v>
      </c>
      <c r="D97" s="3187" t="s">
        <v>2549</v>
      </c>
    </row>
    <row r="98" spans="1:4">
      <c r="A98" s="3184">
        <v>97</v>
      </c>
      <c r="B98" s="3184" t="s">
        <v>3494</v>
      </c>
      <c r="C98" s="3186">
        <v>136.72999999999999</v>
      </c>
      <c r="D98" s="3187" t="s">
        <v>2549</v>
      </c>
    </row>
    <row r="99" spans="1:4">
      <c r="A99" s="3184">
        <v>98</v>
      </c>
      <c r="B99" s="3184" t="s">
        <v>3495</v>
      </c>
      <c r="C99" s="3186">
        <v>136.72999999999999</v>
      </c>
      <c r="D99" s="3187" t="s">
        <v>2549</v>
      </c>
    </row>
    <row r="100" spans="1:4">
      <c r="A100" s="3184">
        <v>99</v>
      </c>
      <c r="B100" s="3184" t="s">
        <v>3496</v>
      </c>
      <c r="C100" s="3186">
        <v>136.72999999999999</v>
      </c>
      <c r="D100" s="3187" t="s">
        <v>2549</v>
      </c>
    </row>
    <row r="101" spans="1:4">
      <c r="A101" s="3184">
        <v>100</v>
      </c>
      <c r="B101" s="3184" t="s">
        <v>3497</v>
      </c>
      <c r="C101" s="3186">
        <v>136.72999999999999</v>
      </c>
      <c r="D101" s="3187" t="s">
        <v>2549</v>
      </c>
    </row>
    <row r="102" spans="1:4">
      <c r="A102" s="3184">
        <v>101</v>
      </c>
      <c r="B102" s="3184" t="s">
        <v>3498</v>
      </c>
      <c r="C102" s="3186">
        <v>136.72999999999999</v>
      </c>
      <c r="D102" s="3187" t="s">
        <v>2549</v>
      </c>
    </row>
    <row r="103" spans="1:4">
      <c r="A103" s="3184">
        <v>102</v>
      </c>
      <c r="B103" s="3184" t="s">
        <v>3499</v>
      </c>
      <c r="C103" s="3186">
        <v>136.72999999999999</v>
      </c>
      <c r="D103" s="3187" t="s">
        <v>2549</v>
      </c>
    </row>
    <row r="104" spans="1:4">
      <c r="A104" s="3184">
        <v>103</v>
      </c>
      <c r="B104" s="3184" t="s">
        <v>3500</v>
      </c>
      <c r="C104" s="3186">
        <v>136.72999999999999</v>
      </c>
      <c r="D104" s="3187" t="s">
        <v>2549</v>
      </c>
    </row>
    <row r="105" spans="1:4">
      <c r="A105" s="3184">
        <v>104</v>
      </c>
      <c r="B105" s="3184" t="s">
        <v>3501</v>
      </c>
      <c r="C105" s="3186">
        <v>136.72999999999999</v>
      </c>
      <c r="D105" s="3187" t="s">
        <v>2549</v>
      </c>
    </row>
    <row r="106" spans="1:4">
      <c r="A106" s="3184">
        <v>105</v>
      </c>
      <c r="B106" s="3184" t="s">
        <v>3502</v>
      </c>
      <c r="C106" s="3186">
        <v>136.72999999999999</v>
      </c>
      <c r="D106" s="3187" t="s">
        <v>2549</v>
      </c>
    </row>
    <row r="107" spans="1:4">
      <c r="A107" s="3184">
        <v>106</v>
      </c>
      <c r="B107" s="3184" t="s">
        <v>3503</v>
      </c>
      <c r="C107" s="3186">
        <v>136.72999999999999</v>
      </c>
      <c r="D107" s="3187" t="s">
        <v>2549</v>
      </c>
    </row>
    <row r="108" spans="1:4">
      <c r="A108" s="3184">
        <v>107</v>
      </c>
      <c r="B108" s="3184" t="s">
        <v>3504</v>
      </c>
      <c r="C108" s="3186">
        <v>136.72999999999999</v>
      </c>
      <c r="D108" s="3187" t="s">
        <v>2549</v>
      </c>
    </row>
    <row r="109" spans="1:4">
      <c r="A109" s="3184">
        <v>108</v>
      </c>
      <c r="B109" s="3184" t="s">
        <v>3505</v>
      </c>
      <c r="C109" s="3186">
        <v>136.72999999999999</v>
      </c>
      <c r="D109" s="3187" t="s">
        <v>2549</v>
      </c>
    </row>
    <row r="110" spans="1:4">
      <c r="A110" s="3184">
        <v>109</v>
      </c>
      <c r="B110" s="3184" t="s">
        <v>3506</v>
      </c>
      <c r="C110" s="3186">
        <v>136.72999999999999</v>
      </c>
      <c r="D110" s="3187" t="s">
        <v>2549</v>
      </c>
    </row>
    <row r="111" spans="1:4">
      <c r="A111" s="3184">
        <v>110</v>
      </c>
      <c r="B111" s="3184" t="s">
        <v>3507</v>
      </c>
      <c r="C111" s="3186">
        <v>116.01</v>
      </c>
      <c r="D111" s="3187" t="s">
        <v>2549</v>
      </c>
    </row>
    <row r="112" spans="1:4">
      <c r="A112" s="3184">
        <v>111</v>
      </c>
      <c r="B112" s="3184" t="s">
        <v>3508</v>
      </c>
      <c r="C112" s="3186">
        <v>137.15</v>
      </c>
      <c r="D112" s="3187" t="s">
        <v>2549</v>
      </c>
    </row>
    <row r="113" spans="1:4">
      <c r="A113" s="3184">
        <v>112</v>
      </c>
      <c r="B113" s="3184" t="s">
        <v>3509</v>
      </c>
      <c r="C113" s="3186">
        <v>136.72999999999999</v>
      </c>
      <c r="D113" s="3187" t="s">
        <v>2549</v>
      </c>
    </row>
    <row r="114" spans="1:4">
      <c r="A114" s="3184">
        <v>113</v>
      </c>
      <c r="B114" s="3184" t="s">
        <v>3510</v>
      </c>
      <c r="C114" s="3186">
        <v>137.15</v>
      </c>
      <c r="D114" s="3187" t="s">
        <v>2549</v>
      </c>
    </row>
    <row r="115" spans="1:4">
      <c r="A115" s="3184">
        <v>114</v>
      </c>
      <c r="B115" s="3184" t="s">
        <v>3511</v>
      </c>
      <c r="C115" s="3186">
        <v>136.72999999999999</v>
      </c>
      <c r="D115" s="3187" t="s">
        <v>2549</v>
      </c>
    </row>
    <row r="116" spans="1:4">
      <c r="A116" s="3184">
        <v>115</v>
      </c>
      <c r="B116" s="3184" t="s">
        <v>3512</v>
      </c>
      <c r="C116" s="3186">
        <v>137.15</v>
      </c>
      <c r="D116" s="3187" t="s">
        <v>2549</v>
      </c>
    </row>
    <row r="117" spans="1:4">
      <c r="A117" s="3184">
        <v>116</v>
      </c>
      <c r="B117" s="3184" t="s">
        <v>3513</v>
      </c>
      <c r="C117" s="3186">
        <v>136.72999999999999</v>
      </c>
      <c r="D117" s="3187" t="s">
        <v>2549</v>
      </c>
    </row>
    <row r="118" spans="1:4">
      <c r="A118" s="3184">
        <v>117</v>
      </c>
      <c r="B118" s="3184" t="s">
        <v>3514</v>
      </c>
      <c r="C118" s="3186">
        <v>137.15</v>
      </c>
      <c r="D118" s="3187" t="s">
        <v>2549</v>
      </c>
    </row>
    <row r="119" spans="1:4">
      <c r="A119" s="3184">
        <v>118</v>
      </c>
      <c r="B119" s="3184" t="s">
        <v>3515</v>
      </c>
      <c r="C119" s="3186">
        <v>136.72999999999999</v>
      </c>
      <c r="D119" s="3187" t="s">
        <v>2549</v>
      </c>
    </row>
    <row r="120" spans="1:4">
      <c r="A120" s="3184">
        <v>119</v>
      </c>
      <c r="B120" s="3184" t="s">
        <v>3516</v>
      </c>
      <c r="C120" s="3186">
        <v>137.15</v>
      </c>
      <c r="D120" s="3187" t="s">
        <v>2549</v>
      </c>
    </row>
    <row r="121" spans="1:4">
      <c r="A121" s="3184">
        <v>120</v>
      </c>
      <c r="B121" s="3184" t="s">
        <v>3517</v>
      </c>
      <c r="C121" s="3186">
        <v>136.72999999999999</v>
      </c>
      <c r="D121" s="3187" t="s">
        <v>2549</v>
      </c>
    </row>
    <row r="122" spans="1:4">
      <c r="A122" s="3184">
        <v>121</v>
      </c>
      <c r="B122" s="3184" t="s">
        <v>3518</v>
      </c>
      <c r="C122" s="3186">
        <v>137.15</v>
      </c>
      <c r="D122" s="3187" t="s">
        <v>2549</v>
      </c>
    </row>
    <row r="123" spans="1:4">
      <c r="A123" s="3184">
        <v>122</v>
      </c>
      <c r="B123" s="3184" t="s">
        <v>3519</v>
      </c>
      <c r="C123" s="3186">
        <v>136.72999999999999</v>
      </c>
      <c r="D123" s="3187" t="s">
        <v>2549</v>
      </c>
    </row>
    <row r="124" spans="1:4">
      <c r="A124" s="3184">
        <v>123</v>
      </c>
      <c r="B124" s="3184" t="s">
        <v>3520</v>
      </c>
      <c r="C124" s="3186">
        <v>137.15</v>
      </c>
      <c r="D124" s="3187" t="s">
        <v>2549</v>
      </c>
    </row>
    <row r="125" spans="1:4">
      <c r="A125" s="3184">
        <v>124</v>
      </c>
      <c r="B125" s="3184" t="s">
        <v>3521</v>
      </c>
      <c r="C125" s="3186">
        <v>136.72999999999999</v>
      </c>
      <c r="D125" s="3187" t="s">
        <v>2549</v>
      </c>
    </row>
    <row r="126" spans="1:4">
      <c r="A126" s="3184">
        <v>125</v>
      </c>
      <c r="B126" s="3184" t="s">
        <v>3522</v>
      </c>
      <c r="C126" s="3186">
        <v>137.15</v>
      </c>
      <c r="D126" s="3187" t="s">
        <v>2549</v>
      </c>
    </row>
    <row r="127" spans="1:4">
      <c r="A127" s="3184">
        <v>126</v>
      </c>
      <c r="B127" s="3184" t="s">
        <v>3523</v>
      </c>
      <c r="C127" s="3186">
        <v>136.72999999999999</v>
      </c>
      <c r="D127" s="3187" t="s">
        <v>2549</v>
      </c>
    </row>
    <row r="128" spans="1:4">
      <c r="A128" s="3184">
        <v>127</v>
      </c>
      <c r="B128" s="3184" t="s">
        <v>3524</v>
      </c>
      <c r="C128" s="3186">
        <v>137.15</v>
      </c>
      <c r="D128" s="3187" t="s">
        <v>2549</v>
      </c>
    </row>
    <row r="129" spans="1:4">
      <c r="A129" s="3184">
        <v>128</v>
      </c>
      <c r="B129" s="3184" t="s">
        <v>3525</v>
      </c>
      <c r="C129" s="3186">
        <v>136.72999999999999</v>
      </c>
      <c r="D129" s="3187" t="s">
        <v>2549</v>
      </c>
    </row>
    <row r="130" spans="1:4">
      <c r="A130" s="3184">
        <v>129</v>
      </c>
      <c r="B130" s="3184" t="s">
        <v>3526</v>
      </c>
      <c r="C130" s="3186">
        <v>137.15</v>
      </c>
      <c r="D130" s="3187" t="s">
        <v>2549</v>
      </c>
    </row>
    <row r="131" spans="1:4">
      <c r="A131" s="3184">
        <v>130</v>
      </c>
      <c r="B131" s="3184" t="s">
        <v>3527</v>
      </c>
      <c r="C131" s="3186">
        <v>136.72999999999999</v>
      </c>
      <c r="D131" s="3187" t="s">
        <v>2549</v>
      </c>
    </row>
    <row r="132" spans="1:4">
      <c r="A132" s="3184">
        <v>131</v>
      </c>
      <c r="B132" s="3184" t="s">
        <v>3528</v>
      </c>
      <c r="C132" s="3186">
        <v>137.15</v>
      </c>
      <c r="D132" s="3187" t="s">
        <v>2549</v>
      </c>
    </row>
    <row r="133" spans="1:4">
      <c r="A133" s="3184">
        <v>132</v>
      </c>
      <c r="B133" s="3184" t="s">
        <v>3529</v>
      </c>
      <c r="C133" s="3186">
        <v>124.56</v>
      </c>
      <c r="D133" s="3187" t="s">
        <v>2549</v>
      </c>
    </row>
    <row r="134" spans="1:4">
      <c r="A134" s="3184">
        <v>133</v>
      </c>
      <c r="B134" s="3184" t="s">
        <v>3530</v>
      </c>
      <c r="C134" s="3186">
        <v>103.05</v>
      </c>
      <c r="D134" s="3187" t="s">
        <v>2549</v>
      </c>
    </row>
    <row r="135" spans="1:4">
      <c r="A135" s="3184">
        <v>134</v>
      </c>
      <c r="B135" s="3184" t="s">
        <v>3531</v>
      </c>
      <c r="C135" s="3186">
        <v>124.56</v>
      </c>
      <c r="D135" s="3187" t="s">
        <v>2549</v>
      </c>
    </row>
    <row r="136" spans="1:4">
      <c r="A136" s="3184">
        <v>135</v>
      </c>
      <c r="B136" s="3184" t="s">
        <v>3532</v>
      </c>
      <c r="C136" s="3186">
        <v>124.31</v>
      </c>
      <c r="D136" s="3187" t="s">
        <v>2549</v>
      </c>
    </row>
    <row r="137" spans="1:4">
      <c r="A137" s="3184">
        <v>136</v>
      </c>
      <c r="B137" s="3184" t="s">
        <v>3533</v>
      </c>
      <c r="C137" s="3186">
        <v>124.56</v>
      </c>
      <c r="D137" s="3187" t="s">
        <v>2549</v>
      </c>
    </row>
    <row r="138" spans="1:4">
      <c r="A138" s="3184">
        <v>137</v>
      </c>
      <c r="B138" s="3184" t="s">
        <v>3534</v>
      </c>
      <c r="C138" s="3186">
        <v>124.56</v>
      </c>
      <c r="D138" s="3187" t="s">
        <v>2549</v>
      </c>
    </row>
    <row r="139" spans="1:4">
      <c r="A139" s="3184">
        <v>138</v>
      </c>
      <c r="B139" s="3184" t="s">
        <v>3535</v>
      </c>
      <c r="C139" s="3186">
        <v>124.31</v>
      </c>
      <c r="D139" s="3187" t="s">
        <v>2549</v>
      </c>
    </row>
    <row r="140" spans="1:4">
      <c r="A140" s="3184">
        <v>139</v>
      </c>
      <c r="B140" s="3184" t="s">
        <v>3536</v>
      </c>
      <c r="C140" s="3186">
        <v>124.56</v>
      </c>
      <c r="D140" s="3187" t="s">
        <v>2549</v>
      </c>
    </row>
    <row r="141" spans="1:4">
      <c r="A141" s="3184">
        <v>140</v>
      </c>
      <c r="B141" s="3184" t="s">
        <v>3537</v>
      </c>
      <c r="C141" s="3186">
        <v>124.31</v>
      </c>
      <c r="D141" s="3187" t="s">
        <v>2549</v>
      </c>
    </row>
    <row r="142" spans="1:4">
      <c r="A142" s="3184">
        <v>141</v>
      </c>
      <c r="B142" s="3184" t="s">
        <v>3538</v>
      </c>
      <c r="C142" s="3186">
        <v>124.31</v>
      </c>
      <c r="D142" s="3187" t="s">
        <v>2549</v>
      </c>
    </row>
    <row r="143" spans="1:4">
      <c r="A143" s="3184">
        <v>142</v>
      </c>
      <c r="B143" s="3184" t="s">
        <v>3539</v>
      </c>
      <c r="C143" s="3186">
        <v>124.31</v>
      </c>
      <c r="D143" s="3187" t="s">
        <v>2549</v>
      </c>
    </row>
    <row r="144" spans="1:4">
      <c r="A144" s="3184">
        <v>143</v>
      </c>
      <c r="B144" s="3184" t="s">
        <v>3540</v>
      </c>
      <c r="C144" s="3186">
        <v>124.56</v>
      </c>
      <c r="D144" s="3187" t="s">
        <v>2549</v>
      </c>
    </row>
    <row r="145" spans="1:4">
      <c r="A145" s="3184">
        <v>144</v>
      </c>
      <c r="B145" s="3184" t="s">
        <v>3541</v>
      </c>
      <c r="C145" s="3186">
        <v>124.31</v>
      </c>
      <c r="D145" s="3187" t="s">
        <v>2549</v>
      </c>
    </row>
    <row r="146" spans="1:4">
      <c r="A146" s="3184">
        <v>145</v>
      </c>
      <c r="B146" s="3184" t="s">
        <v>3542</v>
      </c>
      <c r="C146" s="3186">
        <v>103.05</v>
      </c>
      <c r="D146" s="3187" t="s">
        <v>2549</v>
      </c>
    </row>
    <row r="147" spans="1:4">
      <c r="A147" s="3184">
        <v>146</v>
      </c>
      <c r="B147" s="3184" t="s">
        <v>3543</v>
      </c>
      <c r="C147" s="3186">
        <v>124.67</v>
      </c>
      <c r="D147" s="3187" t="s">
        <v>2549</v>
      </c>
    </row>
    <row r="148" spans="1:4">
      <c r="A148" s="3184">
        <v>147</v>
      </c>
      <c r="B148" s="3184" t="s">
        <v>3544</v>
      </c>
      <c r="C148" s="3186">
        <v>124.31</v>
      </c>
      <c r="D148" s="3187" t="s">
        <v>2549</v>
      </c>
    </row>
    <row r="149" spans="1:4">
      <c r="A149" s="3184">
        <v>148</v>
      </c>
      <c r="B149" s="3184" t="s">
        <v>3545</v>
      </c>
      <c r="C149" s="3186">
        <v>124.67</v>
      </c>
      <c r="D149" s="3187" t="s">
        <v>2549</v>
      </c>
    </row>
    <row r="150" spans="1:4">
      <c r="A150" s="3184">
        <v>149</v>
      </c>
      <c r="B150" s="3184" t="s">
        <v>3546</v>
      </c>
      <c r="C150" s="3186">
        <v>124.31</v>
      </c>
      <c r="D150" s="3187" t="s">
        <v>2549</v>
      </c>
    </row>
    <row r="151" spans="1:4">
      <c r="A151" s="3184">
        <v>150</v>
      </c>
      <c r="B151" s="3184" t="s">
        <v>3547</v>
      </c>
      <c r="C151" s="3186">
        <v>124.67</v>
      </c>
      <c r="D151" s="3187" t="s">
        <v>2549</v>
      </c>
    </row>
    <row r="152" spans="1:4">
      <c r="A152" s="3184">
        <v>151</v>
      </c>
      <c r="B152" s="3184" t="s">
        <v>3548</v>
      </c>
      <c r="C152" s="3186">
        <v>124.31</v>
      </c>
      <c r="D152" s="3187" t="s">
        <v>2549</v>
      </c>
    </row>
    <row r="153" spans="1:4">
      <c r="A153" s="3184">
        <v>152</v>
      </c>
      <c r="B153" s="3184" t="s">
        <v>3549</v>
      </c>
      <c r="C153" s="3186">
        <v>124.67</v>
      </c>
      <c r="D153" s="3187" t="s">
        <v>2549</v>
      </c>
    </row>
    <row r="154" spans="1:4">
      <c r="A154" s="3184">
        <v>153</v>
      </c>
      <c r="B154" s="3184" t="s">
        <v>3550</v>
      </c>
      <c r="C154" s="3186">
        <v>124.31</v>
      </c>
      <c r="D154" s="3187" t="s">
        <v>2549</v>
      </c>
    </row>
    <row r="155" spans="1:4">
      <c r="A155" s="3184">
        <v>154</v>
      </c>
      <c r="B155" s="3184" t="s">
        <v>3551</v>
      </c>
      <c r="C155" s="3186">
        <v>124.67</v>
      </c>
      <c r="D155" s="3187" t="s">
        <v>2549</v>
      </c>
    </row>
    <row r="156" spans="1:4">
      <c r="A156" s="3184">
        <v>155</v>
      </c>
      <c r="B156" s="3184" t="s">
        <v>3552</v>
      </c>
      <c r="C156" s="3186">
        <v>124.67</v>
      </c>
      <c r="D156" s="3187" t="s">
        <v>2549</v>
      </c>
    </row>
    <row r="157" spans="1:4">
      <c r="A157" s="3184">
        <v>156</v>
      </c>
      <c r="B157" s="3184" t="s">
        <v>3553</v>
      </c>
      <c r="C157" s="3186">
        <v>124.31</v>
      </c>
      <c r="D157" s="3187" t="s">
        <v>2549</v>
      </c>
    </row>
    <row r="158" spans="1:4">
      <c r="A158" s="3184">
        <v>157</v>
      </c>
      <c r="B158" s="3184" t="s">
        <v>3554</v>
      </c>
      <c r="C158" s="3186">
        <v>124.67</v>
      </c>
      <c r="D158" s="3187" t="s">
        <v>2549</v>
      </c>
    </row>
    <row r="159" spans="1:4">
      <c r="A159" s="3184">
        <v>158</v>
      </c>
      <c r="B159" s="3184" t="s">
        <v>3555</v>
      </c>
      <c r="C159" s="3186">
        <v>124.31</v>
      </c>
      <c r="D159" s="3187" t="s">
        <v>2549</v>
      </c>
    </row>
    <row r="160" spans="1:4">
      <c r="A160" s="3184">
        <v>159</v>
      </c>
      <c r="B160" s="3184" t="s">
        <v>3556</v>
      </c>
      <c r="C160" s="3186">
        <v>124.67</v>
      </c>
      <c r="D160" s="3187" t="s">
        <v>2549</v>
      </c>
    </row>
    <row r="161" spans="1:4">
      <c r="A161" s="3184">
        <v>160</v>
      </c>
      <c r="B161" s="3184" t="s">
        <v>3557</v>
      </c>
      <c r="C161" s="3186">
        <v>124.67</v>
      </c>
      <c r="D161" s="3187" t="s">
        <v>2549</v>
      </c>
    </row>
    <row r="162" spans="1:4">
      <c r="A162" s="3184">
        <v>161</v>
      </c>
      <c r="B162" s="3184" t="s">
        <v>3558</v>
      </c>
      <c r="C162" s="3186">
        <v>124.67</v>
      </c>
      <c r="D162" s="3187" t="s">
        <v>2549</v>
      </c>
    </row>
    <row r="163" spans="1:4">
      <c r="A163" s="3184">
        <v>162</v>
      </c>
      <c r="B163" s="3184" t="s">
        <v>3559</v>
      </c>
      <c r="C163" s="3186">
        <v>124.31</v>
      </c>
      <c r="D163" s="3187" t="s">
        <v>2549</v>
      </c>
    </row>
    <row r="164" spans="1:4">
      <c r="A164" s="3184">
        <v>163</v>
      </c>
      <c r="B164" s="3184" t="s">
        <v>3560</v>
      </c>
      <c r="C164" s="3186">
        <v>124.67</v>
      </c>
      <c r="D164" s="3187" t="s">
        <v>2549</v>
      </c>
    </row>
    <row r="165" spans="1:4">
      <c r="A165" s="3184">
        <v>164</v>
      </c>
      <c r="B165" s="3184" t="s">
        <v>3561</v>
      </c>
      <c r="C165" s="3186">
        <v>124.85</v>
      </c>
      <c r="D165" s="3187" t="s">
        <v>2549</v>
      </c>
    </row>
    <row r="166" spans="1:4">
      <c r="A166" s="3184">
        <v>165</v>
      </c>
      <c r="B166" s="3184" t="s">
        <v>3562</v>
      </c>
      <c r="C166" s="3186">
        <v>124.96</v>
      </c>
      <c r="D166" s="3187" t="s">
        <v>2549</v>
      </c>
    </row>
    <row r="167" spans="1:4">
      <c r="A167" s="3184">
        <v>166</v>
      </c>
      <c r="B167" s="3184" t="s">
        <v>3563</v>
      </c>
      <c r="C167" s="3186">
        <v>124.85</v>
      </c>
      <c r="D167" s="3187" t="s">
        <v>2549</v>
      </c>
    </row>
    <row r="168" spans="1:4">
      <c r="A168" s="3184">
        <v>167</v>
      </c>
      <c r="B168" s="3184" t="s">
        <v>3564</v>
      </c>
      <c r="C168" s="3186">
        <v>124.96</v>
      </c>
      <c r="D168" s="3187" t="s">
        <v>2549</v>
      </c>
    </row>
    <row r="169" spans="1:4">
      <c r="A169" s="3184">
        <v>168</v>
      </c>
      <c r="B169" s="3184" t="s">
        <v>3565</v>
      </c>
      <c r="C169" s="3186">
        <v>124.81</v>
      </c>
      <c r="D169" s="3187" t="s">
        <v>2549</v>
      </c>
    </row>
    <row r="170" spans="1:4">
      <c r="A170" s="3184">
        <v>169</v>
      </c>
      <c r="B170" s="3184" t="s">
        <v>3566</v>
      </c>
      <c r="C170" s="3186">
        <v>124.92</v>
      </c>
      <c r="D170" s="3187" t="s">
        <v>2549</v>
      </c>
    </row>
    <row r="171" spans="1:4">
      <c r="A171" s="3184">
        <v>170</v>
      </c>
      <c r="B171" s="3184" t="s">
        <v>3567</v>
      </c>
      <c r="C171" s="3186">
        <v>124.81</v>
      </c>
      <c r="D171" s="3187" t="s">
        <v>2549</v>
      </c>
    </row>
    <row r="172" spans="1:4">
      <c r="A172" s="3184">
        <v>171</v>
      </c>
      <c r="B172" s="3184" t="s">
        <v>3568</v>
      </c>
      <c r="C172" s="3186">
        <v>124.92</v>
      </c>
      <c r="D172" s="3187" t="s">
        <v>2549</v>
      </c>
    </row>
    <row r="173" spans="1:4">
      <c r="A173" s="3184">
        <v>172</v>
      </c>
      <c r="B173" s="3184" t="s">
        <v>3569</v>
      </c>
      <c r="C173" s="3186">
        <v>124.81</v>
      </c>
      <c r="D173" s="3187" t="s">
        <v>2549</v>
      </c>
    </row>
    <row r="174" spans="1:4">
      <c r="A174" s="3184">
        <v>173</v>
      </c>
      <c r="B174" s="3184" t="s">
        <v>3570</v>
      </c>
      <c r="C174" s="3186">
        <v>124.92</v>
      </c>
      <c r="D174" s="3187" t="s">
        <v>2549</v>
      </c>
    </row>
    <row r="175" spans="1:4">
      <c r="A175" s="3184">
        <v>174</v>
      </c>
      <c r="B175" s="3184" t="s">
        <v>3571</v>
      </c>
      <c r="C175" s="3186">
        <v>124.81</v>
      </c>
      <c r="D175" s="3187" t="s">
        <v>2549</v>
      </c>
    </row>
    <row r="176" spans="1:4">
      <c r="A176" s="3184">
        <v>175</v>
      </c>
      <c r="B176" s="3184" t="s">
        <v>3572</v>
      </c>
      <c r="C176" s="3186">
        <v>124.92</v>
      </c>
      <c r="D176" s="3187" t="s">
        <v>2549</v>
      </c>
    </row>
    <row r="177" spans="1:4">
      <c r="A177" s="3184">
        <v>176</v>
      </c>
      <c r="B177" s="3184" t="s">
        <v>3573</v>
      </c>
      <c r="C177" s="3186">
        <v>124.81</v>
      </c>
      <c r="D177" s="3187" t="s">
        <v>2549</v>
      </c>
    </row>
    <row r="178" spans="1:4">
      <c r="A178" s="3184">
        <v>177</v>
      </c>
      <c r="B178" s="3184" t="s">
        <v>3574</v>
      </c>
      <c r="C178" s="3186">
        <v>124.92</v>
      </c>
      <c r="D178" s="3187" t="s">
        <v>2549</v>
      </c>
    </row>
    <row r="179" spans="1:4">
      <c r="A179" s="3184">
        <v>178</v>
      </c>
      <c r="B179" s="3184" t="s">
        <v>3575</v>
      </c>
      <c r="C179" s="3186">
        <v>124.71</v>
      </c>
      <c r="D179" s="3187" t="s">
        <v>2549</v>
      </c>
    </row>
    <row r="180" spans="1:4">
      <c r="A180" s="3184">
        <v>179</v>
      </c>
      <c r="B180" s="3184" t="s">
        <v>3576</v>
      </c>
      <c r="C180" s="3186">
        <v>124.45</v>
      </c>
      <c r="D180" s="3187" t="s">
        <v>2549</v>
      </c>
    </row>
    <row r="181" spans="1:4">
      <c r="A181" s="3184">
        <v>180</v>
      </c>
      <c r="B181" s="3184" t="s">
        <v>3577</v>
      </c>
      <c r="C181" s="3186">
        <v>124.71</v>
      </c>
      <c r="D181" s="3187" t="s">
        <v>2549</v>
      </c>
    </row>
    <row r="182" spans="1:4">
      <c r="A182" s="3184">
        <v>181</v>
      </c>
      <c r="B182" s="3184" t="s">
        <v>3578</v>
      </c>
      <c r="C182" s="3186">
        <v>124.45</v>
      </c>
      <c r="D182" s="3187" t="s">
        <v>2549</v>
      </c>
    </row>
    <row r="183" spans="1:4">
      <c r="A183" s="3184">
        <v>182</v>
      </c>
      <c r="B183" s="3184" t="s">
        <v>3579</v>
      </c>
      <c r="C183" s="3186">
        <v>124.67</v>
      </c>
      <c r="D183" s="3187" t="s">
        <v>2549</v>
      </c>
    </row>
    <row r="184" spans="1:4">
      <c r="A184" s="3184">
        <v>183</v>
      </c>
      <c r="B184" s="3184" t="s">
        <v>3580</v>
      </c>
      <c r="C184" s="3186">
        <v>124.41</v>
      </c>
      <c r="D184" s="3187" t="s">
        <v>2549</v>
      </c>
    </row>
    <row r="185" spans="1:4">
      <c r="A185" s="3184">
        <v>184</v>
      </c>
      <c r="B185" s="3184" t="s">
        <v>3581</v>
      </c>
      <c r="C185" s="3186">
        <v>124.67</v>
      </c>
      <c r="D185" s="3187" t="s">
        <v>2549</v>
      </c>
    </row>
    <row r="186" spans="1:4">
      <c r="A186" s="3184">
        <v>185</v>
      </c>
      <c r="B186" s="3184" t="s">
        <v>3582</v>
      </c>
      <c r="C186" s="3186">
        <v>124.41</v>
      </c>
      <c r="D186" s="3187" t="s">
        <v>2549</v>
      </c>
    </row>
    <row r="187" spans="1:4">
      <c r="A187" s="3184">
        <v>186</v>
      </c>
      <c r="B187" s="3184" t="s">
        <v>3583</v>
      </c>
      <c r="C187" s="3186">
        <v>124.67</v>
      </c>
      <c r="D187" s="3187" t="s">
        <v>2549</v>
      </c>
    </row>
    <row r="188" spans="1:4">
      <c r="A188" s="3184">
        <v>187</v>
      </c>
      <c r="B188" s="3184" t="s">
        <v>3584</v>
      </c>
      <c r="C188" s="3186">
        <v>124.41</v>
      </c>
      <c r="D188" s="3187" t="s">
        <v>2549</v>
      </c>
    </row>
    <row r="189" spans="1:4">
      <c r="A189" s="3184">
        <v>188</v>
      </c>
      <c r="B189" s="3184" t="s">
        <v>3585</v>
      </c>
      <c r="C189" s="3186">
        <v>124.67</v>
      </c>
      <c r="D189" s="3187" t="s">
        <v>2549</v>
      </c>
    </row>
    <row r="190" spans="1:4">
      <c r="A190" s="3184">
        <v>189</v>
      </c>
      <c r="B190" s="3184" t="s">
        <v>3586</v>
      </c>
      <c r="C190" s="3186">
        <v>124.41</v>
      </c>
      <c r="D190" s="3187" t="s">
        <v>2549</v>
      </c>
    </row>
    <row r="191" spans="1:4">
      <c r="A191" s="3184">
        <v>190</v>
      </c>
      <c r="B191" s="3184" t="s">
        <v>3587</v>
      </c>
      <c r="C191" s="3186">
        <v>124.45</v>
      </c>
      <c r="D191" s="3187" t="s">
        <v>2549</v>
      </c>
    </row>
    <row r="192" spans="1:4">
      <c r="A192" s="3184">
        <v>191</v>
      </c>
      <c r="B192" s="3184" t="s">
        <v>3588</v>
      </c>
      <c r="C192" s="3186">
        <v>124.82</v>
      </c>
      <c r="D192" s="3187" t="s">
        <v>2549</v>
      </c>
    </row>
    <row r="193" spans="1:4">
      <c r="A193" s="3184">
        <v>192</v>
      </c>
      <c r="B193" s="3184" t="s">
        <v>3589</v>
      </c>
      <c r="C193" s="3186">
        <v>124.45</v>
      </c>
      <c r="D193" s="3187" t="s">
        <v>2549</v>
      </c>
    </row>
    <row r="194" spans="1:4">
      <c r="A194" s="3184">
        <v>193</v>
      </c>
      <c r="B194" s="3184" t="s">
        <v>3590</v>
      </c>
      <c r="C194" s="3186">
        <v>124.82</v>
      </c>
      <c r="D194" s="3187" t="s">
        <v>2549</v>
      </c>
    </row>
    <row r="195" spans="1:4">
      <c r="A195" s="3184">
        <v>194</v>
      </c>
      <c r="B195" s="3184" t="s">
        <v>3591</v>
      </c>
      <c r="C195" s="3186">
        <v>124.41</v>
      </c>
      <c r="D195" s="3187" t="s">
        <v>2549</v>
      </c>
    </row>
    <row r="196" spans="1:4">
      <c r="A196" s="3184">
        <v>195</v>
      </c>
      <c r="B196" s="3184" t="s">
        <v>3592</v>
      </c>
      <c r="C196" s="3186">
        <v>124.78</v>
      </c>
      <c r="D196" s="3187" t="s">
        <v>2549</v>
      </c>
    </row>
    <row r="197" spans="1:4">
      <c r="A197" s="3184">
        <v>196</v>
      </c>
      <c r="B197" s="3184" t="s">
        <v>3593</v>
      </c>
      <c r="C197" s="3186">
        <v>124.41</v>
      </c>
      <c r="D197" s="3187" t="s">
        <v>2549</v>
      </c>
    </row>
    <row r="198" spans="1:4">
      <c r="A198" s="3184">
        <v>197</v>
      </c>
      <c r="B198" s="3184" t="s">
        <v>3594</v>
      </c>
      <c r="C198" s="3186">
        <v>124.78</v>
      </c>
      <c r="D198" s="3187" t="s">
        <v>2549</v>
      </c>
    </row>
    <row r="199" spans="1:4">
      <c r="A199" s="3184">
        <v>198</v>
      </c>
      <c r="B199" s="3184" t="s">
        <v>3595</v>
      </c>
      <c r="C199" s="3186">
        <v>124.41</v>
      </c>
      <c r="D199" s="3187" t="s">
        <v>2549</v>
      </c>
    </row>
    <row r="200" spans="1:4">
      <c r="A200" s="3184">
        <v>199</v>
      </c>
      <c r="B200" s="3184" t="s">
        <v>3596</v>
      </c>
      <c r="C200" s="3186">
        <v>124.78</v>
      </c>
      <c r="D200" s="3187" t="s">
        <v>2549</v>
      </c>
    </row>
    <row r="201" spans="1:4">
      <c r="A201" s="3184">
        <v>200</v>
      </c>
      <c r="B201" s="3184" t="s">
        <v>3597</v>
      </c>
      <c r="C201" s="3186">
        <v>124.41</v>
      </c>
      <c r="D201" s="3187" t="s">
        <v>2549</v>
      </c>
    </row>
    <row r="202" spans="1:4">
      <c r="A202" s="3184">
        <v>201</v>
      </c>
      <c r="B202" s="3184" t="s">
        <v>3598</v>
      </c>
      <c r="C202" s="3186">
        <v>124.78</v>
      </c>
      <c r="D202" s="3187" t="s">
        <v>2549</v>
      </c>
    </row>
    <row r="203" spans="1:4">
      <c r="A203" s="3184">
        <v>202</v>
      </c>
      <c r="B203" s="3190" t="s">
        <v>3599</v>
      </c>
      <c r="C203" s="3191">
        <v>104.53</v>
      </c>
      <c r="D203" s="3187" t="s">
        <v>2549</v>
      </c>
    </row>
    <row r="204" spans="1:4">
      <c r="A204" s="3184">
        <v>203</v>
      </c>
      <c r="B204" s="3190" t="s">
        <v>3600</v>
      </c>
      <c r="C204" s="3191">
        <v>104.28</v>
      </c>
      <c r="D204" s="3187" t="s">
        <v>2549</v>
      </c>
    </row>
    <row r="205" spans="1:4">
      <c r="A205" s="3184">
        <v>204</v>
      </c>
      <c r="B205" s="3190" t="s">
        <v>3601</v>
      </c>
      <c r="C205" s="3191">
        <v>104.53</v>
      </c>
      <c r="D205" s="3187" t="s">
        <v>2549</v>
      </c>
    </row>
    <row r="206" spans="1:4">
      <c r="A206" s="3184">
        <v>205</v>
      </c>
      <c r="B206" s="3190" t="s">
        <v>3602</v>
      </c>
      <c r="C206" s="3191">
        <v>104.28</v>
      </c>
      <c r="D206" s="3187" t="s">
        <v>2549</v>
      </c>
    </row>
    <row r="207" spans="1:4">
      <c r="A207" s="3184">
        <v>206</v>
      </c>
      <c r="B207" s="3190" t="s">
        <v>3603</v>
      </c>
      <c r="C207" s="3191">
        <v>104.28</v>
      </c>
      <c r="D207" s="3187" t="s">
        <v>2549</v>
      </c>
    </row>
    <row r="208" spans="1:4">
      <c r="A208" s="3184">
        <v>207</v>
      </c>
      <c r="B208" s="3190" t="s">
        <v>3604</v>
      </c>
      <c r="C208" s="3191">
        <v>104.53</v>
      </c>
      <c r="D208" s="3187" t="s">
        <v>2549</v>
      </c>
    </row>
    <row r="209" spans="1:4">
      <c r="A209" s="3184">
        <v>208</v>
      </c>
      <c r="B209" s="3190" t="s">
        <v>3605</v>
      </c>
      <c r="C209" s="3191">
        <v>104.28</v>
      </c>
      <c r="D209" s="3187" t="s">
        <v>2549</v>
      </c>
    </row>
    <row r="210" spans="1:4">
      <c r="A210" s="3184">
        <v>209</v>
      </c>
      <c r="B210" s="3190" t="s">
        <v>3606</v>
      </c>
      <c r="C210" s="3191">
        <v>104.53</v>
      </c>
      <c r="D210" s="3187" t="s">
        <v>2549</v>
      </c>
    </row>
    <row r="211" spans="1:4">
      <c r="A211" s="3184">
        <v>210</v>
      </c>
      <c r="B211" s="3190" t="s">
        <v>3607</v>
      </c>
      <c r="C211" s="3191">
        <v>104.28</v>
      </c>
      <c r="D211" s="3187" t="s">
        <v>2549</v>
      </c>
    </row>
    <row r="212" spans="1:4">
      <c r="A212" s="3184">
        <v>211</v>
      </c>
      <c r="B212" s="3192" t="s">
        <v>3608</v>
      </c>
      <c r="C212" s="3191">
        <v>136.44</v>
      </c>
      <c r="D212" s="3187" t="s">
        <v>2549</v>
      </c>
    </row>
    <row r="213" spans="1:4">
      <c r="A213" s="3184">
        <v>212</v>
      </c>
      <c r="B213" s="3192" t="s">
        <v>3609</v>
      </c>
      <c r="C213" s="3191">
        <v>173.91</v>
      </c>
      <c r="D213" s="3187" t="s">
        <v>2549</v>
      </c>
    </row>
    <row r="214" spans="1:4">
      <c r="A214" s="3184">
        <v>213</v>
      </c>
      <c r="B214" s="3192" t="s">
        <v>3610</v>
      </c>
      <c r="C214" s="3191">
        <v>136.44</v>
      </c>
      <c r="D214" s="3187" t="s">
        <v>2549</v>
      </c>
    </row>
    <row r="215" spans="1:4">
      <c r="A215" s="3184">
        <v>214</v>
      </c>
      <c r="B215" s="3192" t="s">
        <v>3611</v>
      </c>
      <c r="C215" s="3191">
        <v>189.42</v>
      </c>
      <c r="D215" s="3187" t="s">
        <v>2549</v>
      </c>
    </row>
    <row r="216" spans="1:4">
      <c r="A216" s="3184">
        <v>215</v>
      </c>
      <c r="B216" s="3192" t="s">
        <v>3612</v>
      </c>
      <c r="C216" s="3191">
        <v>188.24</v>
      </c>
      <c r="D216" s="3187" t="s">
        <v>2549</v>
      </c>
    </row>
    <row r="217" spans="1:4">
      <c r="A217" s="3184">
        <v>216</v>
      </c>
      <c r="B217" s="3192" t="s">
        <v>3613</v>
      </c>
      <c r="C217" s="3191">
        <v>189.42</v>
      </c>
      <c r="D217" s="3187" t="s">
        <v>2549</v>
      </c>
    </row>
    <row r="218" spans="1:4">
      <c r="A218" s="3184">
        <v>217</v>
      </c>
      <c r="B218" s="3192" t="s">
        <v>3614</v>
      </c>
      <c r="C218" s="3191">
        <v>188.24</v>
      </c>
      <c r="D218" s="3187" t="s">
        <v>2549</v>
      </c>
    </row>
    <row r="219" spans="1:4">
      <c r="A219" s="3184">
        <v>218</v>
      </c>
      <c r="B219" s="3192" t="s">
        <v>3615</v>
      </c>
      <c r="C219" s="3191">
        <v>189.42</v>
      </c>
      <c r="D219" s="3187" t="s">
        <v>2549</v>
      </c>
    </row>
    <row r="220" spans="1:4">
      <c r="A220" s="3184">
        <v>219</v>
      </c>
      <c r="B220" s="3192" t="s">
        <v>3616</v>
      </c>
      <c r="C220" s="3191">
        <v>188.24</v>
      </c>
      <c r="D220" s="3187" t="s">
        <v>2549</v>
      </c>
    </row>
    <row r="221" spans="1:4">
      <c r="A221" s="3184">
        <v>220</v>
      </c>
      <c r="B221" s="3192" t="s">
        <v>3617</v>
      </c>
      <c r="C221" s="3191">
        <v>189.42</v>
      </c>
      <c r="D221" s="3187" t="s">
        <v>2549</v>
      </c>
    </row>
    <row r="222" spans="1:4">
      <c r="A222" s="3184">
        <v>221</v>
      </c>
      <c r="B222" s="3192" t="s">
        <v>3618</v>
      </c>
      <c r="C222" s="3191">
        <v>189.42</v>
      </c>
      <c r="D222" s="3187" t="s">
        <v>2549</v>
      </c>
    </row>
    <row r="223" spans="1:4">
      <c r="A223" s="3184">
        <v>222</v>
      </c>
      <c r="B223" s="3192" t="s">
        <v>3619</v>
      </c>
      <c r="C223" s="3191">
        <v>188.24</v>
      </c>
      <c r="D223" s="3187" t="s">
        <v>2549</v>
      </c>
    </row>
    <row r="224" spans="1:4">
      <c r="A224" s="3184">
        <v>223</v>
      </c>
      <c r="B224" s="3192" t="s">
        <v>3620</v>
      </c>
      <c r="C224" s="3191">
        <v>189.42</v>
      </c>
      <c r="D224" s="3187" t="s">
        <v>2549</v>
      </c>
    </row>
    <row r="225" spans="1:4">
      <c r="A225" s="3184">
        <v>224</v>
      </c>
      <c r="B225" s="3192" t="s">
        <v>3621</v>
      </c>
      <c r="C225" s="3191">
        <v>188.24</v>
      </c>
      <c r="D225" s="3187" t="s">
        <v>2549</v>
      </c>
    </row>
    <row r="226" spans="1:4">
      <c r="A226" s="3184">
        <v>225</v>
      </c>
      <c r="B226" s="3192" t="s">
        <v>3622</v>
      </c>
      <c r="C226" s="3191">
        <v>189.42</v>
      </c>
      <c r="D226" s="3187" t="s">
        <v>2549</v>
      </c>
    </row>
    <row r="227" spans="1:4">
      <c r="A227" s="3184">
        <v>226</v>
      </c>
      <c r="B227" s="3192" t="s">
        <v>3623</v>
      </c>
      <c r="C227" s="3191">
        <v>188.24</v>
      </c>
      <c r="D227" s="3187" t="s">
        <v>2549</v>
      </c>
    </row>
    <row r="228" spans="1:4">
      <c r="A228" s="3184">
        <v>227</v>
      </c>
      <c r="B228" s="3192" t="s">
        <v>3624</v>
      </c>
      <c r="C228" s="3191">
        <v>189.42</v>
      </c>
      <c r="D228" s="3187" t="s">
        <v>2549</v>
      </c>
    </row>
    <row r="229" spans="1:4">
      <c r="A229" s="3184">
        <v>228</v>
      </c>
      <c r="B229" s="3190" t="s">
        <v>3625</v>
      </c>
      <c r="C229" s="3191">
        <v>136.69</v>
      </c>
      <c r="D229" s="3187" t="s">
        <v>2549</v>
      </c>
    </row>
    <row r="230" spans="1:4">
      <c r="A230" s="3184">
        <v>229</v>
      </c>
      <c r="B230" s="3190" t="s">
        <v>3626</v>
      </c>
      <c r="C230" s="3191">
        <v>136.27000000000001</v>
      </c>
      <c r="D230" s="3187" t="s">
        <v>2549</v>
      </c>
    </row>
    <row r="231" spans="1:4">
      <c r="A231" s="3184">
        <v>230</v>
      </c>
      <c r="B231" s="3190" t="s">
        <v>3627</v>
      </c>
      <c r="C231" s="3191">
        <v>136.69</v>
      </c>
      <c r="D231" s="3187" t="s">
        <v>2549</v>
      </c>
    </row>
    <row r="232" spans="1:4">
      <c r="A232" s="3184">
        <v>231</v>
      </c>
      <c r="B232" s="3190" t="s">
        <v>3628</v>
      </c>
      <c r="C232" s="3191">
        <v>136.27000000000001</v>
      </c>
      <c r="D232" s="3187" t="s">
        <v>2549</v>
      </c>
    </row>
    <row r="233" spans="1:4">
      <c r="A233" s="3184">
        <v>232</v>
      </c>
      <c r="B233" s="3190" t="s">
        <v>3629</v>
      </c>
      <c r="C233" s="3191">
        <v>136.65</v>
      </c>
      <c r="D233" s="3187" t="s">
        <v>2549</v>
      </c>
    </row>
    <row r="234" spans="1:4">
      <c r="A234" s="3184">
        <v>233</v>
      </c>
      <c r="B234" s="3190" t="s">
        <v>3630</v>
      </c>
      <c r="C234" s="3191">
        <v>136.22999999999999</v>
      </c>
      <c r="D234" s="3187" t="s">
        <v>2549</v>
      </c>
    </row>
    <row r="235" spans="1:4">
      <c r="A235" s="3184">
        <v>234</v>
      </c>
      <c r="B235" s="3190" t="s">
        <v>3631</v>
      </c>
      <c r="C235" s="3191">
        <v>136.65</v>
      </c>
      <c r="D235" s="3187" t="s">
        <v>2549</v>
      </c>
    </row>
    <row r="236" spans="1:4">
      <c r="A236" s="3184">
        <v>235</v>
      </c>
      <c r="B236" s="3190" t="s">
        <v>3632</v>
      </c>
      <c r="C236" s="3191">
        <v>136.22999999999999</v>
      </c>
      <c r="D236" s="3187" t="s">
        <v>2549</v>
      </c>
    </row>
    <row r="237" spans="1:4">
      <c r="A237" s="3184">
        <v>236</v>
      </c>
      <c r="B237" s="3190" t="s">
        <v>3633</v>
      </c>
      <c r="C237" s="3191">
        <v>136.65</v>
      </c>
      <c r="D237" s="3187" t="s">
        <v>2549</v>
      </c>
    </row>
    <row r="238" spans="1:4">
      <c r="A238" s="3184">
        <v>237</v>
      </c>
      <c r="B238" s="3190" t="s">
        <v>3634</v>
      </c>
      <c r="C238" s="3191">
        <v>136.22999999999999</v>
      </c>
      <c r="D238" s="3187" t="s">
        <v>2549</v>
      </c>
    </row>
    <row r="239" spans="1:4">
      <c r="A239" s="3184">
        <v>238</v>
      </c>
      <c r="B239" s="3190" t="s">
        <v>3635</v>
      </c>
      <c r="C239" s="3191">
        <v>136.65</v>
      </c>
      <c r="D239" s="3187" t="s">
        <v>2549</v>
      </c>
    </row>
    <row r="240" spans="1:4">
      <c r="A240" s="3184">
        <v>239</v>
      </c>
      <c r="B240" s="3190" t="s">
        <v>3636</v>
      </c>
      <c r="C240" s="3191">
        <v>136.22999999999999</v>
      </c>
      <c r="D240" s="3187" t="s">
        <v>2549</v>
      </c>
    </row>
    <row r="241" spans="1:4">
      <c r="A241" s="3184">
        <v>240</v>
      </c>
      <c r="B241" s="3190" t="s">
        <v>3637</v>
      </c>
      <c r="C241" s="3191">
        <v>136.27000000000001</v>
      </c>
      <c r="D241" s="3187" t="s">
        <v>2549</v>
      </c>
    </row>
    <row r="242" spans="1:4">
      <c r="A242" s="3184">
        <v>241</v>
      </c>
      <c r="B242" s="3190" t="s">
        <v>3638</v>
      </c>
      <c r="C242" s="3191">
        <v>136.69</v>
      </c>
      <c r="D242" s="3187" t="s">
        <v>2549</v>
      </c>
    </row>
    <row r="243" spans="1:4">
      <c r="A243" s="3184">
        <v>242</v>
      </c>
      <c r="B243" s="3190" t="s">
        <v>3639</v>
      </c>
      <c r="C243" s="3191">
        <v>136.27000000000001</v>
      </c>
      <c r="D243" s="3187" t="s">
        <v>2549</v>
      </c>
    </row>
    <row r="244" spans="1:4">
      <c r="A244" s="3184">
        <v>243</v>
      </c>
      <c r="B244" s="3190" t="s">
        <v>3640</v>
      </c>
      <c r="C244" s="3191">
        <v>136.69</v>
      </c>
      <c r="D244" s="3187" t="s">
        <v>2549</v>
      </c>
    </row>
    <row r="245" spans="1:4">
      <c r="A245" s="3184">
        <v>244</v>
      </c>
      <c r="B245" s="3190" t="s">
        <v>3641</v>
      </c>
      <c r="C245" s="3191">
        <v>136.22999999999999</v>
      </c>
      <c r="D245" s="3187" t="s">
        <v>2549</v>
      </c>
    </row>
    <row r="246" spans="1:4">
      <c r="A246" s="3184">
        <v>245</v>
      </c>
      <c r="B246" s="3190" t="s">
        <v>3642</v>
      </c>
      <c r="C246" s="3191">
        <v>136.65</v>
      </c>
      <c r="D246" s="3187" t="s">
        <v>2549</v>
      </c>
    </row>
    <row r="247" spans="1:4">
      <c r="A247" s="3184">
        <v>246</v>
      </c>
      <c r="B247" s="3190" t="s">
        <v>3643</v>
      </c>
      <c r="C247" s="3191">
        <v>136.22999999999999</v>
      </c>
      <c r="D247" s="3187" t="s">
        <v>2549</v>
      </c>
    </row>
    <row r="248" spans="1:4">
      <c r="A248" s="3184">
        <v>247</v>
      </c>
      <c r="B248" s="3190" t="s">
        <v>3644</v>
      </c>
      <c r="C248" s="3191">
        <v>136.22999999999999</v>
      </c>
      <c r="D248" s="3187" t="s">
        <v>2549</v>
      </c>
    </row>
    <row r="249" spans="1:4">
      <c r="A249" s="3184">
        <v>248</v>
      </c>
      <c r="B249" s="3192" t="s">
        <v>3645</v>
      </c>
      <c r="C249" s="3191">
        <v>135.97</v>
      </c>
      <c r="D249" s="3187" t="s">
        <v>2549</v>
      </c>
    </row>
    <row r="250" spans="1:4">
      <c r="A250" s="3184">
        <v>249</v>
      </c>
      <c r="B250" s="3192" t="s">
        <v>3646</v>
      </c>
      <c r="C250" s="3191">
        <v>173.31</v>
      </c>
      <c r="D250" s="3187" t="s">
        <v>2549</v>
      </c>
    </row>
    <row r="251" spans="1:4">
      <c r="A251" s="3184">
        <v>250</v>
      </c>
      <c r="B251" s="3192" t="s">
        <v>3647</v>
      </c>
      <c r="C251" s="3191">
        <v>135.97</v>
      </c>
      <c r="D251" s="3187" t="s">
        <v>2549</v>
      </c>
    </row>
    <row r="252" spans="1:4">
      <c r="A252" s="3184">
        <v>251</v>
      </c>
      <c r="B252" s="3192" t="s">
        <v>3648</v>
      </c>
      <c r="C252" s="3191">
        <v>188.77</v>
      </c>
      <c r="D252" s="3187" t="s">
        <v>2549</v>
      </c>
    </row>
    <row r="253" spans="1:4">
      <c r="A253" s="3184">
        <v>252</v>
      </c>
      <c r="B253" s="3192" t="s">
        <v>3649</v>
      </c>
      <c r="C253" s="3191">
        <v>187.59</v>
      </c>
      <c r="D253" s="3187" t="s">
        <v>2549</v>
      </c>
    </row>
    <row r="254" spans="1:4">
      <c r="A254" s="3184">
        <v>253</v>
      </c>
      <c r="B254" s="3192" t="s">
        <v>3650</v>
      </c>
      <c r="C254" s="3191">
        <v>188.77</v>
      </c>
      <c r="D254" s="3187" t="s">
        <v>2549</v>
      </c>
    </row>
    <row r="255" spans="1:4">
      <c r="A255" s="3184">
        <v>254</v>
      </c>
      <c r="B255" s="3192" t="s">
        <v>3651</v>
      </c>
      <c r="C255" s="3191">
        <v>187.59</v>
      </c>
      <c r="D255" s="3187" t="s">
        <v>2549</v>
      </c>
    </row>
    <row r="256" spans="1:4">
      <c r="A256" s="3184">
        <v>255</v>
      </c>
      <c r="B256" s="3192" t="s">
        <v>3652</v>
      </c>
      <c r="C256" s="3191">
        <v>188.77</v>
      </c>
      <c r="D256" s="3187" t="s">
        <v>2549</v>
      </c>
    </row>
    <row r="257" spans="1:4">
      <c r="A257" s="3184">
        <v>256</v>
      </c>
      <c r="B257" s="3192" t="s">
        <v>3653</v>
      </c>
      <c r="C257" s="3191">
        <v>187.59</v>
      </c>
      <c r="D257" s="3187" t="s">
        <v>2549</v>
      </c>
    </row>
    <row r="258" spans="1:4">
      <c r="A258" s="3184">
        <v>257</v>
      </c>
      <c r="B258" s="3192" t="s">
        <v>3654</v>
      </c>
      <c r="C258" s="3191">
        <v>188.77</v>
      </c>
      <c r="D258" s="3187" t="s">
        <v>2549</v>
      </c>
    </row>
    <row r="259" spans="1:4">
      <c r="A259" s="3184">
        <v>258</v>
      </c>
      <c r="B259" s="3192" t="s">
        <v>3655</v>
      </c>
      <c r="C259" s="3191">
        <v>188.77</v>
      </c>
      <c r="D259" s="3187" t="s">
        <v>2549</v>
      </c>
    </row>
    <row r="260" spans="1:4">
      <c r="A260" s="3184">
        <v>259</v>
      </c>
      <c r="B260" s="3192" t="s">
        <v>3656</v>
      </c>
      <c r="C260" s="3191">
        <v>187.59</v>
      </c>
      <c r="D260" s="3187" t="s">
        <v>2549</v>
      </c>
    </row>
    <row r="261" spans="1:4">
      <c r="A261" s="3184">
        <v>260</v>
      </c>
      <c r="B261" s="3192" t="s">
        <v>3657</v>
      </c>
      <c r="C261" s="3191">
        <v>188.77</v>
      </c>
      <c r="D261" s="3187" t="s">
        <v>2549</v>
      </c>
    </row>
    <row r="262" spans="1:4">
      <c r="A262" s="3184">
        <v>261</v>
      </c>
      <c r="B262" s="3192" t="s">
        <v>3658</v>
      </c>
      <c r="C262" s="3191">
        <v>187.59</v>
      </c>
      <c r="D262" s="3187" t="s">
        <v>2549</v>
      </c>
    </row>
    <row r="263" spans="1:4">
      <c r="A263" s="3184">
        <v>262</v>
      </c>
      <c r="B263" s="3192" t="s">
        <v>3659</v>
      </c>
      <c r="C263" s="3191">
        <v>188.77</v>
      </c>
      <c r="D263" s="3187" t="s">
        <v>2549</v>
      </c>
    </row>
    <row r="264" spans="1:4">
      <c r="A264" s="3184">
        <v>263</v>
      </c>
      <c r="B264" s="3192" t="s">
        <v>3660</v>
      </c>
      <c r="C264" s="3191">
        <v>187.59</v>
      </c>
      <c r="D264" s="3187" t="s">
        <v>2549</v>
      </c>
    </row>
    <row r="265" spans="1:4">
      <c r="A265" s="3184">
        <v>264</v>
      </c>
      <c r="B265" s="3192" t="s">
        <v>3661</v>
      </c>
      <c r="C265" s="3191">
        <v>188.77</v>
      </c>
      <c r="D265" s="3187" t="s">
        <v>2549</v>
      </c>
    </row>
    <row r="266" spans="1:4">
      <c r="A266" s="3184">
        <v>265</v>
      </c>
      <c r="B266" s="3192" t="s">
        <v>3662</v>
      </c>
      <c r="C266" s="3191">
        <v>137.86000000000001</v>
      </c>
      <c r="D266" s="3187" t="s">
        <v>2549</v>
      </c>
    </row>
    <row r="267" spans="1:4">
      <c r="A267" s="3184">
        <v>266</v>
      </c>
      <c r="B267" s="3192" t="s">
        <v>3663</v>
      </c>
      <c r="C267" s="3191">
        <v>116.61</v>
      </c>
      <c r="D267" s="3187" t="s">
        <v>2549</v>
      </c>
    </row>
    <row r="268" spans="1:4">
      <c r="A268" s="3184">
        <v>267</v>
      </c>
      <c r="B268" s="3192" t="s">
        <v>3664</v>
      </c>
      <c r="C268" s="3191">
        <v>137.86000000000001</v>
      </c>
      <c r="D268" s="3187" t="s">
        <v>2549</v>
      </c>
    </row>
    <row r="269" spans="1:4">
      <c r="A269" s="3184">
        <v>268</v>
      </c>
      <c r="B269" s="3192" t="s">
        <v>3665</v>
      </c>
      <c r="C269" s="3191">
        <v>137.44</v>
      </c>
      <c r="D269" s="3187" t="s">
        <v>2549</v>
      </c>
    </row>
    <row r="270" spans="1:4">
      <c r="A270" s="3184">
        <v>269</v>
      </c>
      <c r="B270" s="3192" t="s">
        <v>3666</v>
      </c>
      <c r="C270" s="3191">
        <v>137.86000000000001</v>
      </c>
      <c r="D270" s="3187" t="s">
        <v>2549</v>
      </c>
    </row>
    <row r="271" spans="1:4">
      <c r="A271" s="3184">
        <v>270</v>
      </c>
      <c r="B271" s="3192" t="s">
        <v>3667</v>
      </c>
      <c r="C271" s="3191">
        <v>137.44</v>
      </c>
      <c r="D271" s="3187" t="s">
        <v>2549</v>
      </c>
    </row>
    <row r="272" spans="1:4">
      <c r="A272" s="3184">
        <v>271</v>
      </c>
      <c r="B272" s="3192" t="s">
        <v>3668</v>
      </c>
      <c r="C272" s="3191">
        <v>137.86000000000001</v>
      </c>
      <c r="D272" s="3187" t="s">
        <v>2549</v>
      </c>
    </row>
    <row r="273" spans="1:4">
      <c r="A273" s="3184">
        <v>272</v>
      </c>
      <c r="B273" s="3192" t="s">
        <v>3669</v>
      </c>
      <c r="C273" s="3191">
        <v>137.44</v>
      </c>
      <c r="D273" s="3187" t="s">
        <v>2549</v>
      </c>
    </row>
    <row r="274" spans="1:4">
      <c r="A274" s="3184">
        <v>273</v>
      </c>
      <c r="B274" s="3192" t="s">
        <v>3670</v>
      </c>
      <c r="C274" s="3191">
        <v>137.44</v>
      </c>
      <c r="D274" s="3187" t="s">
        <v>2549</v>
      </c>
    </row>
    <row r="275" spans="1:4">
      <c r="A275" s="3184">
        <v>274</v>
      </c>
      <c r="B275" s="3192" t="s">
        <v>3671</v>
      </c>
      <c r="C275" s="3191">
        <v>116.61</v>
      </c>
      <c r="D275" s="3187" t="s">
        <v>2549</v>
      </c>
    </row>
    <row r="276" spans="1:4">
      <c r="A276" s="3184">
        <v>275</v>
      </c>
      <c r="B276" s="3192" t="s">
        <v>3672</v>
      </c>
      <c r="C276" s="3191">
        <v>137.44</v>
      </c>
      <c r="D276" s="3187" t="s">
        <v>2549</v>
      </c>
    </row>
    <row r="277" spans="1:4">
      <c r="A277" s="3184">
        <v>276</v>
      </c>
      <c r="B277" s="3192" t="s">
        <v>3673</v>
      </c>
      <c r="C277" s="3191">
        <v>137.44</v>
      </c>
      <c r="D277" s="3187" t="s">
        <v>2549</v>
      </c>
    </row>
    <row r="278" spans="1:4">
      <c r="A278" s="3184">
        <v>277</v>
      </c>
      <c r="B278" s="3192" t="s">
        <v>3674</v>
      </c>
      <c r="C278" s="3191">
        <v>137.44</v>
      </c>
      <c r="D278" s="3187" t="s">
        <v>2549</v>
      </c>
    </row>
    <row r="279" spans="1:4">
      <c r="A279" s="3184">
        <v>278</v>
      </c>
      <c r="B279" s="3192" t="s">
        <v>3675</v>
      </c>
      <c r="C279" s="3191">
        <v>137.44</v>
      </c>
      <c r="D279" s="3187" t="s">
        <v>2549</v>
      </c>
    </row>
    <row r="280" spans="1:4">
      <c r="A280" s="3184">
        <v>279</v>
      </c>
      <c r="B280" s="3192" t="s">
        <v>3676</v>
      </c>
      <c r="C280" s="3191">
        <v>137.44</v>
      </c>
      <c r="D280" s="3187" t="s">
        <v>2549</v>
      </c>
    </row>
    <row r="281" spans="1:4">
      <c r="A281" s="3184">
        <v>280</v>
      </c>
      <c r="B281" s="3192" t="s">
        <v>3677</v>
      </c>
      <c r="C281" s="3191">
        <v>137.44</v>
      </c>
      <c r="D281" s="3187" t="s">
        <v>2549</v>
      </c>
    </row>
    <row r="282" spans="1:4">
      <c r="A282" s="3184">
        <v>281</v>
      </c>
      <c r="B282" s="3192" t="s">
        <v>3678</v>
      </c>
      <c r="C282" s="3191">
        <v>137.44</v>
      </c>
      <c r="D282" s="3187" t="s">
        <v>2549</v>
      </c>
    </row>
    <row r="283" spans="1:4">
      <c r="A283" s="3184">
        <v>282</v>
      </c>
      <c r="B283" s="3192" t="s">
        <v>3679</v>
      </c>
      <c r="C283" s="3191">
        <v>137.44</v>
      </c>
      <c r="D283" s="3187" t="s">
        <v>2549</v>
      </c>
    </row>
    <row r="284" spans="1:4">
      <c r="A284" s="3184">
        <v>283</v>
      </c>
      <c r="B284" s="3192" t="s">
        <v>3680</v>
      </c>
      <c r="C284" s="3191">
        <v>137.44</v>
      </c>
      <c r="D284" s="3187" t="s">
        <v>2549</v>
      </c>
    </row>
    <row r="285" spans="1:4">
      <c r="A285" s="3184">
        <v>284</v>
      </c>
      <c r="B285" s="3192" t="s">
        <v>3681</v>
      </c>
      <c r="C285" s="3191">
        <v>137.44</v>
      </c>
      <c r="D285" s="3187" t="s">
        <v>2549</v>
      </c>
    </row>
    <row r="286" spans="1:4">
      <c r="A286" s="3184">
        <v>285</v>
      </c>
      <c r="B286" s="3192" t="s">
        <v>3682</v>
      </c>
      <c r="C286" s="3191">
        <v>137.44</v>
      </c>
      <c r="D286" s="3187" t="s">
        <v>2549</v>
      </c>
    </row>
    <row r="287" spans="1:4">
      <c r="A287" s="3184">
        <v>286</v>
      </c>
      <c r="B287" s="3192" t="s">
        <v>3683</v>
      </c>
      <c r="C287" s="3191">
        <v>137.44</v>
      </c>
      <c r="D287" s="3187" t="s">
        <v>2549</v>
      </c>
    </row>
    <row r="288" spans="1:4">
      <c r="A288" s="3184">
        <v>287</v>
      </c>
      <c r="B288" s="3192" t="s">
        <v>3684</v>
      </c>
      <c r="C288" s="3191">
        <v>116.61</v>
      </c>
      <c r="D288" s="3187" t="s">
        <v>2549</v>
      </c>
    </row>
    <row r="289" spans="1:4">
      <c r="A289" s="3184">
        <v>288</v>
      </c>
      <c r="B289" s="3192" t="s">
        <v>3685</v>
      </c>
      <c r="C289" s="3191">
        <v>137.47999999999999</v>
      </c>
      <c r="D289" s="3187" t="s">
        <v>2549</v>
      </c>
    </row>
    <row r="290" spans="1:4">
      <c r="A290" s="3184">
        <v>289</v>
      </c>
      <c r="B290" s="3192" t="s">
        <v>3686</v>
      </c>
      <c r="C290" s="3191">
        <v>137.44</v>
      </c>
      <c r="D290" s="3187" t="s">
        <v>2549</v>
      </c>
    </row>
    <row r="291" spans="1:4">
      <c r="A291" s="3184">
        <v>290</v>
      </c>
      <c r="B291" s="3192" t="s">
        <v>3687</v>
      </c>
      <c r="C291" s="3191">
        <v>137.47999999999999</v>
      </c>
      <c r="D291" s="3187" t="s">
        <v>2549</v>
      </c>
    </row>
    <row r="292" spans="1:4">
      <c r="A292" s="3184">
        <v>291</v>
      </c>
      <c r="B292" s="3192" t="s">
        <v>3688</v>
      </c>
      <c r="C292" s="3191">
        <v>137.44</v>
      </c>
      <c r="D292" s="3187" t="s">
        <v>2549</v>
      </c>
    </row>
    <row r="293" spans="1:4">
      <c r="A293" s="3184">
        <v>292</v>
      </c>
      <c r="B293" s="3192" t="s">
        <v>3689</v>
      </c>
      <c r="C293" s="3191">
        <v>137.47999999999999</v>
      </c>
      <c r="D293" s="3187" t="s">
        <v>2549</v>
      </c>
    </row>
    <row r="294" spans="1:4">
      <c r="A294" s="3184">
        <v>293</v>
      </c>
      <c r="B294" s="3192" t="s">
        <v>3690</v>
      </c>
      <c r="C294" s="3191">
        <v>137.44</v>
      </c>
      <c r="D294" s="3187" t="s">
        <v>2549</v>
      </c>
    </row>
    <row r="295" spans="1:4">
      <c r="A295" s="3184">
        <v>294</v>
      </c>
      <c r="B295" s="3192" t="s">
        <v>3691</v>
      </c>
      <c r="C295" s="3191">
        <v>137.47999999999999</v>
      </c>
      <c r="D295" s="3187" t="s">
        <v>2549</v>
      </c>
    </row>
    <row r="296" spans="1:4">
      <c r="A296" s="3184">
        <v>295</v>
      </c>
      <c r="B296" s="3192" t="s">
        <v>3692</v>
      </c>
      <c r="C296" s="3191">
        <v>137.44</v>
      </c>
      <c r="D296" s="3187" t="s">
        <v>2549</v>
      </c>
    </row>
    <row r="297" spans="1:4">
      <c r="A297" s="3184">
        <v>296</v>
      </c>
      <c r="B297" s="3192" t="s">
        <v>3693</v>
      </c>
      <c r="C297" s="3191">
        <v>137.44</v>
      </c>
      <c r="D297" s="3187" t="s">
        <v>2549</v>
      </c>
    </row>
    <row r="298" spans="1:4">
      <c r="A298" s="3184">
        <v>297</v>
      </c>
      <c r="B298" s="3192" t="s">
        <v>3694</v>
      </c>
      <c r="C298" s="3191">
        <v>137.47999999999999</v>
      </c>
      <c r="D298" s="3187" t="s">
        <v>2549</v>
      </c>
    </row>
    <row r="299" spans="1:4">
      <c r="A299" s="3184">
        <v>298</v>
      </c>
      <c r="B299" s="3192" t="s">
        <v>3695</v>
      </c>
      <c r="C299" s="3191">
        <v>137.44</v>
      </c>
      <c r="D299" s="3187" t="s">
        <v>2549</v>
      </c>
    </row>
    <row r="300" spans="1:4">
      <c r="A300" s="3184">
        <v>299</v>
      </c>
      <c r="B300" s="3192" t="s">
        <v>3696</v>
      </c>
      <c r="C300" s="3191">
        <v>137.47999999999999</v>
      </c>
      <c r="D300" s="3187" t="s">
        <v>2549</v>
      </c>
    </row>
    <row r="301" spans="1:4">
      <c r="A301" s="3184">
        <v>300</v>
      </c>
      <c r="B301" s="3192" t="s">
        <v>3697</v>
      </c>
      <c r="C301" s="3191">
        <v>137.44</v>
      </c>
      <c r="D301" s="3187" t="s">
        <v>2549</v>
      </c>
    </row>
    <row r="302" spans="1:4">
      <c r="A302" s="3184">
        <v>301</v>
      </c>
      <c r="B302" s="3192" t="s">
        <v>3698</v>
      </c>
      <c r="C302" s="3191">
        <v>137.44</v>
      </c>
      <c r="D302" s="3187" t="s">
        <v>2549</v>
      </c>
    </row>
    <row r="303" spans="1:4">
      <c r="A303" s="3184">
        <v>302</v>
      </c>
      <c r="B303" s="3192" t="s">
        <v>3699</v>
      </c>
      <c r="C303" s="3191">
        <v>102.98</v>
      </c>
      <c r="D303" s="3187" t="s">
        <v>2549</v>
      </c>
    </row>
    <row r="304" spans="1:4">
      <c r="A304" s="3184">
        <v>303</v>
      </c>
      <c r="B304" s="3192" t="s">
        <v>3700</v>
      </c>
      <c r="C304" s="3191">
        <v>102.6</v>
      </c>
      <c r="D304" s="3187" t="s">
        <v>2549</v>
      </c>
    </row>
    <row r="305" spans="1:4">
      <c r="A305" s="3184">
        <v>304</v>
      </c>
      <c r="B305" s="3192" t="s">
        <v>3701</v>
      </c>
      <c r="C305" s="3191">
        <v>103.07</v>
      </c>
      <c r="D305" s="3187" t="s">
        <v>2549</v>
      </c>
    </row>
    <row r="306" spans="1:4">
      <c r="A306" s="3184">
        <v>305</v>
      </c>
      <c r="B306" s="3192" t="s">
        <v>3702</v>
      </c>
      <c r="C306" s="3191">
        <v>104.94</v>
      </c>
      <c r="D306" s="3187" t="s">
        <v>2549</v>
      </c>
    </row>
    <row r="307" spans="1:4">
      <c r="A307" s="3184">
        <v>306</v>
      </c>
      <c r="B307" s="3192" t="s">
        <v>3703</v>
      </c>
      <c r="C307" s="3191">
        <v>104.94</v>
      </c>
      <c r="D307" s="3187" t="s">
        <v>2549</v>
      </c>
    </row>
    <row r="308" spans="1:4">
      <c r="A308" s="3184">
        <v>307</v>
      </c>
      <c r="B308" s="3192" t="s">
        <v>3704</v>
      </c>
      <c r="C308" s="3191">
        <v>104.69</v>
      </c>
      <c r="D308" s="3187" t="s">
        <v>2549</v>
      </c>
    </row>
    <row r="309" spans="1:4">
      <c r="A309" s="3184">
        <v>308</v>
      </c>
      <c r="B309" s="3192" t="s">
        <v>3705</v>
      </c>
      <c r="C309" s="3191">
        <v>105.09</v>
      </c>
      <c r="D309" s="3187" t="s">
        <v>2549</v>
      </c>
    </row>
    <row r="310" spans="1:4">
      <c r="A310" s="3184">
        <v>309</v>
      </c>
      <c r="B310" s="3192" t="s">
        <v>3706</v>
      </c>
      <c r="C310" s="3191">
        <v>104.69</v>
      </c>
      <c r="D310" s="3187" t="s">
        <v>2549</v>
      </c>
    </row>
    <row r="311" spans="1:4">
      <c r="A311" s="3184">
        <v>310</v>
      </c>
      <c r="B311" s="3192" t="s">
        <v>3707</v>
      </c>
      <c r="C311" s="3191">
        <v>105.09</v>
      </c>
      <c r="D311" s="3187" t="s">
        <v>2549</v>
      </c>
    </row>
    <row r="312" spans="1:4">
      <c r="A312" s="3184">
        <v>311</v>
      </c>
      <c r="B312" s="3192" t="s">
        <v>3708</v>
      </c>
      <c r="C312" s="3191">
        <v>105.09</v>
      </c>
      <c r="D312" s="3187" t="s">
        <v>2549</v>
      </c>
    </row>
    <row r="313" spans="1:4">
      <c r="A313" s="3184">
        <v>312</v>
      </c>
      <c r="B313" s="3192" t="s">
        <v>3709</v>
      </c>
      <c r="C313" s="3191">
        <v>104.69</v>
      </c>
      <c r="D313" s="3187" t="s">
        <v>2549</v>
      </c>
    </row>
    <row r="314" spans="1:4">
      <c r="A314" s="3184">
        <v>313</v>
      </c>
      <c r="B314" s="3192" t="s">
        <v>3710</v>
      </c>
      <c r="C314" s="3191">
        <v>104.69</v>
      </c>
      <c r="D314" s="3187" t="s">
        <v>2549</v>
      </c>
    </row>
    <row r="315" spans="1:4">
      <c r="A315" s="3184">
        <v>314</v>
      </c>
      <c r="B315" s="3192" t="s">
        <v>3711</v>
      </c>
      <c r="C315" s="3191">
        <v>104.94</v>
      </c>
      <c r="D315" s="3187" t="s">
        <v>2549</v>
      </c>
    </row>
    <row r="316" spans="1:4">
      <c r="A316" s="3184">
        <v>315</v>
      </c>
      <c r="B316" s="3192" t="s">
        <v>3712</v>
      </c>
      <c r="C316" s="3191">
        <v>104.69</v>
      </c>
      <c r="D316" s="3187" t="s">
        <v>2549</v>
      </c>
    </row>
    <row r="317" spans="1:4">
      <c r="A317" s="3184">
        <v>316</v>
      </c>
      <c r="B317" s="3192" t="s">
        <v>3713</v>
      </c>
      <c r="C317" s="3191">
        <v>104.94</v>
      </c>
      <c r="D317" s="3187" t="s">
        <v>2549</v>
      </c>
    </row>
    <row r="318" spans="1:4">
      <c r="A318" s="3184">
        <v>317</v>
      </c>
      <c r="B318" s="3192" t="s">
        <v>3714</v>
      </c>
      <c r="C318" s="3191">
        <v>105.09</v>
      </c>
      <c r="D318" s="3187" t="s">
        <v>2549</v>
      </c>
    </row>
    <row r="319" spans="1:4">
      <c r="A319" s="3184">
        <v>318</v>
      </c>
      <c r="B319" s="3192" t="s">
        <v>3715</v>
      </c>
      <c r="C319" s="3191">
        <v>105.09</v>
      </c>
      <c r="D319" s="3187" t="s">
        <v>2549</v>
      </c>
    </row>
    <row r="320" spans="1:4">
      <c r="A320" s="3184">
        <v>319</v>
      </c>
      <c r="B320" s="3192" t="s">
        <v>3716</v>
      </c>
      <c r="C320" s="3191">
        <v>104.69</v>
      </c>
      <c r="D320" s="3187" t="s">
        <v>2549</v>
      </c>
    </row>
    <row r="321" spans="1:4">
      <c r="A321" s="3184">
        <v>320</v>
      </c>
      <c r="B321" s="3192" t="s">
        <v>3717</v>
      </c>
      <c r="C321" s="3191">
        <v>164.72</v>
      </c>
      <c r="D321" s="3187" t="s">
        <v>2549</v>
      </c>
    </row>
    <row r="322" spans="1:4">
      <c r="A322" s="3184">
        <v>321</v>
      </c>
      <c r="B322" s="3192" t="s">
        <v>3718</v>
      </c>
      <c r="C322" s="3191">
        <v>164.25</v>
      </c>
      <c r="D322" s="3187" t="s">
        <v>2549</v>
      </c>
    </row>
    <row r="323" spans="1:4">
      <c r="A323" s="3184">
        <v>322</v>
      </c>
      <c r="B323" s="3192" t="s">
        <v>3719</v>
      </c>
      <c r="C323" s="3191">
        <v>164.72</v>
      </c>
      <c r="D323" s="3187" t="s">
        <v>2549</v>
      </c>
    </row>
    <row r="324" spans="1:4">
      <c r="A324" s="3184">
        <v>323</v>
      </c>
      <c r="B324" s="3192" t="s">
        <v>3720</v>
      </c>
      <c r="C324" s="3191">
        <v>164.25</v>
      </c>
      <c r="D324" s="3187" t="s">
        <v>2549</v>
      </c>
    </row>
    <row r="325" spans="1:4">
      <c r="A325" s="3184">
        <v>324</v>
      </c>
      <c r="B325" s="3192" t="s">
        <v>3721</v>
      </c>
      <c r="C325" s="3191">
        <v>164.67</v>
      </c>
      <c r="D325" s="3187" t="s">
        <v>2549</v>
      </c>
    </row>
    <row r="326" spans="1:4">
      <c r="A326" s="3184">
        <v>325</v>
      </c>
      <c r="B326" s="3192" t="s">
        <v>3722</v>
      </c>
      <c r="C326" s="3191">
        <v>164.22</v>
      </c>
      <c r="D326" s="3187" t="s">
        <v>2549</v>
      </c>
    </row>
    <row r="327" spans="1:4">
      <c r="A327" s="3184">
        <v>326</v>
      </c>
      <c r="B327" s="3192" t="s">
        <v>3723</v>
      </c>
      <c r="C327" s="3191">
        <v>164.67</v>
      </c>
      <c r="D327" s="3187" t="s">
        <v>2549</v>
      </c>
    </row>
    <row r="328" spans="1:4">
      <c r="A328" s="3184">
        <v>327</v>
      </c>
      <c r="B328" s="3192" t="s">
        <v>3724</v>
      </c>
      <c r="C328" s="3191">
        <v>164.22</v>
      </c>
      <c r="D328" s="3187" t="s">
        <v>2549</v>
      </c>
    </row>
    <row r="329" spans="1:4">
      <c r="A329" s="3184">
        <v>328</v>
      </c>
      <c r="B329" s="3192" t="s">
        <v>3725</v>
      </c>
      <c r="C329" s="3191">
        <v>164.67</v>
      </c>
      <c r="D329" s="3187" t="s">
        <v>2549</v>
      </c>
    </row>
    <row r="330" spans="1:4">
      <c r="A330" s="3184">
        <v>329</v>
      </c>
      <c r="B330" s="3192" t="s">
        <v>3726</v>
      </c>
      <c r="C330" s="3191">
        <v>164.22</v>
      </c>
      <c r="D330" s="3187" t="s">
        <v>2549</v>
      </c>
    </row>
    <row r="331" spans="1:4">
      <c r="A331" s="3184">
        <v>330</v>
      </c>
      <c r="B331" s="3192" t="s">
        <v>3727</v>
      </c>
      <c r="C331" s="3191">
        <v>164.67</v>
      </c>
      <c r="D331" s="3187" t="s">
        <v>2549</v>
      </c>
    </row>
    <row r="332" spans="1:4">
      <c r="A332" s="3184">
        <v>331</v>
      </c>
      <c r="B332" s="3192" t="s">
        <v>3728</v>
      </c>
      <c r="C332" s="3191">
        <v>164.22</v>
      </c>
      <c r="D332" s="3187" t="s">
        <v>2549</v>
      </c>
    </row>
    <row r="333" spans="1:4">
      <c r="A333" s="3184">
        <v>332</v>
      </c>
      <c r="B333" s="3192" t="s">
        <v>3729</v>
      </c>
      <c r="C333" s="3191">
        <v>164.67</v>
      </c>
      <c r="D333" s="3187" t="s">
        <v>2549</v>
      </c>
    </row>
    <row r="334" spans="1:4">
      <c r="A334" s="3184">
        <v>333</v>
      </c>
      <c r="B334" s="3192" t="s">
        <v>3730</v>
      </c>
      <c r="C334" s="3191">
        <v>164.22</v>
      </c>
      <c r="D334" s="3187" t="s">
        <v>2549</v>
      </c>
    </row>
    <row r="335" spans="1:4">
      <c r="A335" s="3184">
        <v>334</v>
      </c>
      <c r="B335" s="3192" t="s">
        <v>3731</v>
      </c>
      <c r="C335" s="3191">
        <v>164.25</v>
      </c>
      <c r="D335" s="3187" t="s">
        <v>2549</v>
      </c>
    </row>
    <row r="336" spans="1:4">
      <c r="A336" s="3184">
        <v>335</v>
      </c>
      <c r="B336" s="3192" t="s">
        <v>3732</v>
      </c>
      <c r="C336" s="3191">
        <v>164.72</v>
      </c>
      <c r="D336" s="3187" t="s">
        <v>2549</v>
      </c>
    </row>
    <row r="337" spans="1:4">
      <c r="A337" s="3184">
        <v>336</v>
      </c>
      <c r="B337" s="3192" t="s">
        <v>3733</v>
      </c>
      <c r="C337" s="3191">
        <v>164.25</v>
      </c>
      <c r="D337" s="3187" t="s">
        <v>2549</v>
      </c>
    </row>
    <row r="338" spans="1:4">
      <c r="A338" s="3184">
        <v>337</v>
      </c>
      <c r="B338" s="3192" t="s">
        <v>3734</v>
      </c>
      <c r="C338" s="3191">
        <v>164.72</v>
      </c>
      <c r="D338" s="3187" t="s">
        <v>2549</v>
      </c>
    </row>
    <row r="339" spans="1:4">
      <c r="A339" s="3184">
        <v>338</v>
      </c>
      <c r="B339" s="3192" t="s">
        <v>3735</v>
      </c>
      <c r="C339" s="3191">
        <v>164.22</v>
      </c>
      <c r="D339" s="3187" t="s">
        <v>2549</v>
      </c>
    </row>
    <row r="340" spans="1:4">
      <c r="A340" s="3184">
        <v>339</v>
      </c>
      <c r="B340" s="3192" t="s">
        <v>3736</v>
      </c>
      <c r="C340" s="3191">
        <v>164.67</v>
      </c>
      <c r="D340" s="3187" t="s">
        <v>2549</v>
      </c>
    </row>
    <row r="341" spans="1:4">
      <c r="A341" s="3184">
        <v>340</v>
      </c>
      <c r="B341" s="3192" t="s">
        <v>3737</v>
      </c>
      <c r="C341" s="3191">
        <v>164.22</v>
      </c>
      <c r="D341" s="3187" t="s">
        <v>2549</v>
      </c>
    </row>
    <row r="342" spans="1:4">
      <c r="A342" s="3184">
        <v>341</v>
      </c>
      <c r="B342" s="3192" t="s">
        <v>3738</v>
      </c>
      <c r="C342" s="3191">
        <v>164.67</v>
      </c>
      <c r="D342" s="3187" t="s">
        <v>2549</v>
      </c>
    </row>
    <row r="343" spans="1:4">
      <c r="A343" s="3184">
        <v>342</v>
      </c>
      <c r="B343" s="3192" t="s">
        <v>3739</v>
      </c>
      <c r="C343" s="3191">
        <v>164.22</v>
      </c>
      <c r="D343" s="3187" t="s">
        <v>2549</v>
      </c>
    </row>
    <row r="344" spans="1:4">
      <c r="A344" s="3184">
        <v>343</v>
      </c>
      <c r="B344" s="3192" t="s">
        <v>3740</v>
      </c>
      <c r="C344" s="3191">
        <v>164.67</v>
      </c>
      <c r="D344" s="3187" t="s">
        <v>2549</v>
      </c>
    </row>
    <row r="345" spans="1:4">
      <c r="A345" s="3184">
        <v>344</v>
      </c>
      <c r="B345" s="3192" t="s">
        <v>3741</v>
      </c>
      <c r="C345" s="3191">
        <v>164.22</v>
      </c>
      <c r="D345" s="3187" t="s">
        <v>2549</v>
      </c>
    </row>
    <row r="346" spans="1:4">
      <c r="A346" s="3184">
        <v>345</v>
      </c>
      <c r="B346" s="3192" t="s">
        <v>3742</v>
      </c>
      <c r="C346" s="3191">
        <v>164.67</v>
      </c>
      <c r="D346" s="3187" t="s">
        <v>2549</v>
      </c>
    </row>
    <row r="347" spans="1:4">
      <c r="A347" s="3184">
        <v>346</v>
      </c>
      <c r="B347" s="3192" t="s">
        <v>3743</v>
      </c>
      <c r="C347" s="3191">
        <v>164.22</v>
      </c>
      <c r="D347" s="3187" t="s">
        <v>2549</v>
      </c>
    </row>
    <row r="348" spans="1:4">
      <c r="A348" s="3184">
        <v>347</v>
      </c>
      <c r="B348" s="3192" t="s">
        <v>3744</v>
      </c>
      <c r="C348" s="3191">
        <v>164.67</v>
      </c>
      <c r="D348" s="3187" t="s">
        <v>2549</v>
      </c>
    </row>
    <row r="349" spans="1:4">
      <c r="A349" s="3184">
        <v>348</v>
      </c>
      <c r="B349" s="3192" t="s">
        <v>3745</v>
      </c>
      <c r="C349" s="3191">
        <v>164.67</v>
      </c>
      <c r="D349" s="3187" t="s">
        <v>2549</v>
      </c>
    </row>
    <row r="350" spans="1:4">
      <c r="A350" s="3184">
        <v>349</v>
      </c>
      <c r="B350" s="3192" t="s">
        <v>3746</v>
      </c>
      <c r="C350" s="3191">
        <v>164.67</v>
      </c>
      <c r="D350" s="3187" t="s">
        <v>2549</v>
      </c>
    </row>
    <row r="351" spans="1:4">
      <c r="A351" s="3184">
        <v>350</v>
      </c>
      <c r="B351" s="3192" t="s">
        <v>3747</v>
      </c>
      <c r="C351" s="3191">
        <v>136.01</v>
      </c>
      <c r="D351" s="3187" t="s">
        <v>2549</v>
      </c>
    </row>
    <row r="352" spans="1:4">
      <c r="A352" s="3184">
        <v>351</v>
      </c>
      <c r="B352" s="3192" t="s">
        <v>3748</v>
      </c>
      <c r="C352" s="3191">
        <v>173.37</v>
      </c>
      <c r="D352" s="3187" t="s">
        <v>2549</v>
      </c>
    </row>
    <row r="353" spans="1:4">
      <c r="A353" s="3184">
        <v>352</v>
      </c>
      <c r="B353" s="3192" t="s">
        <v>3749</v>
      </c>
      <c r="C353" s="3191">
        <v>136.01</v>
      </c>
      <c r="D353" s="3187" t="s">
        <v>2549</v>
      </c>
    </row>
    <row r="354" spans="1:4">
      <c r="A354" s="3184">
        <v>353</v>
      </c>
      <c r="B354" s="3192" t="s">
        <v>3750</v>
      </c>
      <c r="C354" s="3191">
        <v>188.83</v>
      </c>
      <c r="D354" s="3187" t="s">
        <v>2549</v>
      </c>
    </row>
    <row r="355" spans="1:4">
      <c r="A355" s="3184">
        <v>354</v>
      </c>
      <c r="B355" s="3192" t="s">
        <v>3751</v>
      </c>
      <c r="C355" s="3191">
        <v>187.65</v>
      </c>
      <c r="D355" s="3187" t="s">
        <v>2549</v>
      </c>
    </row>
    <row r="356" spans="1:4">
      <c r="A356" s="3184">
        <v>355</v>
      </c>
      <c r="B356" s="3192" t="s">
        <v>3752</v>
      </c>
      <c r="C356" s="3191">
        <v>188.83</v>
      </c>
      <c r="D356" s="3187" t="s">
        <v>2549</v>
      </c>
    </row>
    <row r="357" spans="1:4">
      <c r="A357" s="3184">
        <v>356</v>
      </c>
      <c r="B357" s="3192" t="s">
        <v>3753</v>
      </c>
      <c r="C357" s="3191">
        <v>187.65</v>
      </c>
      <c r="D357" s="3187" t="s">
        <v>2549</v>
      </c>
    </row>
    <row r="358" spans="1:4">
      <c r="A358" s="3184">
        <v>357</v>
      </c>
      <c r="B358" s="3192" t="s">
        <v>3754</v>
      </c>
      <c r="C358" s="3191">
        <v>188.83</v>
      </c>
      <c r="D358" s="3187" t="s">
        <v>2549</v>
      </c>
    </row>
    <row r="359" spans="1:4">
      <c r="A359" s="3184">
        <v>358</v>
      </c>
      <c r="B359" s="3192" t="s">
        <v>3755</v>
      </c>
      <c r="C359" s="3191">
        <v>187.65</v>
      </c>
      <c r="D359" s="3187" t="s">
        <v>2549</v>
      </c>
    </row>
    <row r="360" spans="1:4">
      <c r="A360" s="3184">
        <v>359</v>
      </c>
      <c r="B360" s="3192" t="s">
        <v>3756</v>
      </c>
      <c r="C360" s="3191">
        <v>188.83</v>
      </c>
      <c r="D360" s="3187" t="s">
        <v>2549</v>
      </c>
    </row>
    <row r="361" spans="1:4">
      <c r="A361" s="3184">
        <v>360</v>
      </c>
      <c r="B361" s="3192" t="s">
        <v>3757</v>
      </c>
      <c r="C361" s="3191">
        <v>188.83</v>
      </c>
      <c r="D361" s="3187" t="s">
        <v>2549</v>
      </c>
    </row>
    <row r="362" spans="1:4">
      <c r="A362" s="3184">
        <v>361</v>
      </c>
      <c r="B362" s="3192" t="s">
        <v>3758</v>
      </c>
      <c r="C362" s="3191">
        <v>187.65</v>
      </c>
      <c r="D362" s="3187" t="s">
        <v>2549</v>
      </c>
    </row>
    <row r="363" spans="1:4">
      <c r="A363" s="3184">
        <v>362</v>
      </c>
      <c r="B363" s="3192" t="s">
        <v>3759</v>
      </c>
      <c r="C363" s="3191">
        <v>188.83</v>
      </c>
      <c r="D363" s="3187" t="s">
        <v>2549</v>
      </c>
    </row>
    <row r="364" spans="1:4">
      <c r="A364" s="3184">
        <v>363</v>
      </c>
      <c r="B364" s="3192" t="s">
        <v>3760</v>
      </c>
      <c r="C364" s="3191">
        <v>187.65</v>
      </c>
      <c r="D364" s="3187" t="s">
        <v>2549</v>
      </c>
    </row>
    <row r="365" spans="1:4">
      <c r="A365" s="3184">
        <v>364</v>
      </c>
      <c r="B365" s="3192" t="s">
        <v>3761</v>
      </c>
      <c r="C365" s="3191">
        <v>188.83</v>
      </c>
      <c r="D365" s="3187" t="s">
        <v>2549</v>
      </c>
    </row>
    <row r="366" spans="1:4">
      <c r="A366" s="3184">
        <v>365</v>
      </c>
      <c r="B366" s="3192" t="s">
        <v>3762</v>
      </c>
      <c r="C366" s="3191">
        <v>187.65</v>
      </c>
      <c r="D366" s="3187" t="s">
        <v>2549</v>
      </c>
    </row>
    <row r="367" spans="1:4">
      <c r="A367" s="3184">
        <v>366</v>
      </c>
      <c r="B367" s="3192" t="s">
        <v>3763</v>
      </c>
      <c r="C367" s="3191">
        <v>188.83</v>
      </c>
      <c r="D367" s="3187" t="s">
        <v>2549</v>
      </c>
    </row>
    <row r="368" spans="1:4">
      <c r="A368" s="3184">
        <v>367</v>
      </c>
      <c r="B368" s="3192" t="s">
        <v>3764</v>
      </c>
      <c r="C368" s="3191">
        <v>135.99</v>
      </c>
      <c r="D368" s="3187" t="s">
        <v>2549</v>
      </c>
    </row>
    <row r="369" spans="1:4">
      <c r="A369" s="3184">
        <v>368</v>
      </c>
      <c r="B369" s="3192" t="s">
        <v>3765</v>
      </c>
      <c r="C369" s="3191">
        <v>173.34</v>
      </c>
      <c r="D369" s="3187" t="s">
        <v>2549</v>
      </c>
    </row>
    <row r="370" spans="1:4">
      <c r="A370" s="3184">
        <v>369</v>
      </c>
      <c r="B370" s="3192" t="s">
        <v>3766</v>
      </c>
      <c r="C370" s="3191">
        <v>135.99</v>
      </c>
      <c r="D370" s="3187" t="s">
        <v>2549</v>
      </c>
    </row>
    <row r="371" spans="1:4">
      <c r="A371" s="3184">
        <v>370</v>
      </c>
      <c r="B371" s="3192" t="s">
        <v>3767</v>
      </c>
      <c r="C371" s="3191">
        <v>188.8</v>
      </c>
      <c r="D371" s="3187" t="s">
        <v>2549</v>
      </c>
    </row>
    <row r="372" spans="1:4">
      <c r="A372" s="3184">
        <v>371</v>
      </c>
      <c r="B372" s="3192" t="s">
        <v>3768</v>
      </c>
      <c r="C372" s="3191">
        <v>187.62</v>
      </c>
      <c r="D372" s="3187" t="s">
        <v>2549</v>
      </c>
    </row>
    <row r="373" spans="1:4">
      <c r="A373" s="3184">
        <v>372</v>
      </c>
      <c r="B373" s="3192" t="s">
        <v>3769</v>
      </c>
      <c r="C373" s="3191">
        <v>188.8</v>
      </c>
      <c r="D373" s="3187" t="s">
        <v>2549</v>
      </c>
    </row>
    <row r="374" spans="1:4">
      <c r="A374" s="3184">
        <v>373</v>
      </c>
      <c r="B374" s="3192" t="s">
        <v>3770</v>
      </c>
      <c r="C374" s="3191">
        <v>187.62</v>
      </c>
      <c r="D374" s="3187" t="s">
        <v>2549</v>
      </c>
    </row>
    <row r="375" spans="1:4">
      <c r="A375" s="3184">
        <v>374</v>
      </c>
      <c r="B375" s="3192" t="s">
        <v>3771</v>
      </c>
      <c r="C375" s="3191">
        <v>188.8</v>
      </c>
      <c r="D375" s="3187" t="s">
        <v>2549</v>
      </c>
    </row>
    <row r="376" spans="1:4">
      <c r="A376" s="3184">
        <v>375</v>
      </c>
      <c r="B376" s="3192" t="s">
        <v>3772</v>
      </c>
      <c r="C376" s="3191">
        <v>187.62</v>
      </c>
      <c r="D376" s="3187" t="s">
        <v>2549</v>
      </c>
    </row>
    <row r="377" spans="1:4">
      <c r="A377" s="3184">
        <v>376</v>
      </c>
      <c r="B377" s="3192" t="s">
        <v>3773</v>
      </c>
      <c r="C377" s="3191">
        <v>188.8</v>
      </c>
      <c r="D377" s="3187" t="s">
        <v>2549</v>
      </c>
    </row>
    <row r="378" spans="1:4">
      <c r="A378" s="3184">
        <v>377</v>
      </c>
      <c r="B378" s="3192" t="s">
        <v>3774</v>
      </c>
      <c r="C378" s="3191">
        <v>188.8</v>
      </c>
      <c r="D378" s="3187" t="s">
        <v>2549</v>
      </c>
    </row>
    <row r="379" spans="1:4">
      <c r="A379" s="3184">
        <v>378</v>
      </c>
      <c r="B379" s="3192" t="s">
        <v>3775</v>
      </c>
      <c r="C379" s="3191">
        <v>187.62</v>
      </c>
      <c r="D379" s="3187" t="s">
        <v>2549</v>
      </c>
    </row>
    <row r="380" spans="1:4">
      <c r="A380" s="3184">
        <v>379</v>
      </c>
      <c r="B380" s="3192" t="s">
        <v>3776</v>
      </c>
      <c r="C380" s="3191">
        <v>188.8</v>
      </c>
      <c r="D380" s="3187" t="s">
        <v>2549</v>
      </c>
    </row>
    <row r="381" spans="1:4">
      <c r="A381" s="3184">
        <v>380</v>
      </c>
      <c r="B381" s="3192" t="s">
        <v>3777</v>
      </c>
      <c r="C381" s="3191">
        <v>187.62</v>
      </c>
      <c r="D381" s="3187" t="s">
        <v>2549</v>
      </c>
    </row>
    <row r="382" spans="1:4">
      <c r="A382" s="3184">
        <v>381</v>
      </c>
      <c r="B382" s="3192" t="s">
        <v>3778</v>
      </c>
      <c r="C382" s="3191">
        <v>188.8</v>
      </c>
      <c r="D382" s="3187" t="s">
        <v>2549</v>
      </c>
    </row>
    <row r="383" spans="1:4">
      <c r="A383" s="3184">
        <v>382</v>
      </c>
      <c r="B383" s="3192" t="s">
        <v>3779</v>
      </c>
      <c r="C383" s="3191">
        <v>187.62</v>
      </c>
      <c r="D383" s="3187" t="s">
        <v>2549</v>
      </c>
    </row>
    <row r="384" spans="1:4">
      <c r="A384" s="3184">
        <v>383</v>
      </c>
      <c r="B384" s="3192" t="s">
        <v>3780</v>
      </c>
      <c r="C384" s="3191">
        <v>188.8</v>
      </c>
      <c r="D384" s="3187" t="s">
        <v>2549</v>
      </c>
    </row>
    <row r="385" spans="1:4">
      <c r="A385" s="3184">
        <v>384</v>
      </c>
      <c r="B385" s="3192" t="s">
        <v>3781</v>
      </c>
      <c r="C385" s="3191">
        <v>124.39</v>
      </c>
      <c r="D385" s="3187" t="s">
        <v>2549</v>
      </c>
    </row>
    <row r="386" spans="1:4">
      <c r="A386" s="3184">
        <v>385</v>
      </c>
      <c r="B386" s="3192" t="s">
        <v>3782</v>
      </c>
      <c r="C386" s="3191">
        <v>124.14</v>
      </c>
      <c r="D386" s="3187" t="s">
        <v>2549</v>
      </c>
    </row>
    <row r="387" spans="1:4">
      <c r="A387" s="3184">
        <v>386</v>
      </c>
      <c r="B387" s="3192" t="s">
        <v>3783</v>
      </c>
      <c r="C387" s="3191">
        <v>124.39</v>
      </c>
      <c r="D387" s="3187" t="s">
        <v>2549</v>
      </c>
    </row>
    <row r="388" spans="1:4">
      <c r="A388" s="3184">
        <v>387</v>
      </c>
      <c r="B388" s="3192" t="s">
        <v>3784</v>
      </c>
      <c r="C388" s="3191">
        <v>124.14</v>
      </c>
      <c r="D388" s="3187" t="s">
        <v>2549</v>
      </c>
    </row>
    <row r="389" spans="1:4">
      <c r="A389" s="3184">
        <v>388</v>
      </c>
      <c r="B389" s="3192" t="s">
        <v>3785</v>
      </c>
      <c r="C389" s="3191">
        <v>124.36</v>
      </c>
      <c r="D389" s="3187" t="s">
        <v>2549</v>
      </c>
    </row>
    <row r="390" spans="1:4">
      <c r="A390" s="3184">
        <v>389</v>
      </c>
      <c r="B390" s="3192" t="s">
        <v>3786</v>
      </c>
      <c r="C390" s="3191">
        <v>124.1</v>
      </c>
      <c r="D390" s="3187" t="s">
        <v>2549</v>
      </c>
    </row>
    <row r="391" spans="1:4">
      <c r="A391" s="3184">
        <v>390</v>
      </c>
      <c r="B391" s="3192" t="s">
        <v>3787</v>
      </c>
      <c r="C391" s="3191">
        <v>124.36</v>
      </c>
      <c r="D391" s="3187" t="s">
        <v>2549</v>
      </c>
    </row>
    <row r="392" spans="1:4">
      <c r="A392" s="3184">
        <v>391</v>
      </c>
      <c r="B392" s="3192" t="s">
        <v>3788</v>
      </c>
      <c r="C392" s="3191">
        <v>124.1</v>
      </c>
      <c r="D392" s="3187" t="s">
        <v>2549</v>
      </c>
    </row>
    <row r="393" spans="1:4">
      <c r="A393" s="3184">
        <v>392</v>
      </c>
      <c r="B393" s="3192" t="s">
        <v>3789</v>
      </c>
      <c r="C393" s="3191">
        <v>124.36</v>
      </c>
      <c r="D393" s="3187" t="s">
        <v>2549</v>
      </c>
    </row>
    <row r="394" spans="1:4">
      <c r="A394" s="3184">
        <v>393</v>
      </c>
      <c r="B394" s="3192" t="s">
        <v>3790</v>
      </c>
      <c r="C394" s="3191">
        <v>124.1</v>
      </c>
      <c r="D394" s="3187" t="s">
        <v>2549</v>
      </c>
    </row>
    <row r="395" spans="1:4">
      <c r="A395" s="3184">
        <v>394</v>
      </c>
      <c r="B395" s="3192" t="s">
        <v>3791</v>
      </c>
      <c r="C395" s="3191">
        <v>124.36</v>
      </c>
      <c r="D395" s="3187" t="s">
        <v>2549</v>
      </c>
    </row>
    <row r="396" spans="1:4">
      <c r="A396" s="3184">
        <v>395</v>
      </c>
      <c r="B396" s="3192" t="s">
        <v>3792</v>
      </c>
      <c r="C396" s="3191">
        <v>124.1</v>
      </c>
      <c r="D396" s="3187" t="s">
        <v>2549</v>
      </c>
    </row>
    <row r="397" spans="1:4">
      <c r="A397" s="3184">
        <v>396</v>
      </c>
      <c r="B397" s="3192" t="s">
        <v>3793</v>
      </c>
      <c r="C397" s="3191">
        <v>124.36</v>
      </c>
      <c r="D397" s="3187" t="s">
        <v>2549</v>
      </c>
    </row>
    <row r="398" spans="1:4">
      <c r="A398" s="3184">
        <v>397</v>
      </c>
      <c r="B398" s="3192" t="s">
        <v>3794</v>
      </c>
      <c r="C398" s="3191">
        <v>124.1</v>
      </c>
      <c r="D398" s="3187" t="s">
        <v>2549</v>
      </c>
    </row>
    <row r="399" spans="1:4">
      <c r="A399" s="3184">
        <v>398</v>
      </c>
      <c r="B399" s="3192" t="s">
        <v>3795</v>
      </c>
      <c r="C399" s="3191">
        <v>124.14</v>
      </c>
      <c r="D399" s="3187" t="s">
        <v>2549</v>
      </c>
    </row>
    <row r="400" spans="1:4">
      <c r="A400" s="3184">
        <v>399</v>
      </c>
      <c r="B400" s="3192" t="s">
        <v>3796</v>
      </c>
      <c r="C400" s="3191">
        <v>124.5</v>
      </c>
      <c r="D400" s="3187" t="s">
        <v>2549</v>
      </c>
    </row>
    <row r="401" spans="1:4">
      <c r="A401" s="3184">
        <v>400</v>
      </c>
      <c r="B401" s="3192" t="s">
        <v>3797</v>
      </c>
      <c r="C401" s="3191">
        <v>124.14</v>
      </c>
      <c r="D401" s="3187" t="s">
        <v>2549</v>
      </c>
    </row>
    <row r="402" spans="1:4">
      <c r="A402" s="3184">
        <v>401</v>
      </c>
      <c r="B402" s="3192" t="s">
        <v>3798</v>
      </c>
      <c r="C402" s="3191">
        <v>124.5</v>
      </c>
      <c r="D402" s="3187" t="s">
        <v>2549</v>
      </c>
    </row>
    <row r="403" spans="1:4">
      <c r="A403" s="3184">
        <v>402</v>
      </c>
      <c r="B403" s="3192" t="s">
        <v>3799</v>
      </c>
      <c r="C403" s="3191">
        <v>124.1</v>
      </c>
      <c r="D403" s="3187" t="s">
        <v>2549</v>
      </c>
    </row>
    <row r="404" spans="1:4">
      <c r="A404" s="3184">
        <v>403</v>
      </c>
      <c r="B404" s="3192" t="s">
        <v>3800</v>
      </c>
      <c r="C404" s="3191">
        <v>124.47</v>
      </c>
      <c r="D404" s="3187" t="s">
        <v>2549</v>
      </c>
    </row>
    <row r="405" spans="1:4">
      <c r="A405" s="3184">
        <v>404</v>
      </c>
      <c r="B405" s="3192" t="s">
        <v>3801</v>
      </c>
      <c r="C405" s="3191">
        <v>124.1</v>
      </c>
      <c r="D405" s="3187" t="s">
        <v>2549</v>
      </c>
    </row>
    <row r="406" spans="1:4">
      <c r="A406" s="3184">
        <v>405</v>
      </c>
      <c r="B406" s="3192" t="s">
        <v>3802</v>
      </c>
      <c r="C406" s="3191">
        <v>124.47</v>
      </c>
      <c r="D406" s="3187" t="s">
        <v>2549</v>
      </c>
    </row>
    <row r="407" spans="1:4">
      <c r="A407" s="3184">
        <v>406</v>
      </c>
      <c r="B407" s="3192" t="s">
        <v>3803</v>
      </c>
      <c r="C407" s="3191">
        <v>124.1</v>
      </c>
      <c r="D407" s="3187" t="s">
        <v>2549</v>
      </c>
    </row>
    <row r="408" spans="1:4">
      <c r="A408" s="3184">
        <v>407</v>
      </c>
      <c r="B408" s="3192" t="s">
        <v>3804</v>
      </c>
      <c r="C408" s="3191">
        <v>124.47</v>
      </c>
      <c r="D408" s="3187" t="s">
        <v>2549</v>
      </c>
    </row>
    <row r="409" spans="1:4">
      <c r="A409" s="3184">
        <v>408</v>
      </c>
      <c r="B409" s="3192" t="s">
        <v>3805</v>
      </c>
      <c r="C409" s="3191">
        <v>124.1</v>
      </c>
      <c r="D409" s="3187" t="s">
        <v>2549</v>
      </c>
    </row>
    <row r="410" spans="1:4">
      <c r="A410" s="3184">
        <v>409</v>
      </c>
      <c r="B410" s="3192" t="s">
        <v>3806</v>
      </c>
      <c r="C410" s="3191">
        <v>124.47</v>
      </c>
      <c r="D410" s="3187" t="s">
        <v>2549</v>
      </c>
    </row>
    <row r="411" spans="1:4">
      <c r="A411" s="3184">
        <v>410</v>
      </c>
      <c r="B411" s="3192" t="s">
        <v>3807</v>
      </c>
      <c r="C411" s="3191">
        <v>124.1</v>
      </c>
      <c r="D411" s="3187" t="s">
        <v>2549</v>
      </c>
    </row>
    <row r="412" spans="1:4">
      <c r="A412" s="3184">
        <v>411</v>
      </c>
      <c r="B412" s="3192" t="s">
        <v>3808</v>
      </c>
      <c r="C412" s="3191">
        <v>124.47</v>
      </c>
      <c r="D412" s="3187" t="s">
        <v>2549</v>
      </c>
    </row>
    <row r="413" spans="1:4">
      <c r="A413" s="3184">
        <v>412</v>
      </c>
      <c r="B413" s="3192" t="s">
        <v>3809</v>
      </c>
      <c r="C413" s="3191">
        <v>105.25</v>
      </c>
      <c r="D413" s="3187" t="s">
        <v>2549</v>
      </c>
    </row>
    <row r="414" spans="1:4">
      <c r="A414" s="3184">
        <v>413</v>
      </c>
      <c r="B414" s="3192" t="s">
        <v>3810</v>
      </c>
      <c r="C414" s="3191">
        <v>105</v>
      </c>
      <c r="D414" s="3187" t="s">
        <v>2549</v>
      </c>
    </row>
    <row r="415" spans="1:4">
      <c r="A415" s="3184">
        <v>414</v>
      </c>
      <c r="B415" s="3192" t="s">
        <v>3811</v>
      </c>
      <c r="C415" s="3191">
        <v>105.25</v>
      </c>
      <c r="D415" s="3187" t="s">
        <v>2549</v>
      </c>
    </row>
    <row r="416" spans="1:4">
      <c r="A416" s="3184">
        <v>415</v>
      </c>
      <c r="B416" s="3192" t="s">
        <v>3812</v>
      </c>
      <c r="C416" s="3191">
        <v>105</v>
      </c>
      <c r="D416" s="3187" t="s">
        <v>2549</v>
      </c>
    </row>
    <row r="417" spans="1:4">
      <c r="A417" s="3184">
        <v>416</v>
      </c>
      <c r="B417" s="3192" t="s">
        <v>3813</v>
      </c>
      <c r="C417" s="3191">
        <v>105</v>
      </c>
      <c r="D417" s="3187" t="s">
        <v>2549</v>
      </c>
    </row>
    <row r="418" spans="1:4">
      <c r="A418" s="3184">
        <v>417</v>
      </c>
      <c r="B418" s="3192" t="s">
        <v>3814</v>
      </c>
      <c r="C418" s="3191">
        <v>105.4</v>
      </c>
      <c r="D418" s="3187" t="s">
        <v>2549</v>
      </c>
    </row>
    <row r="419" spans="1:4">
      <c r="A419" s="3184">
        <v>418</v>
      </c>
      <c r="B419" s="3192" t="s">
        <v>3815</v>
      </c>
      <c r="C419" s="3191">
        <v>105</v>
      </c>
      <c r="D419" s="3187" t="s">
        <v>2549</v>
      </c>
    </row>
    <row r="420" spans="1:4">
      <c r="A420" s="3184">
        <v>419</v>
      </c>
      <c r="B420" s="3192" t="s">
        <v>3816</v>
      </c>
      <c r="C420" s="3191">
        <v>105.4</v>
      </c>
      <c r="D420" s="3187" t="s">
        <v>2549</v>
      </c>
    </row>
    <row r="421" spans="1:4">
      <c r="A421" s="3184">
        <v>420</v>
      </c>
      <c r="B421" s="3192" t="s">
        <v>3817</v>
      </c>
      <c r="C421" s="3191">
        <v>105</v>
      </c>
      <c r="D421" s="3187" t="s">
        <v>2549</v>
      </c>
    </row>
    <row r="422" spans="1:4">
      <c r="A422" s="3184">
        <v>421</v>
      </c>
      <c r="B422" s="3192" t="s">
        <v>3818</v>
      </c>
      <c r="C422" s="3191">
        <v>105.4</v>
      </c>
      <c r="D422" s="3187" t="s">
        <v>2549</v>
      </c>
    </row>
    <row r="423" spans="1:4">
      <c r="A423" s="3184">
        <v>422</v>
      </c>
      <c r="B423" s="3192" t="s">
        <v>3819</v>
      </c>
      <c r="C423" s="3191">
        <v>105</v>
      </c>
      <c r="D423" s="3187" t="s">
        <v>2549</v>
      </c>
    </row>
    <row r="424" spans="1:4">
      <c r="A424" s="3184">
        <v>423</v>
      </c>
      <c r="B424" s="3192" t="s">
        <v>3820</v>
      </c>
      <c r="C424" s="3191">
        <v>105.4</v>
      </c>
      <c r="D424" s="3187" t="s">
        <v>2549</v>
      </c>
    </row>
    <row r="425" spans="1:4">
      <c r="A425" s="3184">
        <v>424</v>
      </c>
      <c r="B425" s="3192" t="s">
        <v>3821</v>
      </c>
      <c r="C425" s="3191">
        <v>105.4</v>
      </c>
      <c r="D425" s="3187" t="s">
        <v>2549</v>
      </c>
    </row>
    <row r="426" spans="1:4">
      <c r="A426" s="3184">
        <v>425</v>
      </c>
      <c r="B426" s="3192" t="s">
        <v>3822</v>
      </c>
      <c r="C426" s="3191">
        <v>105</v>
      </c>
      <c r="D426" s="3187" t="s">
        <v>2549</v>
      </c>
    </row>
    <row r="427" spans="1:4">
      <c r="A427" s="3184">
        <v>426</v>
      </c>
      <c r="B427" s="3192" t="s">
        <v>3823</v>
      </c>
      <c r="C427" s="3191">
        <v>105.4</v>
      </c>
      <c r="D427" s="3187" t="s">
        <v>2549</v>
      </c>
    </row>
    <row r="428" spans="1:4">
      <c r="A428" s="3184">
        <v>427</v>
      </c>
      <c r="B428" s="3192" t="s">
        <v>3824</v>
      </c>
      <c r="C428" s="3191">
        <v>105</v>
      </c>
      <c r="D428" s="3187" t="s">
        <v>2549</v>
      </c>
    </row>
    <row r="429" spans="1:4">
      <c r="A429" s="3184">
        <v>428</v>
      </c>
      <c r="B429" s="3192" t="s">
        <v>3825</v>
      </c>
      <c r="C429" s="3191">
        <v>105.4</v>
      </c>
      <c r="D429" s="3187" t="s">
        <v>2549</v>
      </c>
    </row>
    <row r="430" spans="1:4">
      <c r="A430" s="3184">
        <v>429</v>
      </c>
      <c r="B430" s="3192" t="s">
        <v>3826</v>
      </c>
      <c r="C430" s="3191">
        <v>105</v>
      </c>
      <c r="D430" s="3187" t="s">
        <v>2549</v>
      </c>
    </row>
    <row r="431" spans="1:4">
      <c r="A431" s="3184">
        <v>430</v>
      </c>
      <c r="B431" s="3192" t="s">
        <v>3827</v>
      </c>
      <c r="C431" s="3191">
        <v>105</v>
      </c>
      <c r="D431" s="3187" t="s">
        <v>2549</v>
      </c>
    </row>
    <row r="432" spans="1:4">
      <c r="A432" s="3184">
        <v>431</v>
      </c>
      <c r="B432" s="3192" t="s">
        <v>3828</v>
      </c>
      <c r="C432" s="3191">
        <v>105</v>
      </c>
      <c r="D432" s="3187" t="s">
        <v>2549</v>
      </c>
    </row>
    <row r="433" spans="1:4">
      <c r="A433" s="3184">
        <v>432</v>
      </c>
      <c r="B433" s="3192" t="s">
        <v>3829</v>
      </c>
      <c r="C433" s="3191">
        <v>104.86</v>
      </c>
      <c r="D433" s="3187" t="s">
        <v>2549</v>
      </c>
    </row>
    <row r="434" spans="1:4">
      <c r="A434" s="3184">
        <v>433</v>
      </c>
      <c r="B434" s="3192" t="s">
        <v>3830</v>
      </c>
      <c r="C434" s="3191">
        <v>105</v>
      </c>
      <c r="D434" s="3187" t="s">
        <v>2549</v>
      </c>
    </row>
    <row r="435" spans="1:4">
      <c r="A435" s="3184">
        <v>434</v>
      </c>
      <c r="B435" s="3192" t="s">
        <v>3831</v>
      </c>
      <c r="C435" s="3191">
        <v>104.86</v>
      </c>
      <c r="D435" s="3187" t="s">
        <v>2549</v>
      </c>
    </row>
    <row r="436" spans="1:4">
      <c r="A436" s="3184">
        <v>435</v>
      </c>
      <c r="B436" s="3192" t="s">
        <v>3832</v>
      </c>
      <c r="C436" s="3191">
        <v>105</v>
      </c>
      <c r="D436" s="3187" t="s">
        <v>2549</v>
      </c>
    </row>
    <row r="437" spans="1:4">
      <c r="A437" s="3184">
        <v>436</v>
      </c>
      <c r="B437" s="3192" t="s">
        <v>3833</v>
      </c>
      <c r="C437" s="3191">
        <v>105</v>
      </c>
      <c r="D437" s="3187" t="s">
        <v>2549</v>
      </c>
    </row>
    <row r="438" spans="1:4">
      <c r="A438" s="3184">
        <v>437</v>
      </c>
      <c r="B438" s="3192" t="s">
        <v>3834</v>
      </c>
      <c r="C438" s="3191">
        <v>105</v>
      </c>
      <c r="D438" s="3187" t="s">
        <v>2549</v>
      </c>
    </row>
    <row r="439" spans="1:4">
      <c r="A439" s="3184">
        <v>438</v>
      </c>
      <c r="B439" s="3192" t="s">
        <v>3835</v>
      </c>
      <c r="C439" s="3191">
        <v>105</v>
      </c>
      <c r="D439" s="3187" t="s">
        <v>2549</v>
      </c>
    </row>
    <row r="440" spans="1:4">
      <c r="A440" s="3184">
        <v>439</v>
      </c>
      <c r="B440" s="3192" t="s">
        <v>3836</v>
      </c>
      <c r="C440" s="3191">
        <v>105</v>
      </c>
      <c r="D440" s="3187" t="s">
        <v>2549</v>
      </c>
    </row>
    <row r="441" spans="1:4">
      <c r="A441" s="3184">
        <v>440</v>
      </c>
      <c r="B441" s="3192" t="s">
        <v>3837</v>
      </c>
      <c r="C441" s="3191">
        <v>105</v>
      </c>
      <c r="D441" s="3187" t="s">
        <v>2549</v>
      </c>
    </row>
    <row r="442" spans="1:4">
      <c r="A442" s="3184">
        <v>441</v>
      </c>
      <c r="B442" s="3192" t="s">
        <v>3838</v>
      </c>
      <c r="C442" s="3191">
        <v>105</v>
      </c>
      <c r="D442" s="3187" t="s">
        <v>2549</v>
      </c>
    </row>
    <row r="443" spans="1:4">
      <c r="A443" s="3184">
        <v>442</v>
      </c>
      <c r="B443" s="3192" t="s">
        <v>3839</v>
      </c>
      <c r="C443" s="3191">
        <v>105</v>
      </c>
      <c r="D443" s="3187" t="s">
        <v>2549</v>
      </c>
    </row>
    <row r="444" spans="1:4">
      <c r="A444" s="3184">
        <v>443</v>
      </c>
      <c r="B444" s="3192" t="s">
        <v>3840</v>
      </c>
      <c r="C444" s="3191">
        <v>105</v>
      </c>
      <c r="D444" s="3187" t="s">
        <v>2549</v>
      </c>
    </row>
    <row r="445" spans="1:4">
      <c r="A445" s="3184">
        <v>444</v>
      </c>
      <c r="B445" s="3192" t="s">
        <v>3841</v>
      </c>
      <c r="C445" s="3191">
        <v>105</v>
      </c>
      <c r="D445" s="3187" t="s">
        <v>2549</v>
      </c>
    </row>
    <row r="446" spans="1:4">
      <c r="A446" s="3184">
        <v>445</v>
      </c>
      <c r="B446" s="3192" t="s">
        <v>3842</v>
      </c>
      <c r="C446" s="3191">
        <v>105</v>
      </c>
      <c r="D446" s="3187" t="s">
        <v>2549</v>
      </c>
    </row>
    <row r="447" spans="1:4">
      <c r="A447" s="3184">
        <v>446</v>
      </c>
      <c r="B447" s="3192" t="s">
        <v>3843</v>
      </c>
      <c r="C447" s="3191">
        <v>105</v>
      </c>
      <c r="D447" s="3187" t="s">
        <v>2549</v>
      </c>
    </row>
    <row r="448" spans="1:4">
      <c r="A448" s="3184">
        <v>447</v>
      </c>
      <c r="B448" s="3192" t="s">
        <v>3844</v>
      </c>
      <c r="C448" s="3191">
        <v>105</v>
      </c>
      <c r="D448" s="3187" t="s">
        <v>2549</v>
      </c>
    </row>
    <row r="449" spans="1:4">
      <c r="A449" s="3184">
        <v>448</v>
      </c>
      <c r="B449" s="3192" t="s">
        <v>3845</v>
      </c>
      <c r="C449" s="3191">
        <v>105</v>
      </c>
      <c r="D449" s="3187" t="s">
        <v>2549</v>
      </c>
    </row>
    <row r="450" spans="1:4">
      <c r="A450" s="3184">
        <v>449</v>
      </c>
      <c r="B450" s="3192" t="s">
        <v>3846</v>
      </c>
      <c r="C450" s="3191">
        <v>105</v>
      </c>
      <c r="D450" s="3187" t="s">
        <v>2549</v>
      </c>
    </row>
    <row r="451" spans="1:4">
      <c r="A451" s="3184">
        <v>450</v>
      </c>
      <c r="B451" s="3192" t="s">
        <v>3847</v>
      </c>
      <c r="C451" s="3191">
        <v>105.4</v>
      </c>
      <c r="D451" s="3187" t="s">
        <v>2549</v>
      </c>
    </row>
    <row r="452" spans="1:4">
      <c r="A452" s="3184">
        <v>451</v>
      </c>
      <c r="B452" s="3192" t="s">
        <v>3848</v>
      </c>
      <c r="C452" s="3191">
        <v>105</v>
      </c>
      <c r="D452" s="3187" t="s">
        <v>2549</v>
      </c>
    </row>
    <row r="453" spans="1:4">
      <c r="A453" s="3184">
        <v>452</v>
      </c>
      <c r="B453" s="3192" t="s">
        <v>3849</v>
      </c>
      <c r="C453" s="3191">
        <v>105.4</v>
      </c>
      <c r="D453" s="3187" t="s">
        <v>2549</v>
      </c>
    </row>
    <row r="454" spans="1:4">
      <c r="A454" s="3184">
        <v>453</v>
      </c>
      <c r="B454" s="3192" t="s">
        <v>3850</v>
      </c>
      <c r="C454" s="3191">
        <v>104.86</v>
      </c>
      <c r="D454" s="3187" t="s">
        <v>2549</v>
      </c>
    </row>
    <row r="455" spans="1:4">
      <c r="A455" s="3184">
        <v>454</v>
      </c>
      <c r="B455" s="3192" t="s">
        <v>3851</v>
      </c>
      <c r="C455" s="3191">
        <v>105</v>
      </c>
      <c r="D455" s="3187" t="s">
        <v>2549</v>
      </c>
    </row>
    <row r="456" spans="1:4">
      <c r="A456" s="3184">
        <v>455</v>
      </c>
      <c r="B456" s="3192" t="s">
        <v>3852</v>
      </c>
      <c r="C456" s="3191">
        <v>104.86</v>
      </c>
      <c r="D456" s="3187" t="s">
        <v>2549</v>
      </c>
    </row>
    <row r="457" spans="1:4">
      <c r="A457" s="3184">
        <v>456</v>
      </c>
      <c r="B457" s="3192" t="s">
        <v>3853</v>
      </c>
      <c r="C457" s="3191">
        <v>105</v>
      </c>
      <c r="D457" s="3187" t="s">
        <v>2549</v>
      </c>
    </row>
    <row r="458" spans="1:4">
      <c r="A458" s="3184">
        <v>457</v>
      </c>
      <c r="B458" s="3192" t="s">
        <v>3854</v>
      </c>
      <c r="C458" s="3191">
        <v>105</v>
      </c>
      <c r="D458" s="3187" t="s">
        <v>2549</v>
      </c>
    </row>
    <row r="459" spans="1:4">
      <c r="A459" s="3184">
        <v>458</v>
      </c>
      <c r="B459" s="3192" t="s">
        <v>3855</v>
      </c>
      <c r="C459" s="3191">
        <v>105</v>
      </c>
      <c r="D459" s="3187" t="s">
        <v>2549</v>
      </c>
    </row>
    <row r="460" spans="1:4">
      <c r="A460" s="3184">
        <v>459</v>
      </c>
      <c r="B460" s="3192" t="s">
        <v>3856</v>
      </c>
      <c r="C460" s="3191">
        <v>105</v>
      </c>
      <c r="D460" s="3187" t="s">
        <v>2549</v>
      </c>
    </row>
    <row r="461" spans="1:4">
      <c r="A461" s="3184">
        <v>460</v>
      </c>
      <c r="B461" s="3192" t="s">
        <v>3857</v>
      </c>
      <c r="C461" s="3191">
        <v>105</v>
      </c>
      <c r="D461" s="3187" t="s">
        <v>2549</v>
      </c>
    </row>
    <row r="462" spans="1:4">
      <c r="A462" s="3184">
        <v>461</v>
      </c>
      <c r="B462" s="3192" t="s">
        <v>3858</v>
      </c>
      <c r="C462" s="3191">
        <v>105</v>
      </c>
      <c r="D462" s="3187" t="s">
        <v>2549</v>
      </c>
    </row>
    <row r="463" spans="1:4">
      <c r="A463" s="3184">
        <v>462</v>
      </c>
      <c r="B463" s="3192" t="s">
        <v>3859</v>
      </c>
      <c r="C463" s="3191">
        <v>105</v>
      </c>
      <c r="D463" s="3187" t="s">
        <v>2549</v>
      </c>
    </row>
    <row r="464" spans="1:4">
      <c r="A464" s="3184">
        <v>463</v>
      </c>
      <c r="B464" s="3192" t="s">
        <v>3860</v>
      </c>
      <c r="C464" s="3191">
        <v>105</v>
      </c>
      <c r="D464" s="3187" t="s">
        <v>2549</v>
      </c>
    </row>
    <row r="465" spans="1:4">
      <c r="A465" s="3184">
        <v>464</v>
      </c>
      <c r="B465" s="3192" t="s">
        <v>3861</v>
      </c>
      <c r="C465" s="3191">
        <v>105</v>
      </c>
      <c r="D465" s="3187" t="s">
        <v>2549</v>
      </c>
    </row>
    <row r="466" spans="1:4">
      <c r="A466" s="3184">
        <v>465</v>
      </c>
      <c r="B466" s="3192" t="s">
        <v>3862</v>
      </c>
      <c r="C466" s="3191">
        <v>105</v>
      </c>
      <c r="D466" s="3187" t="s">
        <v>2549</v>
      </c>
    </row>
    <row r="467" spans="1:4">
      <c r="A467" s="3184">
        <v>466</v>
      </c>
      <c r="B467" s="3192" t="s">
        <v>3863</v>
      </c>
      <c r="C467" s="3191">
        <v>105</v>
      </c>
      <c r="D467" s="3187" t="s">
        <v>2549</v>
      </c>
    </row>
    <row r="468" spans="1:4">
      <c r="A468" s="3184">
        <v>467</v>
      </c>
      <c r="B468" s="3192" t="s">
        <v>3864</v>
      </c>
      <c r="C468" s="3191">
        <v>105</v>
      </c>
      <c r="D468" s="3187" t="s">
        <v>2549</v>
      </c>
    </row>
    <row r="469" spans="1:4">
      <c r="A469" s="3184">
        <v>468</v>
      </c>
      <c r="B469" s="3192" t="s">
        <v>3865</v>
      </c>
      <c r="C469" s="3191">
        <v>105.25</v>
      </c>
      <c r="D469" s="3187" t="s">
        <v>2549</v>
      </c>
    </row>
    <row r="470" spans="1:4">
      <c r="A470" s="3184">
        <v>469</v>
      </c>
      <c r="B470" s="3192" t="s">
        <v>3866</v>
      </c>
      <c r="C470" s="3191">
        <v>105</v>
      </c>
      <c r="D470" s="3187" t="s">
        <v>2549</v>
      </c>
    </row>
    <row r="471" spans="1:4">
      <c r="A471" s="3184">
        <v>470</v>
      </c>
      <c r="B471" s="3192" t="s">
        <v>3867</v>
      </c>
      <c r="C471" s="3191">
        <v>105.25</v>
      </c>
      <c r="D471" s="3187" t="s">
        <v>2549</v>
      </c>
    </row>
    <row r="472" spans="1:4">
      <c r="A472" s="3184">
        <v>471</v>
      </c>
      <c r="B472" s="3192" t="s">
        <v>3868</v>
      </c>
      <c r="C472" s="3191">
        <v>105.4</v>
      </c>
      <c r="D472" s="3187" t="s">
        <v>2549</v>
      </c>
    </row>
    <row r="473" spans="1:4">
      <c r="A473" s="3184">
        <v>472</v>
      </c>
      <c r="B473" s="3192" t="s">
        <v>3869</v>
      </c>
      <c r="C473" s="3191">
        <v>105.4</v>
      </c>
      <c r="D473" s="3187" t="s">
        <v>2549</v>
      </c>
    </row>
    <row r="474" spans="1:4">
      <c r="A474" s="3184">
        <v>473</v>
      </c>
      <c r="B474" s="3192" t="s">
        <v>3870</v>
      </c>
      <c r="C474" s="3191">
        <v>105.4</v>
      </c>
      <c r="D474" s="3187" t="s">
        <v>2549</v>
      </c>
    </row>
    <row r="475" spans="1:4">
      <c r="A475" s="3184">
        <v>474</v>
      </c>
      <c r="B475" s="3192" t="s">
        <v>3871</v>
      </c>
      <c r="C475" s="3191">
        <v>105.4</v>
      </c>
      <c r="D475" s="3187" t="s">
        <v>2549</v>
      </c>
    </row>
    <row r="476" spans="1:4">
      <c r="A476" s="3184">
        <v>475</v>
      </c>
      <c r="B476" s="3192" t="s">
        <v>3872</v>
      </c>
      <c r="C476" s="3191">
        <v>104.98</v>
      </c>
      <c r="D476" s="3187" t="s">
        <v>2549</v>
      </c>
    </row>
    <row r="477" spans="1:4">
      <c r="A477" s="3184">
        <v>476</v>
      </c>
      <c r="B477" s="3192" t="s">
        <v>3873</v>
      </c>
      <c r="C477" s="3191">
        <v>104.73</v>
      </c>
      <c r="D477" s="3187" t="s">
        <v>2549</v>
      </c>
    </row>
    <row r="478" spans="1:4">
      <c r="A478" s="3184">
        <v>477</v>
      </c>
      <c r="B478" s="3192" t="s">
        <v>3874</v>
      </c>
      <c r="C478" s="3191">
        <v>104.98</v>
      </c>
      <c r="D478" s="3187" t="s">
        <v>2549</v>
      </c>
    </row>
    <row r="479" spans="1:4">
      <c r="A479" s="3184">
        <v>478</v>
      </c>
      <c r="B479" s="3192" t="s">
        <v>3875</v>
      </c>
      <c r="C479" s="3191">
        <v>104.73</v>
      </c>
      <c r="D479" s="3187" t="s">
        <v>2549</v>
      </c>
    </row>
    <row r="480" spans="1:4">
      <c r="A480" s="3184">
        <v>479</v>
      </c>
      <c r="B480" s="3192" t="s">
        <v>3876</v>
      </c>
      <c r="C480" s="3191">
        <v>105.12</v>
      </c>
      <c r="D480" s="3187" t="s">
        <v>2549</v>
      </c>
    </row>
    <row r="481" spans="1:4">
      <c r="A481" s="3184">
        <v>480</v>
      </c>
      <c r="B481" s="3192" t="s">
        <v>3877</v>
      </c>
      <c r="C481" s="3191">
        <v>104.73</v>
      </c>
      <c r="D481" s="3187" t="s">
        <v>2549</v>
      </c>
    </row>
    <row r="482" spans="1:4">
      <c r="A482" s="3184">
        <v>481</v>
      </c>
      <c r="B482" s="3192" t="s">
        <v>3878</v>
      </c>
      <c r="C482" s="3191">
        <v>105.12</v>
      </c>
      <c r="D482" s="3187" t="s">
        <v>2549</v>
      </c>
    </row>
    <row r="483" spans="1:4">
      <c r="A483" s="3184">
        <v>482</v>
      </c>
      <c r="B483" s="3192" t="s">
        <v>3879</v>
      </c>
      <c r="C483" s="3191">
        <v>104.73</v>
      </c>
      <c r="D483" s="3187" t="s">
        <v>2549</v>
      </c>
    </row>
    <row r="484" spans="1:4">
      <c r="A484" s="3184">
        <v>483</v>
      </c>
      <c r="B484" s="3192" t="s">
        <v>3880</v>
      </c>
      <c r="C484" s="3191">
        <v>105.12</v>
      </c>
      <c r="D484" s="3187" t="s">
        <v>2549</v>
      </c>
    </row>
    <row r="485" spans="1:4">
      <c r="A485" s="3184">
        <v>484</v>
      </c>
      <c r="B485" s="3192" t="s">
        <v>3881</v>
      </c>
      <c r="C485" s="3191">
        <v>104.73</v>
      </c>
      <c r="D485" s="3187" t="s">
        <v>2549</v>
      </c>
    </row>
    <row r="486" spans="1:4">
      <c r="A486" s="3184">
        <v>485</v>
      </c>
      <c r="B486" s="3192" t="s">
        <v>3882</v>
      </c>
      <c r="C486" s="3191">
        <v>105.12</v>
      </c>
      <c r="D486" s="3187" t="s">
        <v>2549</v>
      </c>
    </row>
    <row r="487" spans="1:4">
      <c r="A487" s="3184">
        <v>486</v>
      </c>
      <c r="B487" s="3192" t="s">
        <v>3883</v>
      </c>
      <c r="C487" s="3191">
        <v>104.73</v>
      </c>
      <c r="D487" s="3187" t="s">
        <v>2549</v>
      </c>
    </row>
    <row r="488" spans="1:4">
      <c r="A488" s="3184">
        <v>487</v>
      </c>
      <c r="B488" s="3192" t="s">
        <v>3884</v>
      </c>
      <c r="C488" s="3191">
        <v>105.12</v>
      </c>
      <c r="D488" s="3187" t="s">
        <v>2549</v>
      </c>
    </row>
    <row r="489" spans="1:4">
      <c r="A489" s="3184">
        <v>488</v>
      </c>
      <c r="B489" s="3192" t="s">
        <v>3885</v>
      </c>
      <c r="C489" s="3191">
        <v>104.73</v>
      </c>
      <c r="D489" s="3187" t="s">
        <v>2549</v>
      </c>
    </row>
    <row r="490" spans="1:4">
      <c r="A490" s="3184">
        <v>489</v>
      </c>
      <c r="B490" s="3192" t="s">
        <v>3886</v>
      </c>
      <c r="C490" s="3191">
        <v>105.12</v>
      </c>
      <c r="D490" s="3187" t="s">
        <v>2549</v>
      </c>
    </row>
    <row r="491" spans="1:4">
      <c r="A491" s="3184">
        <v>490</v>
      </c>
      <c r="B491" s="3192" t="s">
        <v>3887</v>
      </c>
      <c r="C491" s="3191">
        <v>105.12</v>
      </c>
      <c r="D491" s="3187" t="s">
        <v>2549</v>
      </c>
    </row>
    <row r="492" spans="1:4">
      <c r="A492" s="3184">
        <v>491</v>
      </c>
      <c r="B492" s="3192" t="s">
        <v>3888</v>
      </c>
      <c r="C492" s="3191">
        <v>105.12</v>
      </c>
      <c r="D492" s="3187" t="s">
        <v>2549</v>
      </c>
    </row>
    <row r="493" spans="1:4">
      <c r="A493" s="3184">
        <v>492</v>
      </c>
      <c r="B493" s="3192" t="s">
        <v>3889</v>
      </c>
      <c r="C493" s="3191">
        <v>105.12</v>
      </c>
      <c r="D493" s="3187" t="s">
        <v>2549</v>
      </c>
    </row>
    <row r="494" spans="1:4">
      <c r="A494" s="3184">
        <v>493</v>
      </c>
      <c r="B494" s="3192" t="s">
        <v>3890</v>
      </c>
      <c r="C494" s="3191">
        <v>105.12</v>
      </c>
      <c r="D494" s="3187" t="s">
        <v>2549</v>
      </c>
    </row>
    <row r="495" spans="1:4">
      <c r="A495" s="3184">
        <v>494</v>
      </c>
      <c r="B495" s="3192" t="s">
        <v>3891</v>
      </c>
      <c r="C495" s="3191">
        <v>105.12</v>
      </c>
      <c r="D495" s="3187" t="s">
        <v>2549</v>
      </c>
    </row>
    <row r="496" spans="1:4">
      <c r="A496" s="3184">
        <v>495</v>
      </c>
      <c r="B496" s="3192" t="s">
        <v>3892</v>
      </c>
      <c r="C496" s="3191">
        <v>105.12</v>
      </c>
      <c r="D496" s="3187" t="s">
        <v>2549</v>
      </c>
    </row>
    <row r="497" spans="1:4">
      <c r="A497" s="3184">
        <v>496</v>
      </c>
      <c r="B497" s="3192" t="s">
        <v>3893</v>
      </c>
      <c r="C497" s="3191">
        <v>105.12</v>
      </c>
      <c r="D497" s="3187" t="s">
        <v>2549</v>
      </c>
    </row>
    <row r="498" spans="1:4">
      <c r="A498" s="3184">
        <v>497</v>
      </c>
      <c r="B498" s="3192" t="s">
        <v>3894</v>
      </c>
      <c r="C498" s="3191">
        <v>104.73</v>
      </c>
      <c r="D498" s="3187" t="s">
        <v>2549</v>
      </c>
    </row>
    <row r="499" spans="1:4">
      <c r="A499" s="3184">
        <v>498</v>
      </c>
      <c r="B499" s="3192" t="s">
        <v>3895</v>
      </c>
      <c r="C499" s="3191">
        <v>104.58</v>
      </c>
      <c r="D499" s="3187" t="s">
        <v>2549</v>
      </c>
    </row>
    <row r="500" spans="1:4">
      <c r="A500" s="3184">
        <v>499</v>
      </c>
      <c r="B500" s="3192" t="s">
        <v>3896</v>
      </c>
      <c r="C500" s="3191">
        <v>104.73</v>
      </c>
      <c r="D500" s="3187" t="s">
        <v>2549</v>
      </c>
    </row>
    <row r="501" spans="1:4">
      <c r="A501" s="3184">
        <v>500</v>
      </c>
      <c r="B501" s="3192" t="s">
        <v>3897</v>
      </c>
      <c r="C501" s="3191">
        <v>104.58</v>
      </c>
      <c r="D501" s="3187" t="s">
        <v>2549</v>
      </c>
    </row>
    <row r="502" spans="1:4">
      <c r="A502" s="3184">
        <v>501</v>
      </c>
      <c r="B502" s="3192" t="s">
        <v>3898</v>
      </c>
      <c r="C502" s="3191">
        <v>104.73</v>
      </c>
      <c r="D502" s="3187" t="s">
        <v>2549</v>
      </c>
    </row>
    <row r="503" spans="1:4">
      <c r="A503" s="3184">
        <v>502</v>
      </c>
      <c r="B503" s="3192" t="s">
        <v>3899</v>
      </c>
      <c r="C503" s="3191">
        <v>104.73</v>
      </c>
      <c r="D503" s="3187" t="s">
        <v>2549</v>
      </c>
    </row>
    <row r="504" spans="1:4">
      <c r="A504" s="3184">
        <v>503</v>
      </c>
      <c r="B504" s="3192" t="s">
        <v>3900</v>
      </c>
      <c r="C504" s="3191">
        <v>104.73</v>
      </c>
      <c r="D504" s="3187" t="s">
        <v>2549</v>
      </c>
    </row>
    <row r="505" spans="1:4">
      <c r="A505" s="3184">
        <v>504</v>
      </c>
      <c r="B505" s="3192" t="s">
        <v>3901</v>
      </c>
      <c r="C505" s="3191">
        <v>104.73</v>
      </c>
      <c r="D505" s="3187" t="s">
        <v>2549</v>
      </c>
    </row>
    <row r="506" spans="1:4">
      <c r="A506" s="3184">
        <v>505</v>
      </c>
      <c r="B506" s="3192" t="s">
        <v>3902</v>
      </c>
      <c r="C506" s="3191">
        <v>104.73</v>
      </c>
      <c r="D506" s="3187" t="s">
        <v>2549</v>
      </c>
    </row>
    <row r="507" spans="1:4">
      <c r="A507" s="3184">
        <v>506</v>
      </c>
      <c r="B507" s="3192" t="s">
        <v>3903</v>
      </c>
      <c r="C507" s="3191">
        <v>104.73</v>
      </c>
      <c r="D507" s="3187" t="s">
        <v>2549</v>
      </c>
    </row>
    <row r="508" spans="1:4">
      <c r="A508" s="3184">
        <v>507</v>
      </c>
      <c r="B508" s="3192" t="s">
        <v>3904</v>
      </c>
      <c r="C508" s="3191">
        <v>104.73</v>
      </c>
      <c r="D508" s="3187" t="s">
        <v>2549</v>
      </c>
    </row>
    <row r="509" spans="1:4">
      <c r="A509" s="3184">
        <v>508</v>
      </c>
      <c r="B509" s="3192" t="s">
        <v>3905</v>
      </c>
      <c r="C509" s="3191">
        <v>104.73</v>
      </c>
      <c r="D509" s="3187" t="s">
        <v>2549</v>
      </c>
    </row>
    <row r="510" spans="1:4">
      <c r="A510" s="3184">
        <v>509</v>
      </c>
      <c r="B510" s="3192" t="s">
        <v>3906</v>
      </c>
      <c r="C510" s="3191">
        <v>82.78</v>
      </c>
      <c r="D510" s="3187" t="s">
        <v>2549</v>
      </c>
    </row>
    <row r="511" spans="1:4">
      <c r="A511" s="3184">
        <v>510</v>
      </c>
      <c r="B511" s="3192" t="s">
        <v>3907</v>
      </c>
      <c r="C511" s="3191">
        <v>82.78</v>
      </c>
      <c r="D511" s="3187" t="s">
        <v>2549</v>
      </c>
    </row>
    <row r="512" spans="1:4">
      <c r="A512" s="3184">
        <v>511</v>
      </c>
      <c r="B512" s="3192" t="s">
        <v>3908</v>
      </c>
      <c r="C512" s="3191">
        <v>104.58</v>
      </c>
      <c r="D512" s="3187" t="s">
        <v>2549</v>
      </c>
    </row>
    <row r="513" spans="1:4">
      <c r="A513" s="3184">
        <v>512</v>
      </c>
      <c r="B513" s="3192" t="s">
        <v>3909</v>
      </c>
      <c r="C513" s="3191">
        <v>104.73</v>
      </c>
      <c r="D513" s="3187" t="s">
        <v>2549</v>
      </c>
    </row>
    <row r="514" spans="1:4">
      <c r="A514" s="3184">
        <v>513</v>
      </c>
      <c r="B514" s="3192" t="s">
        <v>3910</v>
      </c>
      <c r="C514" s="3191">
        <v>104.58</v>
      </c>
      <c r="D514" s="3187" t="s">
        <v>2549</v>
      </c>
    </row>
    <row r="515" spans="1:4">
      <c r="A515" s="3184">
        <v>514</v>
      </c>
      <c r="B515" s="3192" t="s">
        <v>3911</v>
      </c>
      <c r="C515" s="3191">
        <v>104.73</v>
      </c>
      <c r="D515" s="3187" t="s">
        <v>2549</v>
      </c>
    </row>
    <row r="516" spans="1:4">
      <c r="A516" s="3184">
        <v>515</v>
      </c>
      <c r="B516" s="3192" t="s">
        <v>3912</v>
      </c>
      <c r="C516" s="3191">
        <v>104.73</v>
      </c>
      <c r="D516" s="3187" t="s">
        <v>2549</v>
      </c>
    </row>
    <row r="517" spans="1:4">
      <c r="A517" s="3184">
        <v>516</v>
      </c>
      <c r="B517" s="3192" t="s">
        <v>3913</v>
      </c>
      <c r="C517" s="3191">
        <v>104.73</v>
      </c>
      <c r="D517" s="3187" t="s">
        <v>2549</v>
      </c>
    </row>
    <row r="518" spans="1:4">
      <c r="A518" s="3184">
        <v>517</v>
      </c>
      <c r="B518" s="3192" t="s">
        <v>3914</v>
      </c>
      <c r="C518" s="3191">
        <v>104.73</v>
      </c>
      <c r="D518" s="3187" t="s">
        <v>2549</v>
      </c>
    </row>
    <row r="519" spans="1:4">
      <c r="A519" s="3184">
        <v>518</v>
      </c>
      <c r="B519" s="3192" t="s">
        <v>3915</v>
      </c>
      <c r="C519" s="3191">
        <v>104.73</v>
      </c>
      <c r="D519" s="3187" t="s">
        <v>2549</v>
      </c>
    </row>
    <row r="520" spans="1:4">
      <c r="A520" s="3184">
        <v>519</v>
      </c>
      <c r="B520" s="3192" t="s">
        <v>3916</v>
      </c>
      <c r="C520" s="3191">
        <v>104.73</v>
      </c>
      <c r="D520" s="3187" t="s">
        <v>2549</v>
      </c>
    </row>
    <row r="521" spans="1:4">
      <c r="A521" s="3184">
        <v>520</v>
      </c>
      <c r="B521" s="3192" t="s">
        <v>3917</v>
      </c>
      <c r="C521" s="3191">
        <v>104.73</v>
      </c>
      <c r="D521" s="3187" t="s">
        <v>2549</v>
      </c>
    </row>
    <row r="522" spans="1:4">
      <c r="A522" s="3184">
        <v>521</v>
      </c>
      <c r="B522" s="3192" t="s">
        <v>3918</v>
      </c>
      <c r="C522" s="3191">
        <v>104.73</v>
      </c>
      <c r="D522" s="3187" t="s">
        <v>2549</v>
      </c>
    </row>
    <row r="523" spans="1:4">
      <c r="A523" s="3184">
        <v>522</v>
      </c>
      <c r="B523" s="3192" t="s">
        <v>3919</v>
      </c>
      <c r="C523" s="3191">
        <v>82.78</v>
      </c>
      <c r="D523" s="3187" t="s">
        <v>2549</v>
      </c>
    </row>
    <row r="524" spans="1:4">
      <c r="A524" s="3184">
        <v>523</v>
      </c>
      <c r="B524" s="3192" t="s">
        <v>3920</v>
      </c>
      <c r="C524" s="3191">
        <v>104.73</v>
      </c>
      <c r="D524" s="3187" t="s">
        <v>2549</v>
      </c>
    </row>
    <row r="525" spans="1:4">
      <c r="A525" s="3184">
        <v>524</v>
      </c>
      <c r="B525" s="3192" t="s">
        <v>3921</v>
      </c>
      <c r="C525" s="3191">
        <v>104.98</v>
      </c>
      <c r="D525" s="3187" t="s">
        <v>2549</v>
      </c>
    </row>
    <row r="526" spans="1:4">
      <c r="A526" s="3184">
        <v>525</v>
      </c>
      <c r="B526" s="3192" t="s">
        <v>3922</v>
      </c>
      <c r="C526" s="3191">
        <v>104.73</v>
      </c>
      <c r="D526" s="3187" t="s">
        <v>2549</v>
      </c>
    </row>
    <row r="527" spans="1:4">
      <c r="A527" s="3184">
        <v>526</v>
      </c>
      <c r="B527" s="3192" t="s">
        <v>3923</v>
      </c>
      <c r="C527" s="3191">
        <v>104.98</v>
      </c>
      <c r="D527" s="3187" t="s">
        <v>2549</v>
      </c>
    </row>
    <row r="528" spans="1:4">
      <c r="A528" s="3184">
        <v>527</v>
      </c>
      <c r="B528" s="3192" t="s">
        <v>3924</v>
      </c>
      <c r="C528" s="3191">
        <v>104.73</v>
      </c>
      <c r="D528" s="3187" t="s">
        <v>2549</v>
      </c>
    </row>
    <row r="529" spans="1:4">
      <c r="A529" s="3184">
        <v>528</v>
      </c>
      <c r="B529" s="3192" t="s">
        <v>3925</v>
      </c>
      <c r="C529" s="3191">
        <v>105.12</v>
      </c>
      <c r="D529" s="3187" t="s">
        <v>2549</v>
      </c>
    </row>
    <row r="530" spans="1:4">
      <c r="A530" s="3184">
        <v>529</v>
      </c>
      <c r="B530" s="3192" t="s">
        <v>3926</v>
      </c>
      <c r="C530" s="3191">
        <v>104.73</v>
      </c>
      <c r="D530" s="3187" t="s">
        <v>2549</v>
      </c>
    </row>
    <row r="531" spans="1:4">
      <c r="A531" s="3184">
        <v>530</v>
      </c>
      <c r="B531" s="3192" t="s">
        <v>3927</v>
      </c>
      <c r="C531" s="3191">
        <v>105.12</v>
      </c>
      <c r="D531" s="3187" t="s">
        <v>2549</v>
      </c>
    </row>
    <row r="532" spans="1:4">
      <c r="A532" s="3184">
        <v>531</v>
      </c>
      <c r="B532" s="3192" t="s">
        <v>3928</v>
      </c>
      <c r="C532" s="3191">
        <v>104.73</v>
      </c>
      <c r="D532" s="3187" t="s">
        <v>2549</v>
      </c>
    </row>
    <row r="533" spans="1:4">
      <c r="A533" s="3184">
        <v>532</v>
      </c>
      <c r="B533" s="3192" t="s">
        <v>3929</v>
      </c>
      <c r="C533" s="3191">
        <v>105.12</v>
      </c>
      <c r="D533" s="3187" t="s">
        <v>2549</v>
      </c>
    </row>
    <row r="534" spans="1:4">
      <c r="A534" s="3184">
        <v>533</v>
      </c>
      <c r="B534" s="3192" t="s">
        <v>3930</v>
      </c>
      <c r="C534" s="3191">
        <v>104.73</v>
      </c>
      <c r="D534" s="3187" t="s">
        <v>2549</v>
      </c>
    </row>
    <row r="535" spans="1:4">
      <c r="A535" s="3184">
        <v>534</v>
      </c>
      <c r="B535" s="3192" t="s">
        <v>3931</v>
      </c>
      <c r="C535" s="3191">
        <v>105.12</v>
      </c>
      <c r="D535" s="3187" t="s">
        <v>2549</v>
      </c>
    </row>
    <row r="536" spans="1:4">
      <c r="A536" s="3184">
        <v>535</v>
      </c>
      <c r="B536" s="3192" t="s">
        <v>3932</v>
      </c>
      <c r="C536" s="3191">
        <v>104.73</v>
      </c>
      <c r="D536" s="3187" t="s">
        <v>2549</v>
      </c>
    </row>
    <row r="537" spans="1:4">
      <c r="A537" s="3184">
        <v>536</v>
      </c>
      <c r="B537" s="3192" t="s">
        <v>3933</v>
      </c>
      <c r="C537" s="3191">
        <v>105.12</v>
      </c>
      <c r="D537" s="3187" t="s">
        <v>2549</v>
      </c>
    </row>
    <row r="538" spans="1:4">
      <c r="A538" s="3184">
        <v>537</v>
      </c>
      <c r="B538" s="3192" t="s">
        <v>3934</v>
      </c>
      <c r="C538" s="3191">
        <v>105.12</v>
      </c>
      <c r="D538" s="3187" t="s">
        <v>2549</v>
      </c>
    </row>
    <row r="539" spans="1:4">
      <c r="A539" s="3184">
        <v>538</v>
      </c>
      <c r="B539" s="3192" t="s">
        <v>3935</v>
      </c>
      <c r="C539" s="3191">
        <v>105.12</v>
      </c>
      <c r="D539" s="3187" t="s">
        <v>2549</v>
      </c>
    </row>
    <row r="540" spans="1:4">
      <c r="A540" s="3184">
        <v>539</v>
      </c>
      <c r="B540" s="3192" t="s">
        <v>3936</v>
      </c>
      <c r="C540" s="3191">
        <v>105.12</v>
      </c>
      <c r="D540" s="3187" t="s">
        <v>2549</v>
      </c>
    </row>
    <row r="541" spans="1:4">
      <c r="A541" s="3184">
        <v>540</v>
      </c>
      <c r="B541" s="3192" t="s">
        <v>3937</v>
      </c>
      <c r="C541" s="3191">
        <v>105.12</v>
      </c>
      <c r="D541" s="3187" t="s">
        <v>2549</v>
      </c>
    </row>
    <row r="542" spans="1:4">
      <c r="A542" s="3184">
        <v>541</v>
      </c>
      <c r="B542" s="3192" t="s">
        <v>3938</v>
      </c>
      <c r="C542" s="3191">
        <v>106.86</v>
      </c>
      <c r="D542" s="3187" t="s">
        <v>2549</v>
      </c>
    </row>
    <row r="543" spans="1:4">
      <c r="A543" s="3184">
        <v>542</v>
      </c>
      <c r="B543" s="3192" t="s">
        <v>3939</v>
      </c>
      <c r="C543" s="3191">
        <v>106.51</v>
      </c>
      <c r="D543" s="3187" t="s">
        <v>2549</v>
      </c>
    </row>
    <row r="544" spans="1:4">
      <c r="A544" s="3184">
        <v>543</v>
      </c>
      <c r="B544" s="3192" t="s">
        <v>3940</v>
      </c>
      <c r="C544" s="3191">
        <v>106.86</v>
      </c>
      <c r="D544" s="3187" t="s">
        <v>2549</v>
      </c>
    </row>
    <row r="545" spans="1:4">
      <c r="A545" s="3184">
        <v>544</v>
      </c>
      <c r="B545" s="3192" t="s">
        <v>3941</v>
      </c>
      <c r="C545" s="3191">
        <v>107.08</v>
      </c>
      <c r="D545" s="3187" t="s">
        <v>2549</v>
      </c>
    </row>
    <row r="546" spans="1:4">
      <c r="A546" s="3184">
        <v>545</v>
      </c>
      <c r="B546" s="3192" t="s">
        <v>3942</v>
      </c>
      <c r="C546" s="3191">
        <v>106.51</v>
      </c>
      <c r="D546" s="3187" t="s">
        <v>2549</v>
      </c>
    </row>
    <row r="547" spans="1:4">
      <c r="A547" s="3184">
        <v>546</v>
      </c>
      <c r="B547" s="3192" t="s">
        <v>3943</v>
      </c>
      <c r="C547" s="3191">
        <v>106.86</v>
      </c>
      <c r="D547" s="3187" t="s">
        <v>2549</v>
      </c>
    </row>
    <row r="548" spans="1:4">
      <c r="A548" s="3184">
        <v>547</v>
      </c>
      <c r="B548" s="3192" t="s">
        <v>3944</v>
      </c>
      <c r="C548" s="3191">
        <v>107.08</v>
      </c>
      <c r="D548" s="3187" t="s">
        <v>2549</v>
      </c>
    </row>
    <row r="549" spans="1:4">
      <c r="A549" s="3184">
        <v>548</v>
      </c>
      <c r="B549" s="3192" t="s">
        <v>3945</v>
      </c>
      <c r="C549" s="3191">
        <v>107.08</v>
      </c>
      <c r="D549" s="3187" t="s">
        <v>2549</v>
      </c>
    </row>
    <row r="550" spans="1:4">
      <c r="A550" s="3184">
        <v>549</v>
      </c>
      <c r="B550" s="3192" t="s">
        <v>3946</v>
      </c>
      <c r="C550" s="3191">
        <v>165.24</v>
      </c>
      <c r="D550" s="3187" t="s">
        <v>2549</v>
      </c>
    </row>
    <row r="551" spans="1:4">
      <c r="A551" s="3184">
        <v>550</v>
      </c>
      <c r="B551" s="3192" t="s">
        <v>3947</v>
      </c>
      <c r="C551" s="3191">
        <v>143.65</v>
      </c>
      <c r="D551" s="3187" t="s">
        <v>2549</v>
      </c>
    </row>
    <row r="552" spans="1:4">
      <c r="A552" s="3184">
        <v>551</v>
      </c>
      <c r="B552" s="3192" t="s">
        <v>3948</v>
      </c>
      <c r="C552" s="3191">
        <v>165.24</v>
      </c>
      <c r="D552" s="3187" t="s">
        <v>2549</v>
      </c>
    </row>
    <row r="553" spans="1:4">
      <c r="A553" s="3184">
        <v>552</v>
      </c>
      <c r="B553" s="3192" t="s">
        <v>3949</v>
      </c>
      <c r="C553" s="3191">
        <v>164.79</v>
      </c>
      <c r="D553" s="3187" t="s">
        <v>2549</v>
      </c>
    </row>
    <row r="554" spans="1:4">
      <c r="A554" s="3184">
        <v>553</v>
      </c>
      <c r="B554" s="3192" t="s">
        <v>3950</v>
      </c>
      <c r="C554" s="3191">
        <v>164.79</v>
      </c>
      <c r="D554" s="3187" t="s">
        <v>2549</v>
      </c>
    </row>
    <row r="555" spans="1:4">
      <c r="A555" s="3184">
        <v>554</v>
      </c>
      <c r="B555" s="3192" t="s">
        <v>3951</v>
      </c>
      <c r="C555" s="3191">
        <v>164.79</v>
      </c>
      <c r="D555" s="3187" t="s">
        <v>2549</v>
      </c>
    </row>
    <row r="556" spans="1:4">
      <c r="A556" s="3184">
        <v>555</v>
      </c>
      <c r="B556" s="3192" t="s">
        <v>3952</v>
      </c>
      <c r="C556" s="3191">
        <v>165.24</v>
      </c>
      <c r="D556" s="3187" t="s">
        <v>2549</v>
      </c>
    </row>
    <row r="557" spans="1:4">
      <c r="A557" s="3184">
        <v>556</v>
      </c>
      <c r="B557" s="3192" t="s">
        <v>3953</v>
      </c>
      <c r="C557" s="3191">
        <v>164.79</v>
      </c>
      <c r="D557" s="3187" t="s">
        <v>2549</v>
      </c>
    </row>
    <row r="558" spans="1:4">
      <c r="A558" s="3184">
        <v>557</v>
      </c>
      <c r="B558" s="3192" t="s">
        <v>3954</v>
      </c>
      <c r="C558" s="3189">
        <v>143.65</v>
      </c>
      <c r="D558" s="3187" t="s">
        <v>2549</v>
      </c>
    </row>
    <row r="559" spans="1:4">
      <c r="A559" s="3184">
        <v>558</v>
      </c>
      <c r="B559" s="3192" t="s">
        <v>3955</v>
      </c>
      <c r="C559" s="3189">
        <v>165.24</v>
      </c>
      <c r="D559" s="3187" t="s">
        <v>2549</v>
      </c>
    </row>
    <row r="560" spans="1:4">
      <c r="A560" s="3184">
        <v>559</v>
      </c>
      <c r="B560" s="3192" t="s">
        <v>3956</v>
      </c>
      <c r="C560" s="3189">
        <v>164.79</v>
      </c>
      <c r="D560" s="3187" t="s">
        <v>2549</v>
      </c>
    </row>
    <row r="561" spans="1:4">
      <c r="A561" s="3184">
        <v>560</v>
      </c>
      <c r="B561" s="3192" t="s">
        <v>3957</v>
      </c>
      <c r="C561" s="3189">
        <v>165.24</v>
      </c>
      <c r="D561" s="3187" t="s">
        <v>2549</v>
      </c>
    </row>
    <row r="562" spans="1:4">
      <c r="A562" s="3184">
        <v>561</v>
      </c>
      <c r="B562" s="3192" t="s">
        <v>3958</v>
      </c>
      <c r="C562" s="3189">
        <v>164.79</v>
      </c>
      <c r="D562" s="3187" t="s">
        <v>2549</v>
      </c>
    </row>
    <row r="563" spans="1:4">
      <c r="A563" s="3184">
        <v>562</v>
      </c>
      <c r="B563" s="3192" t="s">
        <v>3959</v>
      </c>
      <c r="C563" s="3189">
        <v>165.24</v>
      </c>
      <c r="D563" s="3187" t="s">
        <v>2549</v>
      </c>
    </row>
    <row r="564" spans="1:4">
      <c r="A564" s="3184">
        <v>563</v>
      </c>
      <c r="B564" s="3192" t="s">
        <v>3960</v>
      </c>
      <c r="C564" s="3189">
        <v>164.79</v>
      </c>
      <c r="D564" s="3187" t="s">
        <v>2549</v>
      </c>
    </row>
    <row r="565" spans="1:4">
      <c r="A565" s="3184">
        <v>564</v>
      </c>
      <c r="B565" s="3192" t="s">
        <v>3961</v>
      </c>
      <c r="C565" s="3189">
        <v>165.24</v>
      </c>
      <c r="D565" s="3187" t="s">
        <v>2549</v>
      </c>
    </row>
    <row r="566" spans="1:4">
      <c r="A566" s="3184">
        <v>565</v>
      </c>
      <c r="B566" s="3192" t="s">
        <v>3962</v>
      </c>
      <c r="C566" s="3189">
        <v>164.79</v>
      </c>
      <c r="D566" s="3187" t="s">
        <v>2549</v>
      </c>
    </row>
    <row r="567" spans="1:4">
      <c r="A567" s="3184">
        <v>566</v>
      </c>
      <c r="B567" s="3192" t="s">
        <v>3963</v>
      </c>
      <c r="C567" s="3189">
        <v>164.79</v>
      </c>
      <c r="D567" s="3187" t="s">
        <v>2549</v>
      </c>
    </row>
    <row r="568" spans="1:4">
      <c r="A568" s="3184">
        <v>567</v>
      </c>
      <c r="B568" s="3192" t="s">
        <v>3964</v>
      </c>
      <c r="C568" s="3189">
        <v>165.24</v>
      </c>
      <c r="D568" s="3187" t="s">
        <v>2549</v>
      </c>
    </row>
    <row r="569" spans="1:4">
      <c r="A569" s="3184">
        <v>568</v>
      </c>
      <c r="B569" s="3192" t="s">
        <v>3965</v>
      </c>
      <c r="C569" s="3189">
        <v>164.79</v>
      </c>
      <c r="D569" s="3187" t="s">
        <v>2549</v>
      </c>
    </row>
    <row r="570" spans="1:4">
      <c r="A570" s="3184">
        <v>569</v>
      </c>
      <c r="B570" s="3192" t="s">
        <v>3966</v>
      </c>
      <c r="C570" s="3189">
        <v>165.24</v>
      </c>
      <c r="D570" s="3187" t="s">
        <v>2549</v>
      </c>
    </row>
    <row r="571" spans="1:4">
      <c r="A571" s="3184">
        <v>570</v>
      </c>
      <c r="B571" s="3192" t="s">
        <v>3967</v>
      </c>
      <c r="C571" s="3189">
        <v>165.24</v>
      </c>
      <c r="D571" s="3187" t="s">
        <v>2549</v>
      </c>
    </row>
    <row r="572" spans="1:4">
      <c r="A572" s="3184">
        <v>571</v>
      </c>
      <c r="B572" s="3192" t="s">
        <v>3968</v>
      </c>
      <c r="C572" s="3189">
        <v>165.24</v>
      </c>
      <c r="D572" s="3187" t="s">
        <v>2549</v>
      </c>
    </row>
    <row r="573" spans="1:4">
      <c r="A573" s="3184">
        <v>572</v>
      </c>
      <c r="B573" s="3192" t="s">
        <v>3969</v>
      </c>
      <c r="C573" s="3189">
        <v>105.92</v>
      </c>
      <c r="D573" s="3187" t="s">
        <v>2549</v>
      </c>
    </row>
    <row r="574" spans="1:4">
      <c r="A574" s="3184">
        <v>573</v>
      </c>
      <c r="B574" s="3192" t="s">
        <v>3970</v>
      </c>
      <c r="C574" s="3189">
        <v>84.04</v>
      </c>
      <c r="D574" s="3187" t="s">
        <v>2549</v>
      </c>
    </row>
    <row r="575" spans="1:4">
      <c r="A575" s="3184">
        <v>574</v>
      </c>
      <c r="B575" s="3192" t="s">
        <v>3971</v>
      </c>
      <c r="C575" s="3189">
        <v>105.92</v>
      </c>
      <c r="D575" s="3187" t="s">
        <v>2549</v>
      </c>
    </row>
    <row r="576" spans="1:4">
      <c r="A576" s="3184">
        <v>575</v>
      </c>
      <c r="B576" s="3192" t="s">
        <v>3972</v>
      </c>
      <c r="C576" s="3189">
        <v>105.53</v>
      </c>
      <c r="D576" s="3187" t="s">
        <v>2549</v>
      </c>
    </row>
    <row r="577" spans="1:4">
      <c r="A577" s="3184">
        <v>576</v>
      </c>
      <c r="B577" s="3192" t="s">
        <v>3973</v>
      </c>
      <c r="C577" s="3189">
        <v>106.01</v>
      </c>
      <c r="D577" s="3187" t="s">
        <v>2549</v>
      </c>
    </row>
    <row r="578" spans="1:4">
      <c r="A578" s="3184">
        <v>577</v>
      </c>
      <c r="B578" s="3192" t="s">
        <v>3974</v>
      </c>
      <c r="C578" s="3189">
        <v>105.61</v>
      </c>
      <c r="D578" s="3187" t="s">
        <v>2549</v>
      </c>
    </row>
    <row r="579" spans="1:4">
      <c r="A579" s="3184">
        <v>578</v>
      </c>
      <c r="B579" s="3192" t="s">
        <v>3975</v>
      </c>
      <c r="C579" s="3189">
        <v>105.61</v>
      </c>
      <c r="D579" s="3187" t="s">
        <v>2549</v>
      </c>
    </row>
    <row r="580" spans="1:4">
      <c r="A580" s="3184">
        <v>579</v>
      </c>
      <c r="B580" s="3192" t="s">
        <v>3976</v>
      </c>
      <c r="C580" s="3189">
        <v>84.04</v>
      </c>
      <c r="D580" s="3187" t="s">
        <v>2549</v>
      </c>
    </row>
    <row r="581" spans="1:4">
      <c r="A581" s="3184">
        <v>580</v>
      </c>
      <c r="B581" s="3192" t="s">
        <v>3977</v>
      </c>
      <c r="C581" s="3189">
        <v>105.92</v>
      </c>
      <c r="D581" s="3187" t="s">
        <v>2549</v>
      </c>
    </row>
    <row r="582" spans="1:4">
      <c r="A582" s="3184">
        <v>581</v>
      </c>
      <c r="B582" s="3192" t="s">
        <v>3978</v>
      </c>
      <c r="C582" s="3189">
        <v>106.01</v>
      </c>
      <c r="D582" s="3187" t="s">
        <v>2549</v>
      </c>
    </row>
    <row r="583" spans="1:4">
      <c r="A583" s="3184">
        <v>582</v>
      </c>
      <c r="B583" s="3192" t="s">
        <v>3979</v>
      </c>
      <c r="C583" s="3189">
        <v>106.01</v>
      </c>
      <c r="D583" s="3187" t="s">
        <v>2549</v>
      </c>
    </row>
    <row r="584" spans="1:4">
      <c r="A584" s="3184">
        <v>583</v>
      </c>
      <c r="B584" s="3192" t="s">
        <v>3980</v>
      </c>
      <c r="C584" s="3189">
        <v>105.53</v>
      </c>
      <c r="D584" s="3187" t="s">
        <v>2549</v>
      </c>
    </row>
    <row r="585" spans="1:4">
      <c r="A585" s="3184">
        <v>584</v>
      </c>
      <c r="B585" s="3192" t="s">
        <v>3981</v>
      </c>
      <c r="C585" s="3189">
        <v>105.92</v>
      </c>
      <c r="D585" s="3187" t="s">
        <v>2549</v>
      </c>
    </row>
    <row r="586" spans="1:4">
      <c r="A586" s="3184">
        <v>585</v>
      </c>
      <c r="B586" s="3192" t="s">
        <v>3982</v>
      </c>
      <c r="C586" s="3189">
        <v>105.61</v>
      </c>
      <c r="D586" s="3187" t="s">
        <v>2549</v>
      </c>
    </row>
    <row r="587" spans="1:4">
      <c r="A587" s="3184">
        <v>586</v>
      </c>
      <c r="B587" s="3192" t="s">
        <v>3983</v>
      </c>
      <c r="C587" s="3189">
        <v>106.01</v>
      </c>
      <c r="D587" s="3187" t="s">
        <v>2549</v>
      </c>
    </row>
    <row r="588" spans="1:4">
      <c r="A588" s="3184">
        <v>587</v>
      </c>
      <c r="B588" s="3192" t="s">
        <v>3984</v>
      </c>
      <c r="C588" s="3189">
        <v>105.61</v>
      </c>
      <c r="D588" s="3187" t="s">
        <v>2549</v>
      </c>
    </row>
    <row r="589" spans="1:4">
      <c r="A589" s="3184">
        <v>588</v>
      </c>
      <c r="B589" s="3192" t="s">
        <v>3985</v>
      </c>
      <c r="C589" s="3189">
        <v>106.01</v>
      </c>
      <c r="D589" s="3187" t="s">
        <v>2549</v>
      </c>
    </row>
    <row r="590" spans="1:4">
      <c r="A590" s="3184">
        <v>589</v>
      </c>
      <c r="B590" s="3192" t="s">
        <v>3986</v>
      </c>
      <c r="C590" s="3189">
        <v>105.61</v>
      </c>
      <c r="D590" s="3187" t="s">
        <v>2549</v>
      </c>
    </row>
    <row r="591" spans="1:4">
      <c r="A591" s="3184">
        <v>590</v>
      </c>
      <c r="B591" s="3192" t="s">
        <v>3987</v>
      </c>
      <c r="C591" s="3189">
        <v>105.61</v>
      </c>
      <c r="D591" s="3187" t="s">
        <v>2549</v>
      </c>
    </row>
    <row r="592" spans="1:4">
      <c r="A592" s="3184">
        <v>591</v>
      </c>
      <c r="B592" s="3192" t="s">
        <v>3988</v>
      </c>
      <c r="C592" s="3189">
        <v>105.61</v>
      </c>
      <c r="D592" s="3187" t="s">
        <v>2549</v>
      </c>
    </row>
    <row r="593" spans="1:12">
      <c r="A593" s="3184">
        <v>592</v>
      </c>
      <c r="B593" s="3192" t="s">
        <v>3989</v>
      </c>
      <c r="C593" s="3191">
        <v>105</v>
      </c>
      <c r="D593" s="3187" t="s">
        <v>2549</v>
      </c>
    </row>
    <row r="594" spans="1:12">
      <c r="A594" s="3184">
        <v>593</v>
      </c>
      <c r="B594" s="3192" t="s">
        <v>3990</v>
      </c>
      <c r="C594" s="3191">
        <v>104.75</v>
      </c>
      <c r="D594" s="3187" t="s">
        <v>2549</v>
      </c>
    </row>
    <row r="595" spans="1:12">
      <c r="A595" s="3184">
        <v>594</v>
      </c>
      <c r="B595" s="3192" t="s">
        <v>3991</v>
      </c>
      <c r="C595" s="3191">
        <v>105</v>
      </c>
      <c r="D595" s="3187" t="s">
        <v>2549</v>
      </c>
    </row>
    <row r="596" spans="1:12">
      <c r="A596" s="3184">
        <v>595</v>
      </c>
      <c r="B596" s="3192" t="s">
        <v>3992</v>
      </c>
      <c r="C596" s="3191">
        <v>104.75</v>
      </c>
      <c r="D596" s="3187" t="s">
        <v>2549</v>
      </c>
    </row>
    <row r="597" spans="1:12">
      <c r="A597" s="3184">
        <v>596</v>
      </c>
      <c r="B597" s="3192" t="s">
        <v>3993</v>
      </c>
      <c r="C597" s="3191">
        <v>104.75</v>
      </c>
      <c r="D597" s="3187" t="s">
        <v>2549</v>
      </c>
    </row>
    <row r="598" spans="1:12">
      <c r="A598" s="3184">
        <v>597</v>
      </c>
      <c r="B598" s="3192" t="s">
        <v>3994</v>
      </c>
      <c r="C598" s="3191">
        <v>105.14</v>
      </c>
      <c r="D598" s="3187" t="s">
        <v>2549</v>
      </c>
    </row>
    <row r="599" spans="1:12">
      <c r="A599" s="3184">
        <v>598</v>
      </c>
      <c r="B599" s="3192" t="s">
        <v>3995</v>
      </c>
      <c r="C599" s="3191">
        <v>104.75</v>
      </c>
      <c r="D599" s="3187" t="s">
        <v>2549</v>
      </c>
    </row>
    <row r="600" spans="1:12">
      <c r="A600" s="3184">
        <v>599</v>
      </c>
      <c r="B600" s="3192" t="s">
        <v>3996</v>
      </c>
      <c r="C600" s="3189">
        <v>104.6</v>
      </c>
      <c r="D600" s="3187" t="s">
        <v>2549</v>
      </c>
    </row>
    <row r="601" spans="1:12">
      <c r="A601" s="3184">
        <v>600</v>
      </c>
      <c r="B601" s="3192" t="s">
        <v>3997</v>
      </c>
      <c r="C601" s="3189">
        <v>104.75</v>
      </c>
      <c r="D601" s="3187" t="s">
        <v>2549</v>
      </c>
    </row>
    <row r="602" spans="1:12">
      <c r="A602" s="3184">
        <v>601</v>
      </c>
      <c r="B602" s="3192" t="s">
        <v>3998</v>
      </c>
      <c r="C602" s="3189">
        <v>104.6</v>
      </c>
      <c r="D602" s="3187" t="s">
        <v>2549</v>
      </c>
    </row>
    <row r="603" spans="1:12">
      <c r="A603" s="3184">
        <v>602</v>
      </c>
      <c r="B603" s="3192" t="s">
        <v>3999</v>
      </c>
      <c r="C603" s="3189">
        <v>104.75</v>
      </c>
      <c r="D603" s="3187" t="s">
        <v>2549</v>
      </c>
    </row>
    <row r="604" spans="1:12">
      <c r="A604" s="3184">
        <v>603</v>
      </c>
      <c r="B604" s="3192" t="s">
        <v>4000</v>
      </c>
      <c r="C604" s="3189">
        <v>104.75</v>
      </c>
      <c r="D604" s="3187" t="s">
        <v>2549</v>
      </c>
    </row>
    <row r="605" spans="1:12">
      <c r="A605" s="3184">
        <v>604</v>
      </c>
      <c r="B605" s="3192" t="s">
        <v>4001</v>
      </c>
      <c r="C605" s="3189">
        <v>105</v>
      </c>
      <c r="D605" s="3187" t="s">
        <v>2549</v>
      </c>
      <c r="J605" s="3213" t="s">
        <v>4321</v>
      </c>
    </row>
    <row r="606" spans="1:12">
      <c r="A606" s="3184" t="s">
        <v>4005</v>
      </c>
      <c r="B606" s="3192"/>
      <c r="C606" s="3189">
        <f>SUM(C2:C605)</f>
        <v>79323.999999999854</v>
      </c>
      <c r="D606" s="3187" t="s">
        <v>4004</v>
      </c>
      <c r="F606" s="3200">
        <f>SUM(F607:F615,F617:F619,F621,F623,F625,F627:F628,F633:F634,F639,F642:F643,F646,F649,F657:F658,F660:F666,F668:F669,F671:F672,F675)</f>
        <v>505.00799999999992</v>
      </c>
      <c r="H606" s="3200">
        <f>SUM(H616,H620,H622,H624,H626,H629:H632,H635:H638,H640:H641,H644:H645,H647:H648,H650:H656,H659,H667,H670,H673:H674,H676:H677)</f>
        <v>647.65233000000001</v>
      </c>
      <c r="J606" s="3214">
        <f>F606+H606</f>
        <v>1152.6603299999999</v>
      </c>
    </row>
    <row r="607" spans="1:12">
      <c r="A607" s="3184">
        <v>605</v>
      </c>
      <c r="B607" s="3192" t="s">
        <v>4008</v>
      </c>
      <c r="C607" s="3189">
        <v>7.97</v>
      </c>
      <c r="D607" s="3187" t="s">
        <v>4010</v>
      </c>
      <c r="E607">
        <v>14000</v>
      </c>
      <c r="F607">
        <f>E607*C607/10000</f>
        <v>11.157999999999999</v>
      </c>
      <c r="G607">
        <f>'比较法-仓储'!C37</f>
        <v>13570</v>
      </c>
      <c r="H607" s="3200">
        <f>G607*C607/10000</f>
        <v>10.815289999999999</v>
      </c>
    </row>
    <row r="608" spans="1:12">
      <c r="A608" s="3184">
        <v>606</v>
      </c>
      <c r="B608" s="3192" t="s">
        <v>4008</v>
      </c>
      <c r="C608" s="3189">
        <v>10.48</v>
      </c>
      <c r="D608" s="3187" t="s">
        <v>4010</v>
      </c>
      <c r="E608">
        <v>14000</v>
      </c>
      <c r="F608">
        <f t="shared" ref="F608:F671" si="0">E608*C608/10000</f>
        <v>14.672000000000001</v>
      </c>
      <c r="G608">
        <f>G607</f>
        <v>13570</v>
      </c>
      <c r="H608" s="3200">
        <f t="shared" ref="H608:H671" si="1">G608*C608/10000</f>
        <v>14.221360000000001</v>
      </c>
      <c r="J608" s="1402" t="s">
        <v>4322</v>
      </c>
      <c r="K608">
        <f>E607</f>
        <v>14000</v>
      </c>
      <c r="L608">
        <v>1</v>
      </c>
    </row>
    <row r="609" spans="1:12">
      <c r="A609" s="3184">
        <v>607</v>
      </c>
      <c r="B609" s="3192" t="s">
        <v>4008</v>
      </c>
      <c r="C609" s="3189">
        <v>10.48</v>
      </c>
      <c r="D609" s="3187" t="s">
        <v>4010</v>
      </c>
      <c r="E609">
        <v>14000</v>
      </c>
      <c r="F609">
        <f t="shared" si="0"/>
        <v>14.672000000000001</v>
      </c>
      <c r="G609">
        <f t="shared" ref="G609:G672" si="2">G608</f>
        <v>13570</v>
      </c>
      <c r="H609" s="3200">
        <f t="shared" si="1"/>
        <v>14.221360000000001</v>
      </c>
      <c r="J609" s="1402" t="s">
        <v>4323</v>
      </c>
      <c r="K609">
        <f>G616</f>
        <v>13570</v>
      </c>
      <c r="L609" s="3215">
        <f>K609/K608</f>
        <v>0.96928571428571431</v>
      </c>
    </row>
    <row r="610" spans="1:12">
      <c r="A610" s="3184">
        <v>608</v>
      </c>
      <c r="B610" s="3192" t="s">
        <v>4008</v>
      </c>
      <c r="C610" s="3189">
        <v>7.97</v>
      </c>
      <c r="D610" s="3187" t="s">
        <v>4010</v>
      </c>
      <c r="E610">
        <v>14000</v>
      </c>
      <c r="F610">
        <f t="shared" si="0"/>
        <v>11.157999999999999</v>
      </c>
      <c r="G610">
        <f t="shared" si="2"/>
        <v>13570</v>
      </c>
      <c r="H610" s="3200">
        <f t="shared" si="1"/>
        <v>10.815289999999999</v>
      </c>
      <c r="J610" s="1402" t="s">
        <v>4324</v>
      </c>
      <c r="K610">
        <f>G629</f>
        <v>12000</v>
      </c>
      <c r="L610" s="3215">
        <f>K610/K608</f>
        <v>0.8571428571428571</v>
      </c>
    </row>
    <row r="611" spans="1:12">
      <c r="A611" s="3184">
        <v>609</v>
      </c>
      <c r="B611" s="3192" t="s">
        <v>4008</v>
      </c>
      <c r="C611" s="3189">
        <v>7.61</v>
      </c>
      <c r="D611" s="3187" t="s">
        <v>4010</v>
      </c>
      <c r="E611">
        <v>14000</v>
      </c>
      <c r="F611">
        <f t="shared" si="0"/>
        <v>10.654</v>
      </c>
      <c r="G611">
        <f t="shared" si="2"/>
        <v>13570</v>
      </c>
      <c r="H611" s="3200">
        <f t="shared" si="1"/>
        <v>10.32677</v>
      </c>
      <c r="J611" s="1402" t="s">
        <v>4325</v>
      </c>
      <c r="K611">
        <f>G620</f>
        <v>10000</v>
      </c>
      <c r="L611" s="3215">
        <f>K611/K608</f>
        <v>0.7142857142857143</v>
      </c>
    </row>
    <row r="612" spans="1:12">
      <c r="A612" s="3184">
        <v>610</v>
      </c>
      <c r="B612" s="3192" t="s">
        <v>4008</v>
      </c>
      <c r="C612" s="3189">
        <v>10</v>
      </c>
      <c r="D612" s="3187" t="s">
        <v>4010</v>
      </c>
      <c r="E612">
        <v>14000</v>
      </c>
      <c r="F612">
        <f t="shared" si="0"/>
        <v>14</v>
      </c>
      <c r="G612">
        <f t="shared" si="2"/>
        <v>13570</v>
      </c>
      <c r="H612" s="3200">
        <f t="shared" si="1"/>
        <v>13.57</v>
      </c>
    </row>
    <row r="613" spans="1:12">
      <c r="A613" s="3184">
        <v>611</v>
      </c>
      <c r="B613" s="3192" t="s">
        <v>4008</v>
      </c>
      <c r="C613" s="3189">
        <v>10</v>
      </c>
      <c r="D613" s="3187" t="s">
        <v>4010</v>
      </c>
      <c r="E613">
        <v>14000</v>
      </c>
      <c r="F613">
        <f t="shared" si="0"/>
        <v>14</v>
      </c>
      <c r="G613">
        <f t="shared" si="2"/>
        <v>13570</v>
      </c>
      <c r="H613" s="3200">
        <f t="shared" si="1"/>
        <v>13.57</v>
      </c>
    </row>
    <row r="614" spans="1:12">
      <c r="A614" s="3184">
        <v>612</v>
      </c>
      <c r="B614" s="3192" t="s">
        <v>4008</v>
      </c>
      <c r="C614" s="3189">
        <v>7.61</v>
      </c>
      <c r="D614" s="3187" t="s">
        <v>4010</v>
      </c>
      <c r="E614">
        <v>14000</v>
      </c>
      <c r="F614">
        <f t="shared" si="0"/>
        <v>10.654</v>
      </c>
      <c r="G614">
        <f t="shared" si="2"/>
        <v>13570</v>
      </c>
      <c r="H614" s="3200">
        <f t="shared" si="1"/>
        <v>10.32677</v>
      </c>
    </row>
    <row r="615" spans="1:12">
      <c r="A615" s="3184">
        <v>613</v>
      </c>
      <c r="B615" s="3192" t="s">
        <v>4008</v>
      </c>
      <c r="C615" s="3189">
        <v>9.27</v>
      </c>
      <c r="D615" s="3187" t="s">
        <v>4010</v>
      </c>
      <c r="E615">
        <v>14000</v>
      </c>
      <c r="F615">
        <f t="shared" si="0"/>
        <v>12.978</v>
      </c>
      <c r="G615">
        <f t="shared" si="2"/>
        <v>13570</v>
      </c>
      <c r="H615" s="3200">
        <f t="shared" si="1"/>
        <v>12.57939</v>
      </c>
    </row>
    <row r="616" spans="1:12" s="3205" customFormat="1">
      <c r="A616" s="3201">
        <v>614</v>
      </c>
      <c r="B616" s="3202" t="s">
        <v>4008</v>
      </c>
      <c r="C616" s="3203">
        <v>12.98</v>
      </c>
      <c r="D616" s="3204" t="s">
        <v>4010</v>
      </c>
      <c r="E616" s="3205">
        <v>14000</v>
      </c>
      <c r="F616" s="3205">
        <f t="shared" si="0"/>
        <v>18.172000000000001</v>
      </c>
      <c r="G616" s="3205">
        <f t="shared" si="2"/>
        <v>13570</v>
      </c>
      <c r="H616" s="3206">
        <f t="shared" si="1"/>
        <v>17.613859999999999</v>
      </c>
    </row>
    <row r="617" spans="1:12">
      <c r="A617" s="3184">
        <v>615</v>
      </c>
      <c r="B617" s="3192" t="s">
        <v>4008</v>
      </c>
      <c r="C617" s="3189">
        <v>7.97</v>
      </c>
      <c r="D617" s="3187" t="s">
        <v>4010</v>
      </c>
      <c r="E617">
        <v>14000</v>
      </c>
      <c r="F617">
        <f t="shared" si="0"/>
        <v>11.157999999999999</v>
      </c>
      <c r="G617">
        <f t="shared" si="2"/>
        <v>13570</v>
      </c>
      <c r="H617" s="3200">
        <f t="shared" si="1"/>
        <v>10.815289999999999</v>
      </c>
    </row>
    <row r="618" spans="1:12">
      <c r="A618" s="3184">
        <v>616</v>
      </c>
      <c r="B618" s="3192" t="s">
        <v>4008</v>
      </c>
      <c r="C618" s="3189">
        <v>8.2799999999999994</v>
      </c>
      <c r="D618" s="3187" t="s">
        <v>4010</v>
      </c>
      <c r="E618">
        <v>14000</v>
      </c>
      <c r="F618">
        <f t="shared" si="0"/>
        <v>11.591999999999999</v>
      </c>
      <c r="G618">
        <f t="shared" si="2"/>
        <v>13570</v>
      </c>
      <c r="H618" s="3200">
        <f t="shared" si="1"/>
        <v>11.235959999999999</v>
      </c>
    </row>
    <row r="619" spans="1:12">
      <c r="A619" s="3184">
        <v>617</v>
      </c>
      <c r="B619" s="3192" t="s">
        <v>4008</v>
      </c>
      <c r="C619" s="3189">
        <v>7.61</v>
      </c>
      <c r="D619" s="3187" t="s">
        <v>4010</v>
      </c>
      <c r="E619">
        <v>14000</v>
      </c>
      <c r="F619">
        <f t="shared" si="0"/>
        <v>10.654</v>
      </c>
      <c r="G619">
        <f t="shared" si="2"/>
        <v>13570</v>
      </c>
      <c r="H619" s="3200">
        <f t="shared" si="1"/>
        <v>10.32677</v>
      </c>
    </row>
    <row r="620" spans="1:12" s="3211" customFormat="1">
      <c r="A620" s="3207">
        <v>618</v>
      </c>
      <c r="B620" s="3208" t="s">
        <v>4008</v>
      </c>
      <c r="C620" s="3209">
        <v>25.97</v>
      </c>
      <c r="D620" s="3210" t="s">
        <v>4010</v>
      </c>
      <c r="E620" s="3211">
        <v>14000</v>
      </c>
      <c r="F620" s="3211">
        <f t="shared" si="0"/>
        <v>36.357999999999997</v>
      </c>
      <c r="G620" s="3211">
        <v>10000</v>
      </c>
      <c r="H620" s="3212">
        <f t="shared" si="1"/>
        <v>25.97</v>
      </c>
    </row>
    <row r="621" spans="1:12">
      <c r="A621" s="3184">
        <v>619</v>
      </c>
      <c r="B621" s="3192" t="s">
        <v>4008</v>
      </c>
      <c r="C621" s="3189">
        <v>8.5500000000000007</v>
      </c>
      <c r="D621" s="3187" t="s">
        <v>4010</v>
      </c>
      <c r="E621">
        <v>14000</v>
      </c>
      <c r="F621">
        <f t="shared" si="0"/>
        <v>11.97</v>
      </c>
      <c r="G621">
        <f>G619</f>
        <v>13570</v>
      </c>
      <c r="H621" s="3200">
        <f t="shared" si="1"/>
        <v>11.602350000000001</v>
      </c>
    </row>
    <row r="622" spans="1:12" s="3205" customFormat="1">
      <c r="A622" s="3201">
        <v>620</v>
      </c>
      <c r="B622" s="3202" t="s">
        <v>4008</v>
      </c>
      <c r="C622" s="3203">
        <v>13.05</v>
      </c>
      <c r="D622" s="3204" t="s">
        <v>4010</v>
      </c>
      <c r="E622" s="3205">
        <v>14000</v>
      </c>
      <c r="F622" s="3205">
        <f t="shared" si="0"/>
        <v>18.27</v>
      </c>
      <c r="G622" s="3205">
        <f t="shared" si="2"/>
        <v>13570</v>
      </c>
      <c r="H622" s="3206">
        <f t="shared" si="1"/>
        <v>17.708850000000002</v>
      </c>
    </row>
    <row r="623" spans="1:12">
      <c r="A623" s="3184">
        <v>621</v>
      </c>
      <c r="B623" s="3192" t="s">
        <v>4008</v>
      </c>
      <c r="C623" s="3189">
        <v>10.81</v>
      </c>
      <c r="D623" s="3187" t="s">
        <v>4010</v>
      </c>
      <c r="E623">
        <v>14000</v>
      </c>
      <c r="F623">
        <f t="shared" si="0"/>
        <v>15.134</v>
      </c>
      <c r="G623">
        <f t="shared" si="2"/>
        <v>13570</v>
      </c>
      <c r="H623" s="3200">
        <f t="shared" si="1"/>
        <v>14.669170000000001</v>
      </c>
    </row>
    <row r="624" spans="1:12" s="3205" customFormat="1">
      <c r="A624" s="3201">
        <v>622</v>
      </c>
      <c r="B624" s="3202" t="s">
        <v>4008</v>
      </c>
      <c r="C624" s="3203">
        <v>15.05</v>
      </c>
      <c r="D624" s="3204" t="s">
        <v>4010</v>
      </c>
      <c r="E624" s="3205">
        <v>14000</v>
      </c>
      <c r="F624" s="3205">
        <f t="shared" si="0"/>
        <v>21.07</v>
      </c>
      <c r="G624" s="3205">
        <f t="shared" si="2"/>
        <v>13570</v>
      </c>
      <c r="H624" s="3206">
        <f t="shared" si="1"/>
        <v>20.42285</v>
      </c>
    </row>
    <row r="625" spans="1:8">
      <c r="A625" s="3184">
        <v>623</v>
      </c>
      <c r="B625" s="3192" t="s">
        <v>4008</v>
      </c>
      <c r="C625" s="3189">
        <v>10.81</v>
      </c>
      <c r="D625" s="3187" t="s">
        <v>4010</v>
      </c>
      <c r="E625">
        <v>14000</v>
      </c>
      <c r="F625">
        <f t="shared" si="0"/>
        <v>15.134</v>
      </c>
      <c r="G625">
        <f t="shared" si="2"/>
        <v>13570</v>
      </c>
      <c r="H625" s="3200">
        <f t="shared" si="1"/>
        <v>14.669170000000001</v>
      </c>
    </row>
    <row r="626" spans="1:8" s="3205" customFormat="1">
      <c r="A626" s="3201">
        <v>624</v>
      </c>
      <c r="B626" s="3202" t="s">
        <v>4008</v>
      </c>
      <c r="C626" s="3203">
        <v>12.35</v>
      </c>
      <c r="D626" s="3204" t="s">
        <v>4010</v>
      </c>
      <c r="E626" s="3205">
        <v>14000</v>
      </c>
      <c r="F626" s="3205">
        <f t="shared" si="0"/>
        <v>17.29</v>
      </c>
      <c r="G626" s="3205">
        <f t="shared" si="2"/>
        <v>13570</v>
      </c>
      <c r="H626" s="3206">
        <f t="shared" si="1"/>
        <v>16.758949999999999</v>
      </c>
    </row>
    <row r="627" spans="1:8">
      <c r="A627" s="3184">
        <v>625</v>
      </c>
      <c r="B627" s="3192" t="s">
        <v>4008</v>
      </c>
      <c r="C627" s="3189">
        <v>8.24</v>
      </c>
      <c r="D627" s="3187" t="s">
        <v>4010</v>
      </c>
      <c r="E627">
        <v>14000</v>
      </c>
      <c r="F627">
        <f t="shared" si="0"/>
        <v>11.536</v>
      </c>
      <c r="G627">
        <f t="shared" si="2"/>
        <v>13570</v>
      </c>
      <c r="H627" s="3200">
        <f t="shared" si="1"/>
        <v>11.18168</v>
      </c>
    </row>
    <row r="628" spans="1:8">
      <c r="A628" s="3184">
        <v>626</v>
      </c>
      <c r="B628" s="3192" t="s">
        <v>4008</v>
      </c>
      <c r="C628" s="3189">
        <v>10.16</v>
      </c>
      <c r="D628" s="3187" t="s">
        <v>4010</v>
      </c>
      <c r="E628">
        <v>14000</v>
      </c>
      <c r="F628">
        <f t="shared" si="0"/>
        <v>14.224</v>
      </c>
      <c r="G628">
        <f t="shared" si="2"/>
        <v>13570</v>
      </c>
      <c r="H628" s="3200">
        <f t="shared" si="1"/>
        <v>13.787120000000002</v>
      </c>
    </row>
    <row r="629" spans="1:8" s="3211" customFormat="1">
      <c r="A629" s="3207">
        <v>627</v>
      </c>
      <c r="B629" s="3208" t="s">
        <v>4008</v>
      </c>
      <c r="C629" s="3209">
        <v>19.61</v>
      </c>
      <c r="D629" s="3210" t="s">
        <v>4010</v>
      </c>
      <c r="E629" s="3211">
        <v>14000</v>
      </c>
      <c r="F629" s="3211">
        <f t="shared" si="0"/>
        <v>27.454000000000001</v>
      </c>
      <c r="G629" s="3211">
        <v>12000</v>
      </c>
      <c r="H629" s="3212">
        <f t="shared" si="1"/>
        <v>23.532</v>
      </c>
    </row>
    <row r="630" spans="1:8" s="3205" customFormat="1">
      <c r="A630" s="3201">
        <v>628</v>
      </c>
      <c r="B630" s="3202" t="s">
        <v>4008</v>
      </c>
      <c r="C630" s="3203">
        <v>14.21</v>
      </c>
      <c r="D630" s="3204" t="s">
        <v>4010</v>
      </c>
      <c r="E630" s="3205">
        <v>14000</v>
      </c>
      <c r="F630" s="3206">
        <f t="shared" si="0"/>
        <v>19.893999999999998</v>
      </c>
      <c r="G630" s="3205">
        <f>G628</f>
        <v>13570</v>
      </c>
      <c r="H630" s="3206">
        <f t="shared" si="1"/>
        <v>19.282970000000002</v>
      </c>
    </row>
    <row r="631" spans="1:8" s="3205" customFormat="1">
      <c r="A631" s="3201">
        <v>629</v>
      </c>
      <c r="B631" s="3202" t="s">
        <v>4008</v>
      </c>
      <c r="C631" s="3203">
        <v>12.93</v>
      </c>
      <c r="D631" s="3204" t="s">
        <v>4010</v>
      </c>
      <c r="E631" s="3205">
        <v>14000</v>
      </c>
      <c r="F631" s="3206">
        <f t="shared" si="0"/>
        <v>18.102</v>
      </c>
      <c r="G631" s="3205">
        <f t="shared" si="2"/>
        <v>13570</v>
      </c>
      <c r="H631" s="3206">
        <f t="shared" si="1"/>
        <v>17.546009999999999</v>
      </c>
    </row>
    <row r="632" spans="1:8" s="3205" customFormat="1">
      <c r="A632" s="3201">
        <v>630</v>
      </c>
      <c r="B632" s="3202" t="s">
        <v>4008</v>
      </c>
      <c r="C632" s="3203">
        <v>14.22</v>
      </c>
      <c r="D632" s="3204" t="s">
        <v>4010</v>
      </c>
      <c r="E632" s="3205">
        <v>14000</v>
      </c>
      <c r="F632" s="3206">
        <f t="shared" si="0"/>
        <v>19.908000000000001</v>
      </c>
      <c r="G632" s="3205">
        <f t="shared" si="2"/>
        <v>13570</v>
      </c>
      <c r="H632" s="3206">
        <f t="shared" si="1"/>
        <v>19.29654</v>
      </c>
    </row>
    <row r="633" spans="1:8">
      <c r="A633" s="3184">
        <v>631</v>
      </c>
      <c r="B633" s="3192" t="s">
        <v>4008</v>
      </c>
      <c r="C633" s="3189">
        <v>10.11</v>
      </c>
      <c r="D633" s="3187" t="s">
        <v>4010</v>
      </c>
      <c r="E633">
        <v>14000</v>
      </c>
      <c r="F633" s="3200">
        <f t="shared" si="0"/>
        <v>14.154</v>
      </c>
      <c r="G633">
        <f t="shared" si="2"/>
        <v>13570</v>
      </c>
      <c r="H633" s="3200">
        <f t="shared" si="1"/>
        <v>13.719269999999998</v>
      </c>
    </row>
    <row r="634" spans="1:8">
      <c r="A634" s="3184">
        <v>632</v>
      </c>
      <c r="B634" s="3192" t="s">
        <v>4008</v>
      </c>
      <c r="C634" s="3189">
        <v>10</v>
      </c>
      <c r="D634" s="3187" t="s">
        <v>4010</v>
      </c>
      <c r="E634">
        <v>14000</v>
      </c>
      <c r="F634" s="3200">
        <f t="shared" si="0"/>
        <v>14</v>
      </c>
      <c r="G634">
        <f t="shared" si="2"/>
        <v>13570</v>
      </c>
      <c r="H634" s="3200">
        <f t="shared" si="1"/>
        <v>13.57</v>
      </c>
    </row>
    <row r="635" spans="1:8" s="3205" customFormat="1">
      <c r="A635" s="3201">
        <v>633</v>
      </c>
      <c r="B635" s="3202" t="s">
        <v>4008</v>
      </c>
      <c r="C635" s="3203">
        <v>14.12</v>
      </c>
      <c r="D635" s="3204" t="s">
        <v>4010</v>
      </c>
      <c r="E635" s="3205">
        <v>14000</v>
      </c>
      <c r="F635" s="3206">
        <f t="shared" si="0"/>
        <v>19.768000000000001</v>
      </c>
      <c r="G635" s="3205">
        <f t="shared" si="2"/>
        <v>13570</v>
      </c>
      <c r="H635" s="3206">
        <f t="shared" si="1"/>
        <v>19.16084</v>
      </c>
    </row>
    <row r="636" spans="1:8" s="3205" customFormat="1">
      <c r="A636" s="3201">
        <v>634</v>
      </c>
      <c r="B636" s="3202" t="s">
        <v>4008</v>
      </c>
      <c r="C636" s="3203">
        <v>13.29</v>
      </c>
      <c r="D636" s="3204" t="s">
        <v>4010</v>
      </c>
      <c r="E636" s="3205">
        <v>14000</v>
      </c>
      <c r="F636" s="3206">
        <f t="shared" si="0"/>
        <v>18.606000000000002</v>
      </c>
      <c r="G636" s="3205">
        <f t="shared" si="2"/>
        <v>13570</v>
      </c>
      <c r="H636" s="3206">
        <f t="shared" si="1"/>
        <v>18.03453</v>
      </c>
    </row>
    <row r="637" spans="1:8" s="3205" customFormat="1">
      <c r="A637" s="3201">
        <v>635</v>
      </c>
      <c r="B637" s="3202" t="s">
        <v>4008</v>
      </c>
      <c r="C637" s="3203">
        <v>13.29</v>
      </c>
      <c r="D637" s="3204" t="s">
        <v>4010</v>
      </c>
      <c r="E637" s="3205">
        <v>14000</v>
      </c>
      <c r="F637" s="3206">
        <f t="shared" si="0"/>
        <v>18.606000000000002</v>
      </c>
      <c r="G637" s="3205">
        <f t="shared" si="2"/>
        <v>13570</v>
      </c>
      <c r="H637" s="3206">
        <f t="shared" si="1"/>
        <v>18.03453</v>
      </c>
    </row>
    <row r="638" spans="1:8" s="3205" customFormat="1">
      <c r="A638" s="3201">
        <v>636</v>
      </c>
      <c r="B638" s="3202" t="s">
        <v>4008</v>
      </c>
      <c r="C638" s="3203">
        <v>14.64</v>
      </c>
      <c r="D638" s="3204" t="s">
        <v>4010</v>
      </c>
      <c r="E638" s="3205">
        <v>14000</v>
      </c>
      <c r="F638" s="3206">
        <f t="shared" si="0"/>
        <v>20.495999999999999</v>
      </c>
      <c r="G638" s="3205">
        <f t="shared" si="2"/>
        <v>13570</v>
      </c>
      <c r="H638" s="3206">
        <f t="shared" si="1"/>
        <v>19.866480000000003</v>
      </c>
    </row>
    <row r="639" spans="1:8">
      <c r="A639" s="3184">
        <v>637</v>
      </c>
      <c r="B639" s="3192" t="s">
        <v>4008</v>
      </c>
      <c r="C639" s="3189">
        <v>7.67</v>
      </c>
      <c r="D639" s="3187" t="s">
        <v>4010</v>
      </c>
      <c r="E639">
        <v>14000</v>
      </c>
      <c r="F639" s="3200">
        <f t="shared" si="0"/>
        <v>10.738</v>
      </c>
      <c r="G639">
        <f t="shared" si="2"/>
        <v>13570</v>
      </c>
      <c r="H639" s="3200">
        <f t="shared" si="1"/>
        <v>10.408189999999999</v>
      </c>
    </row>
    <row r="640" spans="1:8" s="3205" customFormat="1">
      <c r="A640" s="3201">
        <v>638</v>
      </c>
      <c r="B640" s="3202" t="s">
        <v>4008</v>
      </c>
      <c r="C640" s="3203">
        <v>17.59</v>
      </c>
      <c r="D640" s="3204" t="s">
        <v>4010</v>
      </c>
      <c r="E640" s="3205">
        <v>14000</v>
      </c>
      <c r="F640" s="3206">
        <f t="shared" si="0"/>
        <v>24.626000000000001</v>
      </c>
      <c r="G640" s="3205">
        <f t="shared" si="2"/>
        <v>13570</v>
      </c>
      <c r="H640" s="3206">
        <f t="shared" si="1"/>
        <v>23.869629999999997</v>
      </c>
    </row>
    <row r="641" spans="1:8" s="3205" customFormat="1">
      <c r="A641" s="3201">
        <v>639</v>
      </c>
      <c r="B641" s="3202" t="s">
        <v>4008</v>
      </c>
      <c r="C641" s="3203">
        <v>17.59</v>
      </c>
      <c r="D641" s="3204" t="s">
        <v>4010</v>
      </c>
      <c r="E641" s="3205">
        <v>14000</v>
      </c>
      <c r="F641" s="3206">
        <f t="shared" si="0"/>
        <v>24.626000000000001</v>
      </c>
      <c r="G641" s="3205">
        <f t="shared" si="2"/>
        <v>13570</v>
      </c>
      <c r="H641" s="3206">
        <f t="shared" si="1"/>
        <v>23.869629999999997</v>
      </c>
    </row>
    <row r="642" spans="1:8">
      <c r="A642" s="3184">
        <v>640</v>
      </c>
      <c r="B642" s="3192" t="s">
        <v>4008</v>
      </c>
      <c r="C642" s="3189">
        <v>8.0399999999999991</v>
      </c>
      <c r="D642" s="3187" t="s">
        <v>4010</v>
      </c>
      <c r="E642">
        <v>14000</v>
      </c>
      <c r="F642" s="3200">
        <f t="shared" si="0"/>
        <v>11.255999999999998</v>
      </c>
      <c r="G642">
        <f t="shared" si="2"/>
        <v>13570</v>
      </c>
      <c r="H642" s="3200">
        <f t="shared" si="1"/>
        <v>10.910279999999998</v>
      </c>
    </row>
    <row r="643" spans="1:8">
      <c r="A643" s="3184">
        <v>641</v>
      </c>
      <c r="B643" s="3192" t="s">
        <v>4008</v>
      </c>
      <c r="C643" s="3189">
        <v>8.0399999999999991</v>
      </c>
      <c r="D643" s="3187" t="s">
        <v>4010</v>
      </c>
      <c r="E643">
        <v>14000</v>
      </c>
      <c r="F643" s="3200">
        <f t="shared" si="0"/>
        <v>11.255999999999998</v>
      </c>
      <c r="G643">
        <f t="shared" si="2"/>
        <v>13570</v>
      </c>
      <c r="H643" s="3200">
        <f t="shared" si="1"/>
        <v>10.910279999999998</v>
      </c>
    </row>
    <row r="644" spans="1:8" s="3211" customFormat="1">
      <c r="A644" s="3207">
        <v>642</v>
      </c>
      <c r="B644" s="3208" t="s">
        <v>4008</v>
      </c>
      <c r="C644" s="3209">
        <v>18.440000000000001</v>
      </c>
      <c r="D644" s="3210" t="s">
        <v>4010</v>
      </c>
      <c r="E644" s="3211">
        <v>14000</v>
      </c>
      <c r="F644" s="3212">
        <f t="shared" si="0"/>
        <v>25.816000000000003</v>
      </c>
      <c r="G644" s="3211">
        <f>G629</f>
        <v>12000</v>
      </c>
      <c r="H644" s="3212">
        <f t="shared" si="1"/>
        <v>22.128000000000004</v>
      </c>
    </row>
    <row r="645" spans="1:8" s="3205" customFormat="1">
      <c r="A645" s="3201">
        <v>643</v>
      </c>
      <c r="B645" s="3202" t="s">
        <v>4008</v>
      </c>
      <c r="C645" s="3203">
        <v>16.11</v>
      </c>
      <c r="D645" s="3204" t="s">
        <v>4010</v>
      </c>
      <c r="E645" s="3205">
        <v>14000</v>
      </c>
      <c r="F645" s="3206">
        <f t="shared" si="0"/>
        <v>22.553999999999998</v>
      </c>
      <c r="G645" s="3205">
        <f>G643</f>
        <v>13570</v>
      </c>
      <c r="H645" s="3206">
        <f t="shared" si="1"/>
        <v>21.861269999999998</v>
      </c>
    </row>
    <row r="646" spans="1:8">
      <c r="A646" s="3184">
        <v>644</v>
      </c>
      <c r="B646" s="3192" t="s">
        <v>4008</v>
      </c>
      <c r="C646" s="3189">
        <v>9.5500000000000007</v>
      </c>
      <c r="D646" s="3187" t="s">
        <v>4010</v>
      </c>
      <c r="E646">
        <v>14000</v>
      </c>
      <c r="F646" s="3200">
        <f t="shared" si="0"/>
        <v>13.37</v>
      </c>
      <c r="G646">
        <f t="shared" si="2"/>
        <v>13570</v>
      </c>
      <c r="H646" s="3200">
        <f t="shared" si="1"/>
        <v>12.959350000000001</v>
      </c>
    </row>
    <row r="647" spans="1:8" s="3205" customFormat="1">
      <c r="A647" s="3201">
        <v>645</v>
      </c>
      <c r="B647" s="3202" t="s">
        <v>4008</v>
      </c>
      <c r="C647" s="3203">
        <v>13.31</v>
      </c>
      <c r="D647" s="3204" t="s">
        <v>4010</v>
      </c>
      <c r="E647" s="3205">
        <v>14000</v>
      </c>
      <c r="F647" s="3206">
        <f t="shared" si="0"/>
        <v>18.634</v>
      </c>
      <c r="G647" s="3205">
        <f t="shared" si="2"/>
        <v>13570</v>
      </c>
      <c r="H647" s="3206">
        <f t="shared" si="1"/>
        <v>18.061669999999999</v>
      </c>
    </row>
    <row r="648" spans="1:8" s="3205" customFormat="1">
      <c r="A648" s="3201">
        <v>646</v>
      </c>
      <c r="B648" s="3202" t="s">
        <v>4008</v>
      </c>
      <c r="C648" s="3203">
        <v>13.31</v>
      </c>
      <c r="D648" s="3204" t="s">
        <v>4010</v>
      </c>
      <c r="E648" s="3205">
        <v>14000</v>
      </c>
      <c r="F648" s="3206">
        <f t="shared" si="0"/>
        <v>18.634</v>
      </c>
      <c r="G648" s="3205">
        <f t="shared" si="2"/>
        <v>13570</v>
      </c>
      <c r="H648" s="3206">
        <f t="shared" si="1"/>
        <v>18.061669999999999</v>
      </c>
    </row>
    <row r="649" spans="1:8">
      <c r="A649" s="3184">
        <v>647</v>
      </c>
      <c r="B649" s="3192" t="s">
        <v>4008</v>
      </c>
      <c r="C649" s="3189">
        <v>9.5500000000000007</v>
      </c>
      <c r="D649" s="3187" t="s">
        <v>4010</v>
      </c>
      <c r="E649">
        <v>14000</v>
      </c>
      <c r="F649" s="3200">
        <f t="shared" si="0"/>
        <v>13.37</v>
      </c>
      <c r="G649">
        <f t="shared" si="2"/>
        <v>13570</v>
      </c>
      <c r="H649" s="3200">
        <f t="shared" si="1"/>
        <v>12.959350000000001</v>
      </c>
    </row>
    <row r="650" spans="1:8" s="3205" customFormat="1">
      <c r="A650" s="3201">
        <v>648</v>
      </c>
      <c r="B650" s="3202" t="s">
        <v>4008</v>
      </c>
      <c r="C650" s="3203">
        <v>14.23</v>
      </c>
      <c r="D650" s="3204" t="s">
        <v>4010</v>
      </c>
      <c r="E650" s="3205">
        <v>14000</v>
      </c>
      <c r="F650" s="3206">
        <f t="shared" si="0"/>
        <v>19.922000000000001</v>
      </c>
      <c r="G650" s="3205">
        <f t="shared" si="2"/>
        <v>13570</v>
      </c>
      <c r="H650" s="3206">
        <f t="shared" si="1"/>
        <v>19.310110000000002</v>
      </c>
    </row>
    <row r="651" spans="1:8" s="3205" customFormat="1">
      <c r="A651" s="3201">
        <v>649</v>
      </c>
      <c r="B651" s="3202" t="s">
        <v>4008</v>
      </c>
      <c r="C651" s="3203">
        <v>13.5</v>
      </c>
      <c r="D651" s="3204" t="s">
        <v>4010</v>
      </c>
      <c r="E651" s="3205">
        <v>14000</v>
      </c>
      <c r="F651" s="3206">
        <f t="shared" si="0"/>
        <v>18.899999999999999</v>
      </c>
      <c r="G651" s="3205">
        <f t="shared" si="2"/>
        <v>13570</v>
      </c>
      <c r="H651" s="3206">
        <f t="shared" si="1"/>
        <v>18.319500000000001</v>
      </c>
    </row>
    <row r="652" spans="1:8" s="3205" customFormat="1">
      <c r="A652" s="3201">
        <v>650</v>
      </c>
      <c r="B652" s="3202" t="s">
        <v>4008</v>
      </c>
      <c r="C652" s="3203">
        <v>14.42</v>
      </c>
      <c r="D652" s="3204" t="s">
        <v>4010</v>
      </c>
      <c r="E652" s="3205">
        <v>14000</v>
      </c>
      <c r="F652" s="3206">
        <f t="shared" si="0"/>
        <v>20.187999999999999</v>
      </c>
      <c r="G652" s="3205">
        <f t="shared" si="2"/>
        <v>13570</v>
      </c>
      <c r="H652" s="3206">
        <f t="shared" si="1"/>
        <v>19.56794</v>
      </c>
    </row>
    <row r="653" spans="1:8" s="3205" customFormat="1">
      <c r="A653" s="3201">
        <v>651</v>
      </c>
      <c r="B653" s="3202" t="s">
        <v>4008</v>
      </c>
      <c r="C653" s="3203">
        <v>13.11</v>
      </c>
      <c r="D653" s="3204" t="s">
        <v>4010</v>
      </c>
      <c r="E653" s="3205">
        <v>14000</v>
      </c>
      <c r="F653" s="3206">
        <f t="shared" si="0"/>
        <v>18.353999999999999</v>
      </c>
      <c r="G653" s="3205">
        <f t="shared" si="2"/>
        <v>13570</v>
      </c>
      <c r="H653" s="3206">
        <f t="shared" si="1"/>
        <v>17.79027</v>
      </c>
    </row>
    <row r="654" spans="1:8" s="3211" customFormat="1">
      <c r="A654" s="3207">
        <v>652</v>
      </c>
      <c r="B654" s="3208" t="s">
        <v>4008</v>
      </c>
      <c r="C654" s="3209">
        <v>20.12</v>
      </c>
      <c r="D654" s="3210" t="s">
        <v>4010</v>
      </c>
      <c r="E654" s="3211">
        <v>14000</v>
      </c>
      <c r="F654" s="3212">
        <f t="shared" si="0"/>
        <v>28.167999999999999</v>
      </c>
      <c r="G654" s="3211">
        <f>G629</f>
        <v>12000</v>
      </c>
      <c r="H654" s="3212">
        <f t="shared" si="1"/>
        <v>24.143999999999998</v>
      </c>
    </row>
    <row r="655" spans="1:8" s="3205" customFormat="1">
      <c r="A655" s="3201">
        <v>653</v>
      </c>
      <c r="B655" s="3202" t="s">
        <v>4008</v>
      </c>
      <c r="C655" s="3203">
        <v>14.58</v>
      </c>
      <c r="D655" s="3204" t="s">
        <v>4010</v>
      </c>
      <c r="E655" s="3205">
        <v>14000</v>
      </c>
      <c r="F655" s="3206">
        <f t="shared" si="0"/>
        <v>20.411999999999999</v>
      </c>
      <c r="G655" s="3205">
        <f>G653</f>
        <v>13570</v>
      </c>
      <c r="H655" s="3206">
        <f t="shared" si="1"/>
        <v>19.785060000000001</v>
      </c>
    </row>
    <row r="656" spans="1:8" s="3205" customFormat="1">
      <c r="A656" s="3201">
        <v>654</v>
      </c>
      <c r="B656" s="3202" t="s">
        <v>4008</v>
      </c>
      <c r="C656" s="3203">
        <v>13.26</v>
      </c>
      <c r="D656" s="3204" t="s">
        <v>4010</v>
      </c>
      <c r="E656" s="3205">
        <v>14000</v>
      </c>
      <c r="F656" s="3206">
        <f t="shared" si="0"/>
        <v>18.564</v>
      </c>
      <c r="G656" s="3205">
        <f t="shared" si="2"/>
        <v>13570</v>
      </c>
      <c r="H656" s="3206">
        <f t="shared" si="1"/>
        <v>17.993819999999999</v>
      </c>
    </row>
    <row r="657" spans="1:8">
      <c r="A657" s="3184">
        <v>655</v>
      </c>
      <c r="B657" s="3192" t="s">
        <v>4008</v>
      </c>
      <c r="C657" s="3189">
        <v>7.76</v>
      </c>
      <c r="D657" s="3187" t="s">
        <v>4010</v>
      </c>
      <c r="E657">
        <v>14000</v>
      </c>
      <c r="F657" s="3200">
        <f t="shared" si="0"/>
        <v>10.864000000000001</v>
      </c>
      <c r="G657">
        <f t="shared" si="2"/>
        <v>13570</v>
      </c>
      <c r="H657" s="3200">
        <f t="shared" si="1"/>
        <v>10.53032</v>
      </c>
    </row>
    <row r="658" spans="1:8">
      <c r="A658" s="3184">
        <v>656</v>
      </c>
      <c r="B658" s="3192" t="s">
        <v>4008</v>
      </c>
      <c r="C658" s="3189">
        <v>11.04</v>
      </c>
      <c r="D658" s="3187" t="s">
        <v>4010</v>
      </c>
      <c r="E658">
        <v>14000</v>
      </c>
      <c r="F658" s="3200">
        <f t="shared" si="0"/>
        <v>15.456</v>
      </c>
      <c r="G658">
        <f t="shared" si="2"/>
        <v>13570</v>
      </c>
      <c r="H658" s="3200">
        <f t="shared" si="1"/>
        <v>14.981279999999998</v>
      </c>
    </row>
    <row r="659" spans="1:8" s="3205" customFormat="1">
      <c r="A659" s="3201">
        <v>657</v>
      </c>
      <c r="B659" s="3202" t="s">
        <v>4008</v>
      </c>
      <c r="C659" s="3203">
        <v>13.96</v>
      </c>
      <c r="D659" s="3204" t="s">
        <v>4010</v>
      </c>
      <c r="E659" s="3205">
        <v>14000</v>
      </c>
      <c r="F659" s="3206">
        <f t="shared" si="0"/>
        <v>19.544</v>
      </c>
      <c r="G659" s="3205">
        <f t="shared" si="2"/>
        <v>13570</v>
      </c>
      <c r="H659" s="3206">
        <f t="shared" si="1"/>
        <v>18.943720000000003</v>
      </c>
    </row>
    <row r="660" spans="1:8">
      <c r="A660" s="3184">
        <v>658</v>
      </c>
      <c r="B660" s="3192" t="s">
        <v>4008</v>
      </c>
      <c r="C660" s="3189">
        <v>11.8</v>
      </c>
      <c r="D660" s="3187" t="s">
        <v>4010</v>
      </c>
      <c r="E660">
        <v>14000</v>
      </c>
      <c r="F660" s="3200">
        <f t="shared" si="0"/>
        <v>16.52</v>
      </c>
      <c r="G660">
        <f t="shared" si="2"/>
        <v>13570</v>
      </c>
      <c r="H660" s="3200">
        <f t="shared" si="1"/>
        <v>16.012599999999999</v>
      </c>
    </row>
    <row r="661" spans="1:8">
      <c r="A661" s="3184">
        <v>659</v>
      </c>
      <c r="B661" s="3192" t="s">
        <v>4008</v>
      </c>
      <c r="C661" s="3189">
        <v>11.04</v>
      </c>
      <c r="D661" s="3187" t="s">
        <v>4010</v>
      </c>
      <c r="E661">
        <v>14000</v>
      </c>
      <c r="F661" s="3200">
        <f t="shared" si="0"/>
        <v>15.456</v>
      </c>
      <c r="G661">
        <f t="shared" si="2"/>
        <v>13570</v>
      </c>
      <c r="H661" s="3200">
        <f t="shared" si="1"/>
        <v>14.981279999999998</v>
      </c>
    </row>
    <row r="662" spans="1:8">
      <c r="A662" s="3184">
        <v>660</v>
      </c>
      <c r="B662" s="3192" t="s">
        <v>4008</v>
      </c>
      <c r="C662" s="3189">
        <v>8.42</v>
      </c>
      <c r="D662" s="3187" t="s">
        <v>4010</v>
      </c>
      <c r="E662">
        <v>14000</v>
      </c>
      <c r="F662" s="3200">
        <f t="shared" si="0"/>
        <v>11.788</v>
      </c>
      <c r="G662">
        <f t="shared" si="2"/>
        <v>13570</v>
      </c>
      <c r="H662" s="3200">
        <f t="shared" si="1"/>
        <v>11.425939999999999</v>
      </c>
    </row>
    <row r="663" spans="1:8">
      <c r="A663" s="3184">
        <v>661</v>
      </c>
      <c r="B663" s="3192" t="s">
        <v>4008</v>
      </c>
      <c r="C663" s="3189">
        <v>9.6199999999999992</v>
      </c>
      <c r="D663" s="3187" t="s">
        <v>4010</v>
      </c>
      <c r="E663">
        <v>14000</v>
      </c>
      <c r="F663" s="3200">
        <f t="shared" si="0"/>
        <v>13.468</v>
      </c>
      <c r="G663">
        <f t="shared" si="2"/>
        <v>13570</v>
      </c>
      <c r="H663" s="3200">
        <f t="shared" si="1"/>
        <v>13.05434</v>
      </c>
    </row>
    <row r="664" spans="1:8">
      <c r="A664" s="3184">
        <v>662</v>
      </c>
      <c r="B664" s="3192" t="s">
        <v>4008</v>
      </c>
      <c r="C664" s="3189">
        <v>10.62</v>
      </c>
      <c r="D664" s="3187" t="s">
        <v>4010</v>
      </c>
      <c r="E664">
        <v>14000</v>
      </c>
      <c r="F664" s="3200">
        <f t="shared" si="0"/>
        <v>14.868</v>
      </c>
      <c r="G664">
        <f t="shared" si="2"/>
        <v>13570</v>
      </c>
      <c r="H664" s="3200">
        <f t="shared" si="1"/>
        <v>14.411339999999999</v>
      </c>
    </row>
    <row r="665" spans="1:8">
      <c r="A665" s="3184">
        <v>663</v>
      </c>
      <c r="B665" s="3192" t="s">
        <v>4008</v>
      </c>
      <c r="C665" s="3189">
        <v>9.52</v>
      </c>
      <c r="D665" s="3187" t="s">
        <v>4010</v>
      </c>
      <c r="E665">
        <v>14000</v>
      </c>
      <c r="F665" s="3200">
        <f t="shared" si="0"/>
        <v>13.327999999999999</v>
      </c>
      <c r="G665">
        <f t="shared" si="2"/>
        <v>13570</v>
      </c>
      <c r="H665" s="3200">
        <f t="shared" si="1"/>
        <v>12.91864</v>
      </c>
    </row>
    <row r="666" spans="1:8">
      <c r="A666" s="3184">
        <v>664</v>
      </c>
      <c r="B666" s="3192" t="s">
        <v>4008</v>
      </c>
      <c r="C666" s="3189">
        <v>9.52</v>
      </c>
      <c r="D666" s="3187" t="s">
        <v>4010</v>
      </c>
      <c r="E666">
        <v>14000</v>
      </c>
      <c r="F666" s="3200">
        <f t="shared" si="0"/>
        <v>13.327999999999999</v>
      </c>
      <c r="G666">
        <f t="shared" si="2"/>
        <v>13570</v>
      </c>
      <c r="H666" s="3200">
        <f t="shared" si="1"/>
        <v>12.91864</v>
      </c>
    </row>
    <row r="667" spans="1:8" s="3205" customFormat="1">
      <c r="A667" s="3201">
        <v>665</v>
      </c>
      <c r="B667" s="3202" t="s">
        <v>4009</v>
      </c>
      <c r="C667" s="3203">
        <v>14.47</v>
      </c>
      <c r="D667" s="3204" t="s">
        <v>4010</v>
      </c>
      <c r="E667" s="3205">
        <v>14000</v>
      </c>
      <c r="F667" s="3206">
        <f t="shared" si="0"/>
        <v>20.257999999999999</v>
      </c>
      <c r="G667" s="3205">
        <f t="shared" si="2"/>
        <v>13570</v>
      </c>
      <c r="H667" s="3206">
        <f t="shared" si="1"/>
        <v>19.63579</v>
      </c>
    </row>
    <row r="668" spans="1:8">
      <c r="A668" s="3184">
        <v>666</v>
      </c>
      <c r="B668" s="3192" t="s">
        <v>4008</v>
      </c>
      <c r="C668" s="3189">
        <v>10.41</v>
      </c>
      <c r="D668" s="3187" t="s">
        <v>4010</v>
      </c>
      <c r="E668">
        <v>14000</v>
      </c>
      <c r="F668" s="3200">
        <f t="shared" si="0"/>
        <v>14.574</v>
      </c>
      <c r="G668">
        <f t="shared" si="2"/>
        <v>13570</v>
      </c>
      <c r="H668" s="3200">
        <f t="shared" si="1"/>
        <v>14.126370000000001</v>
      </c>
    </row>
    <row r="669" spans="1:8">
      <c r="A669" s="3184">
        <v>667</v>
      </c>
      <c r="B669" s="3192" t="s">
        <v>4008</v>
      </c>
      <c r="C669" s="3189">
        <v>10.41</v>
      </c>
      <c r="D669" s="3187" t="s">
        <v>4010</v>
      </c>
      <c r="E669">
        <v>14000</v>
      </c>
      <c r="F669" s="3200">
        <f t="shared" si="0"/>
        <v>14.574</v>
      </c>
      <c r="G669">
        <f t="shared" si="2"/>
        <v>13570</v>
      </c>
      <c r="H669" s="3200">
        <f t="shared" si="1"/>
        <v>14.126370000000001</v>
      </c>
    </row>
    <row r="670" spans="1:8" s="3205" customFormat="1">
      <c r="A670" s="3201">
        <v>668</v>
      </c>
      <c r="B670" s="3202" t="s">
        <v>4008</v>
      </c>
      <c r="C670" s="3203">
        <v>13.27</v>
      </c>
      <c r="D670" s="3204" t="s">
        <v>4010</v>
      </c>
      <c r="E670" s="3205">
        <v>14000</v>
      </c>
      <c r="F670" s="3206">
        <f t="shared" si="0"/>
        <v>18.577999999999999</v>
      </c>
      <c r="G670" s="3205">
        <f t="shared" si="2"/>
        <v>13570</v>
      </c>
      <c r="H670" s="3206">
        <f t="shared" si="1"/>
        <v>18.007390000000001</v>
      </c>
    </row>
    <row r="671" spans="1:8">
      <c r="A671" s="3184">
        <v>669</v>
      </c>
      <c r="B671" s="3192" t="s">
        <v>4008</v>
      </c>
      <c r="C671" s="3189">
        <v>11.26</v>
      </c>
      <c r="D671" s="3187" t="s">
        <v>4010</v>
      </c>
      <c r="E671">
        <v>14000</v>
      </c>
      <c r="F671" s="3200">
        <f t="shared" si="0"/>
        <v>15.763999999999999</v>
      </c>
      <c r="G671">
        <f t="shared" si="2"/>
        <v>13570</v>
      </c>
      <c r="H671" s="3200">
        <f t="shared" si="1"/>
        <v>15.279820000000001</v>
      </c>
    </row>
    <row r="672" spans="1:8">
      <c r="A672" s="3184">
        <v>670</v>
      </c>
      <c r="B672" s="3192" t="s">
        <v>4008</v>
      </c>
      <c r="C672" s="3189">
        <v>11.26</v>
      </c>
      <c r="D672" s="3187" t="s">
        <v>4010</v>
      </c>
      <c r="E672">
        <v>14000</v>
      </c>
      <c r="F672" s="3200">
        <f t="shared" ref="F672:F677" si="3">E672*C672/10000</f>
        <v>15.763999999999999</v>
      </c>
      <c r="G672">
        <f t="shared" si="2"/>
        <v>13570</v>
      </c>
      <c r="H672" s="3200">
        <f t="shared" ref="H672:H677" si="4">G672*C672/10000</f>
        <v>15.279820000000001</v>
      </c>
    </row>
    <row r="673" spans="1:11" s="3205" customFormat="1">
      <c r="A673" s="3201">
        <v>671</v>
      </c>
      <c r="B673" s="3202" t="s">
        <v>4008</v>
      </c>
      <c r="C673" s="3203">
        <v>14.73</v>
      </c>
      <c r="D673" s="3204" t="s">
        <v>4010</v>
      </c>
      <c r="E673" s="3205">
        <v>14000</v>
      </c>
      <c r="F673" s="3206">
        <f t="shared" si="3"/>
        <v>20.622</v>
      </c>
      <c r="G673" s="3205">
        <f t="shared" ref="G673:G677" si="5">G672</f>
        <v>13570</v>
      </c>
      <c r="H673" s="3206">
        <f t="shared" si="4"/>
        <v>19.988610000000001</v>
      </c>
    </row>
    <row r="674" spans="1:11" s="3205" customFormat="1">
      <c r="A674" s="3201">
        <v>672</v>
      </c>
      <c r="B674" s="3202" t="s">
        <v>4008</v>
      </c>
      <c r="C674" s="3203">
        <v>12.57</v>
      </c>
      <c r="D674" s="3204" t="s">
        <v>4010</v>
      </c>
      <c r="E674" s="3205">
        <v>14000</v>
      </c>
      <c r="F674" s="3206">
        <f t="shared" si="3"/>
        <v>17.597999999999999</v>
      </c>
      <c r="G674" s="3205">
        <f t="shared" si="5"/>
        <v>13570</v>
      </c>
      <c r="H674" s="3206">
        <f t="shared" si="4"/>
        <v>17.057489999999998</v>
      </c>
    </row>
    <row r="675" spans="1:11">
      <c r="A675" s="3184">
        <v>673</v>
      </c>
      <c r="B675" s="3192" t="s">
        <v>4008</v>
      </c>
      <c r="C675" s="3189">
        <v>11.26</v>
      </c>
      <c r="D675" s="3187" t="s">
        <v>4010</v>
      </c>
      <c r="E675">
        <v>14000</v>
      </c>
      <c r="F675" s="3200">
        <f t="shared" si="3"/>
        <v>15.763999999999999</v>
      </c>
      <c r="G675">
        <f t="shared" si="5"/>
        <v>13570</v>
      </c>
      <c r="H675" s="3200">
        <f t="shared" si="4"/>
        <v>15.279820000000001</v>
      </c>
    </row>
    <row r="676" spans="1:11" s="3205" customFormat="1">
      <c r="A676" s="3201">
        <v>674</v>
      </c>
      <c r="B676" s="3202" t="s">
        <v>4008</v>
      </c>
      <c r="C676" s="3203">
        <v>13.57</v>
      </c>
      <c r="D676" s="3204" t="s">
        <v>4010</v>
      </c>
      <c r="E676" s="3205">
        <v>14000</v>
      </c>
      <c r="F676" s="3206">
        <f t="shared" si="3"/>
        <v>18.998000000000001</v>
      </c>
      <c r="G676" s="3205">
        <f t="shared" si="5"/>
        <v>13570</v>
      </c>
      <c r="H676" s="3206">
        <f t="shared" si="4"/>
        <v>18.414490000000001</v>
      </c>
    </row>
    <row r="677" spans="1:11" s="3205" customFormat="1">
      <c r="A677" s="3201">
        <v>675</v>
      </c>
      <c r="B677" s="3202" t="s">
        <v>4008</v>
      </c>
      <c r="C677" s="3203">
        <v>12.98</v>
      </c>
      <c r="D677" s="3204" t="s">
        <v>4010</v>
      </c>
      <c r="E677" s="3205">
        <v>14000</v>
      </c>
      <c r="F677" s="3206">
        <f t="shared" si="3"/>
        <v>18.172000000000001</v>
      </c>
      <c r="G677" s="3205">
        <f t="shared" si="5"/>
        <v>13570</v>
      </c>
      <c r="H677" s="3206">
        <f t="shared" si="4"/>
        <v>17.613859999999999</v>
      </c>
    </row>
    <row r="678" spans="1:11">
      <c r="A678" s="3300" t="s">
        <v>4011</v>
      </c>
      <c r="B678" s="3301"/>
      <c r="C678" s="3189">
        <f>SUM(C607:C677)</f>
        <v>851.55000000000007</v>
      </c>
      <c r="D678" s="3187" t="s">
        <v>4004</v>
      </c>
    </row>
    <row r="679" spans="1:11">
      <c r="A679" s="3184">
        <v>676</v>
      </c>
      <c r="B679" s="3192">
        <v>-1001</v>
      </c>
      <c r="C679" s="3189">
        <v>32.61</v>
      </c>
      <c r="D679" s="3187" t="s">
        <v>4007</v>
      </c>
      <c r="E679">
        <f>'比较法-车位'!B3</f>
        <v>4981</v>
      </c>
      <c r="F679" s="3206">
        <f>E679*C679</f>
        <v>162430.41</v>
      </c>
      <c r="G679" s="3205">
        <f>'比较法-车位'!M6</f>
        <v>16.381909547738694</v>
      </c>
    </row>
    <row r="680" spans="1:11">
      <c r="A680" s="3184">
        <v>677</v>
      </c>
      <c r="B680" s="3192">
        <v>-1002</v>
      </c>
      <c r="C680" s="3189">
        <v>52.86</v>
      </c>
      <c r="D680" s="3187" t="s">
        <v>4007</v>
      </c>
      <c r="E680">
        <f>E679</f>
        <v>4981</v>
      </c>
      <c r="F680" s="3206">
        <f t="shared" ref="F680:F743" si="6">E680*C680</f>
        <v>263295.65999999997</v>
      </c>
      <c r="G680">
        <f>G679</f>
        <v>16.381909547738694</v>
      </c>
    </row>
    <row r="681" spans="1:11">
      <c r="A681" s="3184">
        <v>678</v>
      </c>
      <c r="B681" s="3192">
        <v>-1003</v>
      </c>
      <c r="C681" s="3189">
        <v>32.61</v>
      </c>
      <c r="D681" s="3187" t="s">
        <v>4007</v>
      </c>
      <c r="E681">
        <f t="shared" ref="E681:E744" si="7">E680</f>
        <v>4981</v>
      </c>
      <c r="F681" s="3206">
        <f t="shared" si="6"/>
        <v>162430.41</v>
      </c>
      <c r="G681">
        <f t="shared" ref="G681:G744" si="8">G680</f>
        <v>16.381909547738694</v>
      </c>
    </row>
    <row r="682" spans="1:11">
      <c r="A682" s="3184">
        <v>679</v>
      </c>
      <c r="B682" s="3192">
        <v>-1004</v>
      </c>
      <c r="C682" s="3189">
        <v>32.61</v>
      </c>
      <c r="D682" s="3187" t="s">
        <v>4007</v>
      </c>
      <c r="E682">
        <f t="shared" si="7"/>
        <v>4981</v>
      </c>
      <c r="F682" s="3206">
        <f t="shared" si="6"/>
        <v>162430.41</v>
      </c>
      <c r="G682">
        <f t="shared" si="8"/>
        <v>16.381909547738694</v>
      </c>
      <c r="J682" s="1402" t="s">
        <v>4332</v>
      </c>
    </row>
    <row r="683" spans="1:11">
      <c r="A683" s="3184">
        <v>680</v>
      </c>
      <c r="B683" s="3192">
        <v>-1005</v>
      </c>
      <c r="C683" s="3189">
        <v>32.61</v>
      </c>
      <c r="D683" s="3187" t="s">
        <v>4007</v>
      </c>
      <c r="E683">
        <f t="shared" si="7"/>
        <v>4981</v>
      </c>
      <c r="F683" s="3206">
        <f t="shared" si="6"/>
        <v>162430.41</v>
      </c>
      <c r="G683">
        <f t="shared" si="8"/>
        <v>16.381909547738694</v>
      </c>
      <c r="J683" t="s">
        <v>4319</v>
      </c>
      <c r="K683" s="1402" t="s">
        <v>4328</v>
      </c>
    </row>
    <row r="684" spans="1:11">
      <c r="A684" s="3184">
        <v>681</v>
      </c>
      <c r="B684" s="3192">
        <v>-1006</v>
      </c>
      <c r="C684" s="3189">
        <v>32.61</v>
      </c>
      <c r="D684" s="3187" t="s">
        <v>4007</v>
      </c>
      <c r="E684">
        <f t="shared" si="7"/>
        <v>4981</v>
      </c>
      <c r="F684" s="3206">
        <f t="shared" si="6"/>
        <v>162430.41</v>
      </c>
      <c r="G684">
        <f t="shared" si="8"/>
        <v>16.381909547738694</v>
      </c>
      <c r="J684" s="1402" t="s">
        <v>4326</v>
      </c>
      <c r="K684" s="1402" t="s">
        <v>4327</v>
      </c>
    </row>
    <row r="685" spans="1:11">
      <c r="A685" s="3184">
        <v>682</v>
      </c>
      <c r="B685" s="3192">
        <v>-1007</v>
      </c>
      <c r="C685" s="3189">
        <v>32.61</v>
      </c>
      <c r="D685" s="3187" t="s">
        <v>4007</v>
      </c>
      <c r="E685">
        <f t="shared" si="7"/>
        <v>4981</v>
      </c>
      <c r="F685" s="3206">
        <f t="shared" si="6"/>
        <v>162430.41</v>
      </c>
      <c r="G685">
        <f t="shared" si="8"/>
        <v>16.381909547738694</v>
      </c>
      <c r="J685" s="1402" t="s">
        <v>4329</v>
      </c>
      <c r="K685" s="1402" t="s">
        <v>4330</v>
      </c>
    </row>
    <row r="686" spans="1:11">
      <c r="A686" s="3184">
        <v>683</v>
      </c>
      <c r="B686" s="3192">
        <v>-1009</v>
      </c>
      <c r="C686" s="3189">
        <v>32.61</v>
      </c>
      <c r="D686" s="3187" t="s">
        <v>4007</v>
      </c>
      <c r="E686">
        <f t="shared" si="7"/>
        <v>4981</v>
      </c>
      <c r="F686" s="3206">
        <f t="shared" si="6"/>
        <v>162430.41</v>
      </c>
      <c r="G686">
        <f t="shared" si="8"/>
        <v>16.381909547738694</v>
      </c>
    </row>
    <row r="687" spans="1:11">
      <c r="A687" s="3184">
        <v>684</v>
      </c>
      <c r="B687" s="3192">
        <v>-1010</v>
      </c>
      <c r="C687" s="3189">
        <v>32.61</v>
      </c>
      <c r="D687" s="3187" t="s">
        <v>4007</v>
      </c>
      <c r="E687">
        <f t="shared" si="7"/>
        <v>4981</v>
      </c>
      <c r="F687" s="3206">
        <f t="shared" si="6"/>
        <v>162430.41</v>
      </c>
      <c r="G687">
        <f t="shared" si="8"/>
        <v>16.381909547738694</v>
      </c>
      <c r="J687" s="1402" t="s">
        <v>4333</v>
      </c>
    </row>
    <row r="688" spans="1:11">
      <c r="A688" s="3184">
        <v>685</v>
      </c>
      <c r="B688" s="3192">
        <v>-1011</v>
      </c>
      <c r="C688" s="3189">
        <v>32.61</v>
      </c>
      <c r="D688" s="3187" t="s">
        <v>4007</v>
      </c>
      <c r="E688">
        <f t="shared" si="7"/>
        <v>4981</v>
      </c>
      <c r="F688" s="3206">
        <f t="shared" si="6"/>
        <v>162430.41</v>
      </c>
      <c r="G688">
        <f t="shared" si="8"/>
        <v>16.381909547738694</v>
      </c>
      <c r="J688" s="1402" t="s">
        <v>4331</v>
      </c>
      <c r="K688" s="1402" t="s">
        <v>4334</v>
      </c>
    </row>
    <row r="689" spans="1:11">
      <c r="A689" s="3184">
        <v>686</v>
      </c>
      <c r="B689" s="3192">
        <v>-1012</v>
      </c>
      <c r="C689" s="3189">
        <v>32.61</v>
      </c>
      <c r="D689" s="3187" t="s">
        <v>4007</v>
      </c>
      <c r="E689">
        <f t="shared" si="7"/>
        <v>4981</v>
      </c>
      <c r="F689" s="3206">
        <f t="shared" si="6"/>
        <v>162430.41</v>
      </c>
      <c r="G689">
        <f t="shared" si="8"/>
        <v>16.381909547738694</v>
      </c>
      <c r="J689" s="1402" t="s">
        <v>4335</v>
      </c>
      <c r="K689" s="1402" t="s">
        <v>4336</v>
      </c>
    </row>
    <row r="690" spans="1:11">
      <c r="A690" s="3184">
        <v>687</v>
      </c>
      <c r="B690" s="3192">
        <v>-1013</v>
      </c>
      <c r="C690" s="3189">
        <v>32.61</v>
      </c>
      <c r="D690" s="3187" t="s">
        <v>4007</v>
      </c>
      <c r="E690">
        <f t="shared" si="7"/>
        <v>4981</v>
      </c>
      <c r="F690" s="3206">
        <f t="shared" si="6"/>
        <v>162430.41</v>
      </c>
      <c r="G690">
        <f t="shared" si="8"/>
        <v>16.381909547738694</v>
      </c>
      <c r="J690" s="1402" t="s">
        <v>4337</v>
      </c>
      <c r="K690" s="1402" t="s">
        <v>4338</v>
      </c>
    </row>
    <row r="691" spans="1:11">
      <c r="A691" s="3184">
        <v>688</v>
      </c>
      <c r="B691" s="3192">
        <v>-1014</v>
      </c>
      <c r="C691" s="3189">
        <v>32.61</v>
      </c>
      <c r="D691" s="3187" t="s">
        <v>4007</v>
      </c>
      <c r="E691">
        <f t="shared" si="7"/>
        <v>4981</v>
      </c>
      <c r="F691" s="3206">
        <f t="shared" si="6"/>
        <v>162430.41</v>
      </c>
      <c r="G691">
        <f t="shared" si="8"/>
        <v>16.381909547738694</v>
      </c>
    </row>
    <row r="692" spans="1:11">
      <c r="A692" s="3184">
        <v>689</v>
      </c>
      <c r="B692" s="3192">
        <v>-1015</v>
      </c>
      <c r="C692" s="3189">
        <v>32.61</v>
      </c>
      <c r="D692" s="3187" t="s">
        <v>4007</v>
      </c>
      <c r="E692">
        <f t="shared" si="7"/>
        <v>4981</v>
      </c>
      <c r="F692" s="3206">
        <f t="shared" si="6"/>
        <v>162430.41</v>
      </c>
      <c r="G692">
        <f t="shared" si="8"/>
        <v>16.381909547738694</v>
      </c>
    </row>
    <row r="693" spans="1:11">
      <c r="A693" s="3184">
        <v>690</v>
      </c>
      <c r="B693" s="3192">
        <v>-1016</v>
      </c>
      <c r="C693" s="3189">
        <v>32.61</v>
      </c>
      <c r="D693" s="3187" t="s">
        <v>4007</v>
      </c>
      <c r="E693">
        <f t="shared" si="7"/>
        <v>4981</v>
      </c>
      <c r="F693" s="3206">
        <f t="shared" si="6"/>
        <v>162430.41</v>
      </c>
      <c r="G693">
        <f t="shared" si="8"/>
        <v>16.381909547738694</v>
      </c>
    </row>
    <row r="694" spans="1:11">
      <c r="A694" s="3184">
        <v>691</v>
      </c>
      <c r="B694" s="3192">
        <v>-1017</v>
      </c>
      <c r="C694" s="3189">
        <v>32.61</v>
      </c>
      <c r="D694" s="3187" t="s">
        <v>4007</v>
      </c>
      <c r="E694">
        <f t="shared" si="7"/>
        <v>4981</v>
      </c>
      <c r="F694" s="3206">
        <f t="shared" si="6"/>
        <v>162430.41</v>
      </c>
      <c r="G694">
        <f t="shared" si="8"/>
        <v>16.381909547738694</v>
      </c>
    </row>
    <row r="695" spans="1:11">
      <c r="A695" s="3184">
        <v>692</v>
      </c>
      <c r="B695" s="3192">
        <v>-1018</v>
      </c>
      <c r="C695" s="3189">
        <v>32.61</v>
      </c>
      <c r="D695" s="3187" t="s">
        <v>4007</v>
      </c>
      <c r="E695">
        <f t="shared" si="7"/>
        <v>4981</v>
      </c>
      <c r="F695" s="3206">
        <f t="shared" si="6"/>
        <v>162430.41</v>
      </c>
      <c r="G695">
        <f t="shared" si="8"/>
        <v>16.381909547738694</v>
      </c>
    </row>
    <row r="696" spans="1:11">
      <c r="A696" s="3184">
        <v>693</v>
      </c>
      <c r="B696" s="3192">
        <v>-1019</v>
      </c>
      <c r="C696" s="3189">
        <v>52.86</v>
      </c>
      <c r="D696" s="3187" t="s">
        <v>4007</v>
      </c>
      <c r="E696">
        <f t="shared" si="7"/>
        <v>4981</v>
      </c>
      <c r="F696" s="3206">
        <f t="shared" si="6"/>
        <v>263295.65999999997</v>
      </c>
      <c r="G696">
        <f t="shared" si="8"/>
        <v>16.381909547738694</v>
      </c>
    </row>
    <row r="697" spans="1:11">
      <c r="A697" s="3184">
        <v>694</v>
      </c>
      <c r="B697" s="3192">
        <v>-1020</v>
      </c>
      <c r="C697" s="3189">
        <v>52.86</v>
      </c>
      <c r="D697" s="3187" t="s">
        <v>4007</v>
      </c>
      <c r="E697">
        <f t="shared" si="7"/>
        <v>4981</v>
      </c>
      <c r="F697" s="3206">
        <f t="shared" si="6"/>
        <v>263295.65999999997</v>
      </c>
      <c r="G697">
        <f t="shared" si="8"/>
        <v>16.381909547738694</v>
      </c>
    </row>
    <row r="698" spans="1:11">
      <c r="A698" s="3184">
        <v>695</v>
      </c>
      <c r="B698" s="3192">
        <v>-1021</v>
      </c>
      <c r="C698" s="3189">
        <v>32.61</v>
      </c>
      <c r="D698" s="3187" t="s">
        <v>4007</v>
      </c>
      <c r="E698">
        <f t="shared" si="7"/>
        <v>4981</v>
      </c>
      <c r="F698" s="3206">
        <f t="shared" si="6"/>
        <v>162430.41</v>
      </c>
      <c r="G698">
        <f t="shared" si="8"/>
        <v>16.381909547738694</v>
      </c>
    </row>
    <row r="699" spans="1:11">
      <c r="A699" s="3184">
        <v>696</v>
      </c>
      <c r="B699" s="3192">
        <v>-1022</v>
      </c>
      <c r="C699" s="3189">
        <v>32.61</v>
      </c>
      <c r="D699" s="3187" t="s">
        <v>4007</v>
      </c>
      <c r="E699">
        <f t="shared" si="7"/>
        <v>4981</v>
      </c>
      <c r="F699" s="3206">
        <f t="shared" si="6"/>
        <v>162430.41</v>
      </c>
      <c r="G699">
        <f t="shared" si="8"/>
        <v>16.381909547738694</v>
      </c>
    </row>
    <row r="700" spans="1:11">
      <c r="A700" s="3184">
        <v>697</v>
      </c>
      <c r="B700" s="3192">
        <v>-1023</v>
      </c>
      <c r="C700" s="3189">
        <v>32.61</v>
      </c>
      <c r="D700" s="3187" t="s">
        <v>4007</v>
      </c>
      <c r="E700">
        <f t="shared" si="7"/>
        <v>4981</v>
      </c>
      <c r="F700" s="3206">
        <f t="shared" si="6"/>
        <v>162430.41</v>
      </c>
      <c r="G700">
        <f t="shared" si="8"/>
        <v>16.381909547738694</v>
      </c>
    </row>
    <row r="701" spans="1:11">
      <c r="A701" s="3184">
        <v>698</v>
      </c>
      <c r="B701" s="3192">
        <v>-1024</v>
      </c>
      <c r="C701" s="3189">
        <v>32.61</v>
      </c>
      <c r="D701" s="3187" t="s">
        <v>4007</v>
      </c>
      <c r="E701">
        <f t="shared" si="7"/>
        <v>4981</v>
      </c>
      <c r="F701" s="3206">
        <f t="shared" si="6"/>
        <v>162430.41</v>
      </c>
      <c r="G701">
        <f t="shared" si="8"/>
        <v>16.381909547738694</v>
      </c>
    </row>
    <row r="702" spans="1:11">
      <c r="A702" s="3184">
        <v>699</v>
      </c>
      <c r="B702" s="3192">
        <v>-1025</v>
      </c>
      <c r="C702" s="3189">
        <v>32.61</v>
      </c>
      <c r="D702" s="3187" t="s">
        <v>4007</v>
      </c>
      <c r="E702">
        <f t="shared" si="7"/>
        <v>4981</v>
      </c>
      <c r="F702" s="3206">
        <f t="shared" si="6"/>
        <v>162430.41</v>
      </c>
      <c r="G702">
        <f t="shared" si="8"/>
        <v>16.381909547738694</v>
      </c>
    </row>
    <row r="703" spans="1:11">
      <c r="A703" s="3184">
        <v>700</v>
      </c>
      <c r="B703" s="3192">
        <v>-1026</v>
      </c>
      <c r="C703" s="3189">
        <v>32.61</v>
      </c>
      <c r="D703" s="3187" t="s">
        <v>4007</v>
      </c>
      <c r="E703">
        <f t="shared" si="7"/>
        <v>4981</v>
      </c>
      <c r="F703" s="3206">
        <f t="shared" si="6"/>
        <v>162430.41</v>
      </c>
      <c r="G703">
        <f t="shared" si="8"/>
        <v>16.381909547738694</v>
      </c>
    </row>
    <row r="704" spans="1:11">
      <c r="A704" s="3184">
        <v>701</v>
      </c>
      <c r="B704" s="3192">
        <v>-1027</v>
      </c>
      <c r="C704" s="3189">
        <v>32.61</v>
      </c>
      <c r="D704" s="3187" t="s">
        <v>4007</v>
      </c>
      <c r="E704">
        <f t="shared" si="7"/>
        <v>4981</v>
      </c>
      <c r="F704" s="3206">
        <f t="shared" si="6"/>
        <v>162430.41</v>
      </c>
      <c r="G704">
        <f t="shared" si="8"/>
        <v>16.381909547738694</v>
      </c>
    </row>
    <row r="705" spans="1:7">
      <c r="A705" s="3184">
        <v>702</v>
      </c>
      <c r="B705" s="3192">
        <v>-1028</v>
      </c>
      <c r="C705" s="3189">
        <v>32.61</v>
      </c>
      <c r="D705" s="3187" t="s">
        <v>4007</v>
      </c>
      <c r="E705">
        <f t="shared" si="7"/>
        <v>4981</v>
      </c>
      <c r="F705" s="3206">
        <f t="shared" si="6"/>
        <v>162430.41</v>
      </c>
      <c r="G705">
        <f t="shared" si="8"/>
        <v>16.381909547738694</v>
      </c>
    </row>
    <row r="706" spans="1:7">
      <c r="A706" s="3184">
        <v>703</v>
      </c>
      <c r="B706" s="3192">
        <v>-1029</v>
      </c>
      <c r="C706" s="3189">
        <v>32.61</v>
      </c>
      <c r="D706" s="3187" t="s">
        <v>4007</v>
      </c>
      <c r="E706">
        <f t="shared" si="7"/>
        <v>4981</v>
      </c>
      <c r="F706" s="3206">
        <f t="shared" si="6"/>
        <v>162430.41</v>
      </c>
      <c r="G706">
        <f t="shared" si="8"/>
        <v>16.381909547738694</v>
      </c>
    </row>
    <row r="707" spans="1:7">
      <c r="A707" s="3184">
        <v>704</v>
      </c>
      <c r="B707" s="3192">
        <v>-1030</v>
      </c>
      <c r="C707" s="3189">
        <v>32.61</v>
      </c>
      <c r="D707" s="3187" t="s">
        <v>4007</v>
      </c>
      <c r="E707">
        <f t="shared" si="7"/>
        <v>4981</v>
      </c>
      <c r="F707" s="3206">
        <f t="shared" si="6"/>
        <v>162430.41</v>
      </c>
      <c r="G707">
        <f t="shared" si="8"/>
        <v>16.381909547738694</v>
      </c>
    </row>
    <row r="708" spans="1:7">
      <c r="A708" s="3184">
        <v>705</v>
      </c>
      <c r="B708" s="3192">
        <v>-1031</v>
      </c>
      <c r="C708" s="3189">
        <v>32.61</v>
      </c>
      <c r="D708" s="3187" t="s">
        <v>4007</v>
      </c>
      <c r="E708">
        <f t="shared" si="7"/>
        <v>4981</v>
      </c>
      <c r="F708" s="3206">
        <f t="shared" si="6"/>
        <v>162430.41</v>
      </c>
      <c r="G708">
        <f t="shared" si="8"/>
        <v>16.381909547738694</v>
      </c>
    </row>
    <row r="709" spans="1:7">
      <c r="A709" s="3184">
        <v>706</v>
      </c>
      <c r="B709" s="3192">
        <v>-1032</v>
      </c>
      <c r="C709" s="3189">
        <v>32.61</v>
      </c>
      <c r="D709" s="3187" t="s">
        <v>4007</v>
      </c>
      <c r="E709">
        <f t="shared" si="7"/>
        <v>4981</v>
      </c>
      <c r="F709" s="3206">
        <f t="shared" si="6"/>
        <v>162430.41</v>
      </c>
      <c r="G709">
        <f t="shared" si="8"/>
        <v>16.381909547738694</v>
      </c>
    </row>
    <row r="710" spans="1:7">
      <c r="A710" s="3184">
        <v>707</v>
      </c>
      <c r="B710" s="3192">
        <v>-1033</v>
      </c>
      <c r="C710" s="3189">
        <v>32.61</v>
      </c>
      <c r="D710" s="3187" t="s">
        <v>4007</v>
      </c>
      <c r="E710">
        <f t="shared" si="7"/>
        <v>4981</v>
      </c>
      <c r="F710" s="3206">
        <f t="shared" si="6"/>
        <v>162430.41</v>
      </c>
      <c r="G710">
        <f t="shared" si="8"/>
        <v>16.381909547738694</v>
      </c>
    </row>
    <row r="711" spans="1:7">
      <c r="A711" s="3184">
        <v>708</v>
      </c>
      <c r="B711" s="3192">
        <v>-1034</v>
      </c>
      <c r="C711" s="3189">
        <v>52.86</v>
      </c>
      <c r="D711" s="3187" t="s">
        <v>4007</v>
      </c>
      <c r="E711">
        <f t="shared" si="7"/>
        <v>4981</v>
      </c>
      <c r="F711" s="3206">
        <f t="shared" si="6"/>
        <v>263295.65999999997</v>
      </c>
      <c r="G711">
        <f t="shared" si="8"/>
        <v>16.381909547738694</v>
      </c>
    </row>
    <row r="712" spans="1:7">
      <c r="A712" s="3184">
        <v>709</v>
      </c>
      <c r="B712" s="3192">
        <v>-1035</v>
      </c>
      <c r="C712" s="3189">
        <v>32.61</v>
      </c>
      <c r="D712" s="3187" t="s">
        <v>4007</v>
      </c>
      <c r="E712">
        <f t="shared" si="7"/>
        <v>4981</v>
      </c>
      <c r="F712" s="3206">
        <f t="shared" si="6"/>
        <v>162430.41</v>
      </c>
      <c r="G712">
        <f t="shared" si="8"/>
        <v>16.381909547738694</v>
      </c>
    </row>
    <row r="713" spans="1:7">
      <c r="A713" s="3184">
        <v>710</v>
      </c>
      <c r="B713" s="3192">
        <v>-1036</v>
      </c>
      <c r="C713" s="3189">
        <v>32.61</v>
      </c>
      <c r="D713" s="3187" t="s">
        <v>4007</v>
      </c>
      <c r="E713">
        <f t="shared" si="7"/>
        <v>4981</v>
      </c>
      <c r="F713" s="3206">
        <f t="shared" si="6"/>
        <v>162430.41</v>
      </c>
      <c r="G713">
        <f t="shared" si="8"/>
        <v>16.381909547738694</v>
      </c>
    </row>
    <row r="714" spans="1:7">
      <c r="A714" s="3184">
        <v>711</v>
      </c>
      <c r="B714" s="3192">
        <v>-1037</v>
      </c>
      <c r="C714" s="3189">
        <v>32.61</v>
      </c>
      <c r="D714" s="3187" t="s">
        <v>4007</v>
      </c>
      <c r="E714">
        <f t="shared" si="7"/>
        <v>4981</v>
      </c>
      <c r="F714" s="3206">
        <f t="shared" si="6"/>
        <v>162430.41</v>
      </c>
      <c r="G714">
        <f t="shared" si="8"/>
        <v>16.381909547738694</v>
      </c>
    </row>
    <row r="715" spans="1:7">
      <c r="A715" s="3184">
        <v>712</v>
      </c>
      <c r="B715" s="3192">
        <v>-1038</v>
      </c>
      <c r="C715" s="3189">
        <v>32.61</v>
      </c>
      <c r="D715" s="3187" t="s">
        <v>4007</v>
      </c>
      <c r="E715">
        <f t="shared" si="7"/>
        <v>4981</v>
      </c>
      <c r="F715" s="3206">
        <f t="shared" si="6"/>
        <v>162430.41</v>
      </c>
      <c r="G715">
        <f t="shared" si="8"/>
        <v>16.381909547738694</v>
      </c>
    </row>
    <row r="716" spans="1:7">
      <c r="A716" s="3184">
        <v>713</v>
      </c>
      <c r="B716" s="3192">
        <v>-1039</v>
      </c>
      <c r="C716" s="3189">
        <v>52.86</v>
      </c>
      <c r="D716" s="3187" t="s">
        <v>4007</v>
      </c>
      <c r="E716">
        <f t="shared" si="7"/>
        <v>4981</v>
      </c>
      <c r="F716" s="3206">
        <f t="shared" si="6"/>
        <v>263295.65999999997</v>
      </c>
      <c r="G716">
        <f t="shared" si="8"/>
        <v>16.381909547738694</v>
      </c>
    </row>
    <row r="717" spans="1:7">
      <c r="A717" s="3184">
        <v>714</v>
      </c>
      <c r="B717" s="3192">
        <v>-1040</v>
      </c>
      <c r="C717" s="3189">
        <v>32.61</v>
      </c>
      <c r="D717" s="3187" t="s">
        <v>4007</v>
      </c>
      <c r="E717">
        <f t="shared" si="7"/>
        <v>4981</v>
      </c>
      <c r="F717" s="3206">
        <f t="shared" si="6"/>
        <v>162430.41</v>
      </c>
      <c r="G717">
        <f t="shared" si="8"/>
        <v>16.381909547738694</v>
      </c>
    </row>
    <row r="718" spans="1:7">
      <c r="A718" s="3184">
        <v>715</v>
      </c>
      <c r="B718" s="3192">
        <v>-1041</v>
      </c>
      <c r="C718" s="3189">
        <v>32.61</v>
      </c>
      <c r="D718" s="3187" t="s">
        <v>4007</v>
      </c>
      <c r="E718">
        <f t="shared" si="7"/>
        <v>4981</v>
      </c>
      <c r="F718" s="3206">
        <f t="shared" si="6"/>
        <v>162430.41</v>
      </c>
      <c r="G718">
        <f t="shared" si="8"/>
        <v>16.381909547738694</v>
      </c>
    </row>
    <row r="719" spans="1:7">
      <c r="A719" s="3184">
        <v>716</v>
      </c>
      <c r="B719" s="3192">
        <v>-1042</v>
      </c>
      <c r="C719" s="3189">
        <v>32.61</v>
      </c>
      <c r="D719" s="3187" t="s">
        <v>4007</v>
      </c>
      <c r="E719">
        <f t="shared" si="7"/>
        <v>4981</v>
      </c>
      <c r="F719" s="3206">
        <f t="shared" si="6"/>
        <v>162430.41</v>
      </c>
      <c r="G719">
        <f t="shared" si="8"/>
        <v>16.381909547738694</v>
      </c>
    </row>
    <row r="720" spans="1:7">
      <c r="A720" s="3184">
        <v>717</v>
      </c>
      <c r="B720" s="3192">
        <v>-1043</v>
      </c>
      <c r="C720" s="3189">
        <v>32.61</v>
      </c>
      <c r="D720" s="3187" t="s">
        <v>4007</v>
      </c>
      <c r="E720">
        <f t="shared" si="7"/>
        <v>4981</v>
      </c>
      <c r="F720" s="3206">
        <f t="shared" si="6"/>
        <v>162430.41</v>
      </c>
      <c r="G720">
        <f t="shared" si="8"/>
        <v>16.381909547738694</v>
      </c>
    </row>
    <row r="721" spans="1:7">
      <c r="A721" s="3184">
        <v>718</v>
      </c>
      <c r="B721" s="3192">
        <v>-1044</v>
      </c>
      <c r="C721" s="3189">
        <v>32.61</v>
      </c>
      <c r="D721" s="3187" t="s">
        <v>4007</v>
      </c>
      <c r="E721">
        <f t="shared" si="7"/>
        <v>4981</v>
      </c>
      <c r="F721" s="3206">
        <f t="shared" si="6"/>
        <v>162430.41</v>
      </c>
      <c r="G721">
        <f t="shared" si="8"/>
        <v>16.381909547738694</v>
      </c>
    </row>
    <row r="722" spans="1:7">
      <c r="A722" s="3184">
        <v>719</v>
      </c>
      <c r="B722" s="3192">
        <v>-1045</v>
      </c>
      <c r="C722" s="3189">
        <v>32.61</v>
      </c>
      <c r="D722" s="3187" t="s">
        <v>4007</v>
      </c>
      <c r="E722">
        <f t="shared" si="7"/>
        <v>4981</v>
      </c>
      <c r="F722" s="3206">
        <f t="shared" si="6"/>
        <v>162430.41</v>
      </c>
      <c r="G722">
        <f t="shared" si="8"/>
        <v>16.381909547738694</v>
      </c>
    </row>
    <row r="723" spans="1:7">
      <c r="A723" s="3184">
        <v>720</v>
      </c>
      <c r="B723" s="3192">
        <v>-1046</v>
      </c>
      <c r="C723" s="3189">
        <v>32.61</v>
      </c>
      <c r="D723" s="3187" t="s">
        <v>4007</v>
      </c>
      <c r="E723">
        <f t="shared" si="7"/>
        <v>4981</v>
      </c>
      <c r="F723" s="3206">
        <f t="shared" si="6"/>
        <v>162430.41</v>
      </c>
      <c r="G723">
        <f t="shared" si="8"/>
        <v>16.381909547738694</v>
      </c>
    </row>
    <row r="724" spans="1:7">
      <c r="A724" s="3184">
        <v>721</v>
      </c>
      <c r="B724" s="3192">
        <v>-1047</v>
      </c>
      <c r="C724" s="3189">
        <v>32.61</v>
      </c>
      <c r="D724" s="3187" t="s">
        <v>4007</v>
      </c>
      <c r="E724">
        <f t="shared" si="7"/>
        <v>4981</v>
      </c>
      <c r="F724" s="3206">
        <f t="shared" si="6"/>
        <v>162430.41</v>
      </c>
      <c r="G724">
        <f t="shared" si="8"/>
        <v>16.381909547738694</v>
      </c>
    </row>
    <row r="725" spans="1:7">
      <c r="A725" s="3184">
        <v>722</v>
      </c>
      <c r="B725" s="3192">
        <v>-1048</v>
      </c>
      <c r="C725" s="3189">
        <v>32.61</v>
      </c>
      <c r="D725" s="3187" t="s">
        <v>4007</v>
      </c>
      <c r="E725">
        <f t="shared" si="7"/>
        <v>4981</v>
      </c>
      <c r="F725" s="3206">
        <f t="shared" si="6"/>
        <v>162430.41</v>
      </c>
      <c r="G725">
        <f t="shared" si="8"/>
        <v>16.381909547738694</v>
      </c>
    </row>
    <row r="726" spans="1:7">
      <c r="A726" s="3184">
        <v>723</v>
      </c>
      <c r="B726" s="3192">
        <v>-1049</v>
      </c>
      <c r="C726" s="3189">
        <v>32.61</v>
      </c>
      <c r="D726" s="3187" t="s">
        <v>4007</v>
      </c>
      <c r="E726">
        <f t="shared" si="7"/>
        <v>4981</v>
      </c>
      <c r="F726" s="3206">
        <f t="shared" si="6"/>
        <v>162430.41</v>
      </c>
      <c r="G726">
        <f t="shared" si="8"/>
        <v>16.381909547738694</v>
      </c>
    </row>
    <row r="727" spans="1:7">
      <c r="A727" s="3184">
        <v>724</v>
      </c>
      <c r="B727" s="3192">
        <v>-1050</v>
      </c>
      <c r="C727" s="3189">
        <v>32.61</v>
      </c>
      <c r="D727" s="3187" t="s">
        <v>4007</v>
      </c>
      <c r="E727">
        <f t="shared" si="7"/>
        <v>4981</v>
      </c>
      <c r="F727" s="3206">
        <f t="shared" si="6"/>
        <v>162430.41</v>
      </c>
      <c r="G727">
        <f t="shared" si="8"/>
        <v>16.381909547738694</v>
      </c>
    </row>
    <row r="728" spans="1:7">
      <c r="A728" s="3184">
        <v>725</v>
      </c>
      <c r="B728" s="3192">
        <v>-1051</v>
      </c>
      <c r="C728" s="3189">
        <v>32.61</v>
      </c>
      <c r="D728" s="3187" t="s">
        <v>4007</v>
      </c>
      <c r="E728">
        <f t="shared" si="7"/>
        <v>4981</v>
      </c>
      <c r="F728" s="3206">
        <f t="shared" si="6"/>
        <v>162430.41</v>
      </c>
      <c r="G728">
        <f t="shared" si="8"/>
        <v>16.381909547738694</v>
      </c>
    </row>
    <row r="729" spans="1:7">
      <c r="A729" s="3184">
        <v>726</v>
      </c>
      <c r="B729" s="3192">
        <v>-1052</v>
      </c>
      <c r="C729" s="3189">
        <v>32.61</v>
      </c>
      <c r="D729" s="3187" t="s">
        <v>4007</v>
      </c>
      <c r="E729">
        <f t="shared" si="7"/>
        <v>4981</v>
      </c>
      <c r="F729" s="3206">
        <f t="shared" si="6"/>
        <v>162430.41</v>
      </c>
      <c r="G729">
        <f t="shared" si="8"/>
        <v>16.381909547738694</v>
      </c>
    </row>
    <row r="730" spans="1:7">
      <c r="A730" s="3184">
        <v>727</v>
      </c>
      <c r="B730" s="3192">
        <v>-1053</v>
      </c>
      <c r="C730" s="3189">
        <v>32.61</v>
      </c>
      <c r="D730" s="3187" t="s">
        <v>4007</v>
      </c>
      <c r="E730">
        <f t="shared" si="7"/>
        <v>4981</v>
      </c>
      <c r="F730" s="3206">
        <f t="shared" si="6"/>
        <v>162430.41</v>
      </c>
      <c r="G730">
        <f t="shared" si="8"/>
        <v>16.381909547738694</v>
      </c>
    </row>
    <row r="731" spans="1:7">
      <c r="A731" s="3184">
        <v>728</v>
      </c>
      <c r="B731" s="3192">
        <v>-1054</v>
      </c>
      <c r="C731" s="3189">
        <v>32.61</v>
      </c>
      <c r="D731" s="3187" t="s">
        <v>4007</v>
      </c>
      <c r="E731">
        <f t="shared" si="7"/>
        <v>4981</v>
      </c>
      <c r="F731" s="3206">
        <f t="shared" si="6"/>
        <v>162430.41</v>
      </c>
      <c r="G731">
        <f t="shared" si="8"/>
        <v>16.381909547738694</v>
      </c>
    </row>
    <row r="732" spans="1:7">
      <c r="A732" s="3184">
        <v>729</v>
      </c>
      <c r="B732" s="3192">
        <v>-1055</v>
      </c>
      <c r="C732" s="3189">
        <v>32.61</v>
      </c>
      <c r="D732" s="3187" t="s">
        <v>4007</v>
      </c>
      <c r="E732">
        <f t="shared" si="7"/>
        <v>4981</v>
      </c>
      <c r="F732" s="3206">
        <f t="shared" si="6"/>
        <v>162430.41</v>
      </c>
      <c r="G732">
        <f t="shared" si="8"/>
        <v>16.381909547738694</v>
      </c>
    </row>
    <row r="733" spans="1:7">
      <c r="A733" s="3184">
        <v>730</v>
      </c>
      <c r="B733" s="3192">
        <v>-1056</v>
      </c>
      <c r="C733" s="3189">
        <v>32.61</v>
      </c>
      <c r="D733" s="3187" t="s">
        <v>4007</v>
      </c>
      <c r="E733">
        <f t="shared" si="7"/>
        <v>4981</v>
      </c>
      <c r="F733" s="3206">
        <f t="shared" si="6"/>
        <v>162430.41</v>
      </c>
      <c r="G733">
        <f t="shared" si="8"/>
        <v>16.381909547738694</v>
      </c>
    </row>
    <row r="734" spans="1:7">
      <c r="A734" s="3184">
        <v>731</v>
      </c>
      <c r="B734" s="3192">
        <v>-1057</v>
      </c>
      <c r="C734" s="3189">
        <v>32.61</v>
      </c>
      <c r="D734" s="3187" t="s">
        <v>4007</v>
      </c>
      <c r="E734">
        <f t="shared" si="7"/>
        <v>4981</v>
      </c>
      <c r="F734" s="3206">
        <f t="shared" si="6"/>
        <v>162430.41</v>
      </c>
      <c r="G734">
        <f t="shared" si="8"/>
        <v>16.381909547738694</v>
      </c>
    </row>
    <row r="735" spans="1:7">
      <c r="A735" s="3184">
        <v>732</v>
      </c>
      <c r="B735" s="3192">
        <v>-1058</v>
      </c>
      <c r="C735" s="3189">
        <v>32.61</v>
      </c>
      <c r="D735" s="3187" t="s">
        <v>4007</v>
      </c>
      <c r="E735">
        <f t="shared" si="7"/>
        <v>4981</v>
      </c>
      <c r="F735" s="3206">
        <f t="shared" si="6"/>
        <v>162430.41</v>
      </c>
      <c r="G735">
        <f t="shared" si="8"/>
        <v>16.381909547738694</v>
      </c>
    </row>
    <row r="736" spans="1:7">
      <c r="A736" s="3184">
        <v>733</v>
      </c>
      <c r="B736" s="3192">
        <v>-1059</v>
      </c>
      <c r="C736" s="3189">
        <v>32.61</v>
      </c>
      <c r="D736" s="3187" t="s">
        <v>4007</v>
      </c>
      <c r="E736">
        <f t="shared" si="7"/>
        <v>4981</v>
      </c>
      <c r="F736" s="3206">
        <f t="shared" si="6"/>
        <v>162430.41</v>
      </c>
      <c r="G736">
        <f t="shared" si="8"/>
        <v>16.381909547738694</v>
      </c>
    </row>
    <row r="737" spans="1:7">
      <c r="A737" s="3184">
        <v>734</v>
      </c>
      <c r="B737" s="3192">
        <v>-1060</v>
      </c>
      <c r="C737" s="3189">
        <v>32.61</v>
      </c>
      <c r="D737" s="3187" t="s">
        <v>4007</v>
      </c>
      <c r="E737">
        <f t="shared" si="7"/>
        <v>4981</v>
      </c>
      <c r="F737" s="3206">
        <f t="shared" si="6"/>
        <v>162430.41</v>
      </c>
      <c r="G737">
        <f t="shared" si="8"/>
        <v>16.381909547738694</v>
      </c>
    </row>
    <row r="738" spans="1:7">
      <c r="A738" s="3184">
        <v>735</v>
      </c>
      <c r="B738" s="3192">
        <v>-1061</v>
      </c>
      <c r="C738" s="3189">
        <v>32.61</v>
      </c>
      <c r="D738" s="3187" t="s">
        <v>4007</v>
      </c>
      <c r="E738">
        <f t="shared" si="7"/>
        <v>4981</v>
      </c>
      <c r="F738" s="3206">
        <f t="shared" si="6"/>
        <v>162430.41</v>
      </c>
      <c r="G738">
        <f t="shared" si="8"/>
        <v>16.381909547738694</v>
      </c>
    </row>
    <row r="739" spans="1:7">
      <c r="A739" s="3184">
        <v>736</v>
      </c>
      <c r="B739" s="3192">
        <v>-1062</v>
      </c>
      <c r="C739" s="3189">
        <v>32.61</v>
      </c>
      <c r="D739" s="3187" t="s">
        <v>4007</v>
      </c>
      <c r="E739">
        <f t="shared" si="7"/>
        <v>4981</v>
      </c>
      <c r="F739" s="3206">
        <f t="shared" si="6"/>
        <v>162430.41</v>
      </c>
      <c r="G739">
        <f t="shared" si="8"/>
        <v>16.381909547738694</v>
      </c>
    </row>
    <row r="740" spans="1:7">
      <c r="A740" s="3184">
        <v>737</v>
      </c>
      <c r="B740" s="3192">
        <v>-1063</v>
      </c>
      <c r="C740" s="3189">
        <v>32.61</v>
      </c>
      <c r="D740" s="3187" t="s">
        <v>4007</v>
      </c>
      <c r="E740">
        <f t="shared" si="7"/>
        <v>4981</v>
      </c>
      <c r="F740" s="3206">
        <f t="shared" si="6"/>
        <v>162430.41</v>
      </c>
      <c r="G740">
        <f t="shared" si="8"/>
        <v>16.381909547738694</v>
      </c>
    </row>
    <row r="741" spans="1:7">
      <c r="A741" s="3184">
        <v>738</v>
      </c>
      <c r="B741" s="3192">
        <v>-1064</v>
      </c>
      <c r="C741" s="3189">
        <v>32.61</v>
      </c>
      <c r="D741" s="3187" t="s">
        <v>4007</v>
      </c>
      <c r="E741">
        <f t="shared" si="7"/>
        <v>4981</v>
      </c>
      <c r="F741" s="3206">
        <f t="shared" si="6"/>
        <v>162430.41</v>
      </c>
      <c r="G741">
        <f t="shared" si="8"/>
        <v>16.381909547738694</v>
      </c>
    </row>
    <row r="742" spans="1:7">
      <c r="A742" s="3184">
        <v>739</v>
      </c>
      <c r="B742" s="3192">
        <v>-1065</v>
      </c>
      <c r="C742" s="3189">
        <v>32.61</v>
      </c>
      <c r="D742" s="3187" t="s">
        <v>4007</v>
      </c>
      <c r="E742">
        <f t="shared" si="7"/>
        <v>4981</v>
      </c>
      <c r="F742" s="3206">
        <f t="shared" si="6"/>
        <v>162430.41</v>
      </c>
      <c r="G742">
        <f t="shared" si="8"/>
        <v>16.381909547738694</v>
      </c>
    </row>
    <row r="743" spans="1:7">
      <c r="A743" s="3184">
        <v>740</v>
      </c>
      <c r="B743" s="3192">
        <v>-1066</v>
      </c>
      <c r="C743" s="3189">
        <v>32.61</v>
      </c>
      <c r="D743" s="3187" t="s">
        <v>4007</v>
      </c>
      <c r="E743">
        <f t="shared" si="7"/>
        <v>4981</v>
      </c>
      <c r="F743" s="3206">
        <f t="shared" si="6"/>
        <v>162430.41</v>
      </c>
      <c r="G743">
        <f t="shared" si="8"/>
        <v>16.381909547738694</v>
      </c>
    </row>
    <row r="744" spans="1:7">
      <c r="A744" s="3184">
        <v>741</v>
      </c>
      <c r="B744" s="3192">
        <v>-1067</v>
      </c>
      <c r="C744" s="3189">
        <v>32.61</v>
      </c>
      <c r="D744" s="3187" t="s">
        <v>4007</v>
      </c>
      <c r="E744">
        <f t="shared" si="7"/>
        <v>4981</v>
      </c>
      <c r="F744" s="3206">
        <f t="shared" ref="F744:F807" si="9">E744*C744</f>
        <v>162430.41</v>
      </c>
      <c r="G744">
        <f t="shared" si="8"/>
        <v>16.381909547738694</v>
      </c>
    </row>
    <row r="745" spans="1:7">
      <c r="A745" s="3184">
        <v>742</v>
      </c>
      <c r="B745" s="3192">
        <v>-1068</v>
      </c>
      <c r="C745" s="3189">
        <v>32.61</v>
      </c>
      <c r="D745" s="3187" t="s">
        <v>4007</v>
      </c>
      <c r="E745">
        <f t="shared" ref="E745:E808" si="10">E744</f>
        <v>4981</v>
      </c>
      <c r="F745" s="3206">
        <f t="shared" si="9"/>
        <v>162430.41</v>
      </c>
      <c r="G745">
        <f t="shared" ref="G745:G808" si="11">G744</f>
        <v>16.381909547738694</v>
      </c>
    </row>
    <row r="746" spans="1:7">
      <c r="A746" s="3184">
        <v>743</v>
      </c>
      <c r="B746" s="3192">
        <v>-1069</v>
      </c>
      <c r="C746" s="3189">
        <v>32.61</v>
      </c>
      <c r="D746" s="3187" t="s">
        <v>4007</v>
      </c>
      <c r="E746">
        <f t="shared" si="10"/>
        <v>4981</v>
      </c>
      <c r="F746" s="3206">
        <f t="shared" si="9"/>
        <v>162430.41</v>
      </c>
      <c r="G746">
        <f t="shared" si="11"/>
        <v>16.381909547738694</v>
      </c>
    </row>
    <row r="747" spans="1:7">
      <c r="A747" s="3184">
        <v>744</v>
      </c>
      <c r="B747" s="3192">
        <v>-1070</v>
      </c>
      <c r="C747" s="3189">
        <v>32.61</v>
      </c>
      <c r="D747" s="3187" t="s">
        <v>4007</v>
      </c>
      <c r="E747">
        <f t="shared" si="10"/>
        <v>4981</v>
      </c>
      <c r="F747" s="3206">
        <f t="shared" si="9"/>
        <v>162430.41</v>
      </c>
      <c r="G747">
        <f t="shared" si="11"/>
        <v>16.381909547738694</v>
      </c>
    </row>
    <row r="748" spans="1:7">
      <c r="A748" s="3184">
        <v>745</v>
      </c>
      <c r="B748" s="3192">
        <v>-1071</v>
      </c>
      <c r="C748" s="3189">
        <v>32.61</v>
      </c>
      <c r="D748" s="3187" t="s">
        <v>4007</v>
      </c>
      <c r="E748">
        <f t="shared" si="10"/>
        <v>4981</v>
      </c>
      <c r="F748" s="3206">
        <f t="shared" si="9"/>
        <v>162430.41</v>
      </c>
      <c r="G748">
        <f t="shared" si="11"/>
        <v>16.381909547738694</v>
      </c>
    </row>
    <row r="749" spans="1:7">
      <c r="A749" s="3184">
        <v>746</v>
      </c>
      <c r="B749" s="3192">
        <v>-1072</v>
      </c>
      <c r="C749" s="3189">
        <v>32.61</v>
      </c>
      <c r="D749" s="3187" t="s">
        <v>4007</v>
      </c>
      <c r="E749">
        <f t="shared" si="10"/>
        <v>4981</v>
      </c>
      <c r="F749" s="3206">
        <f t="shared" si="9"/>
        <v>162430.41</v>
      </c>
      <c r="G749">
        <f t="shared" si="11"/>
        <v>16.381909547738694</v>
      </c>
    </row>
    <row r="750" spans="1:7">
      <c r="A750" s="3184">
        <v>747</v>
      </c>
      <c r="B750" s="3192">
        <v>-1073</v>
      </c>
      <c r="C750" s="3189">
        <v>32.61</v>
      </c>
      <c r="D750" s="3187" t="s">
        <v>4007</v>
      </c>
      <c r="E750">
        <f t="shared" si="10"/>
        <v>4981</v>
      </c>
      <c r="F750" s="3206">
        <f t="shared" si="9"/>
        <v>162430.41</v>
      </c>
      <c r="G750">
        <f t="shared" si="11"/>
        <v>16.381909547738694</v>
      </c>
    </row>
    <row r="751" spans="1:7">
      <c r="A751" s="3184">
        <v>748</v>
      </c>
      <c r="B751" s="3192">
        <v>-1074</v>
      </c>
      <c r="C751" s="3189">
        <v>32.61</v>
      </c>
      <c r="D751" s="3187" t="s">
        <v>4007</v>
      </c>
      <c r="E751">
        <f t="shared" si="10"/>
        <v>4981</v>
      </c>
      <c r="F751" s="3206">
        <f t="shared" si="9"/>
        <v>162430.41</v>
      </c>
      <c r="G751">
        <f t="shared" si="11"/>
        <v>16.381909547738694</v>
      </c>
    </row>
    <row r="752" spans="1:7">
      <c r="A752" s="3184">
        <v>749</v>
      </c>
      <c r="B752" s="3192">
        <v>-1075</v>
      </c>
      <c r="C752" s="3189">
        <v>32.61</v>
      </c>
      <c r="D752" s="3187" t="s">
        <v>4007</v>
      </c>
      <c r="E752">
        <f t="shared" si="10"/>
        <v>4981</v>
      </c>
      <c r="F752" s="3206">
        <f t="shared" si="9"/>
        <v>162430.41</v>
      </c>
      <c r="G752">
        <f t="shared" si="11"/>
        <v>16.381909547738694</v>
      </c>
    </row>
    <row r="753" spans="1:7">
      <c r="A753" s="3184">
        <v>750</v>
      </c>
      <c r="B753" s="3192">
        <v>-1076</v>
      </c>
      <c r="C753" s="3189">
        <v>32.61</v>
      </c>
      <c r="D753" s="3187" t="s">
        <v>4007</v>
      </c>
      <c r="E753">
        <f t="shared" si="10"/>
        <v>4981</v>
      </c>
      <c r="F753" s="3206">
        <f t="shared" si="9"/>
        <v>162430.41</v>
      </c>
      <c r="G753">
        <f t="shared" si="11"/>
        <v>16.381909547738694</v>
      </c>
    </row>
    <row r="754" spans="1:7">
      <c r="A754" s="3184">
        <v>751</v>
      </c>
      <c r="B754" s="3192">
        <v>-1077</v>
      </c>
      <c r="C754" s="3189">
        <v>32.61</v>
      </c>
      <c r="D754" s="3187" t="s">
        <v>4007</v>
      </c>
      <c r="E754">
        <f t="shared" si="10"/>
        <v>4981</v>
      </c>
      <c r="F754" s="3206">
        <f t="shared" si="9"/>
        <v>162430.41</v>
      </c>
      <c r="G754">
        <f t="shared" si="11"/>
        <v>16.381909547738694</v>
      </c>
    </row>
    <row r="755" spans="1:7">
      <c r="A755" s="3184">
        <v>752</v>
      </c>
      <c r="B755" s="3192">
        <v>-1078</v>
      </c>
      <c r="C755" s="3189">
        <v>32.61</v>
      </c>
      <c r="D755" s="3187" t="s">
        <v>4007</v>
      </c>
      <c r="E755">
        <f t="shared" si="10"/>
        <v>4981</v>
      </c>
      <c r="F755" s="3206">
        <f t="shared" si="9"/>
        <v>162430.41</v>
      </c>
      <c r="G755">
        <f t="shared" si="11"/>
        <v>16.381909547738694</v>
      </c>
    </row>
    <row r="756" spans="1:7">
      <c r="A756" s="3184">
        <v>753</v>
      </c>
      <c r="B756" s="3192">
        <v>-1079</v>
      </c>
      <c r="C756" s="3189">
        <v>32.61</v>
      </c>
      <c r="D756" s="3187" t="s">
        <v>4007</v>
      </c>
      <c r="E756">
        <f t="shared" si="10"/>
        <v>4981</v>
      </c>
      <c r="F756" s="3206">
        <f t="shared" si="9"/>
        <v>162430.41</v>
      </c>
      <c r="G756">
        <f t="shared" si="11"/>
        <v>16.381909547738694</v>
      </c>
    </row>
    <row r="757" spans="1:7">
      <c r="A757" s="3184">
        <v>754</v>
      </c>
      <c r="B757" s="3192">
        <v>-1080</v>
      </c>
      <c r="C757" s="3189">
        <v>32.61</v>
      </c>
      <c r="D757" s="3187" t="s">
        <v>4007</v>
      </c>
      <c r="E757">
        <f t="shared" si="10"/>
        <v>4981</v>
      </c>
      <c r="F757" s="3206">
        <f t="shared" si="9"/>
        <v>162430.41</v>
      </c>
      <c r="G757">
        <f t="shared" si="11"/>
        <v>16.381909547738694</v>
      </c>
    </row>
    <row r="758" spans="1:7">
      <c r="A758" s="3184">
        <v>755</v>
      </c>
      <c r="B758" s="3192">
        <v>-1081</v>
      </c>
      <c r="C758" s="3189">
        <v>32.61</v>
      </c>
      <c r="D758" s="3187" t="s">
        <v>4007</v>
      </c>
      <c r="E758">
        <f t="shared" si="10"/>
        <v>4981</v>
      </c>
      <c r="F758" s="3206">
        <f t="shared" si="9"/>
        <v>162430.41</v>
      </c>
      <c r="G758">
        <f t="shared" si="11"/>
        <v>16.381909547738694</v>
      </c>
    </row>
    <row r="759" spans="1:7">
      <c r="A759" s="3184">
        <v>756</v>
      </c>
      <c r="B759" s="3192">
        <v>-1082</v>
      </c>
      <c r="C759" s="3189">
        <v>32.61</v>
      </c>
      <c r="D759" s="3187" t="s">
        <v>4007</v>
      </c>
      <c r="E759">
        <f t="shared" si="10"/>
        <v>4981</v>
      </c>
      <c r="F759" s="3206">
        <f t="shared" si="9"/>
        <v>162430.41</v>
      </c>
      <c r="G759">
        <f t="shared" si="11"/>
        <v>16.381909547738694</v>
      </c>
    </row>
    <row r="760" spans="1:7">
      <c r="A760" s="3184">
        <v>757</v>
      </c>
      <c r="B760" s="3192">
        <v>-1083</v>
      </c>
      <c r="C760" s="3189">
        <v>32.61</v>
      </c>
      <c r="D760" s="3187" t="s">
        <v>4007</v>
      </c>
      <c r="E760">
        <f t="shared" si="10"/>
        <v>4981</v>
      </c>
      <c r="F760" s="3206">
        <f t="shared" si="9"/>
        <v>162430.41</v>
      </c>
      <c r="G760">
        <f t="shared" si="11"/>
        <v>16.381909547738694</v>
      </c>
    </row>
    <row r="761" spans="1:7">
      <c r="A761" s="3184">
        <v>758</v>
      </c>
      <c r="B761" s="3192">
        <v>-1084</v>
      </c>
      <c r="C761" s="3189">
        <v>32.61</v>
      </c>
      <c r="D761" s="3187" t="s">
        <v>4007</v>
      </c>
      <c r="E761">
        <f t="shared" si="10"/>
        <v>4981</v>
      </c>
      <c r="F761" s="3206">
        <f t="shared" si="9"/>
        <v>162430.41</v>
      </c>
      <c r="G761">
        <f t="shared" si="11"/>
        <v>16.381909547738694</v>
      </c>
    </row>
    <row r="762" spans="1:7">
      <c r="A762" s="3184">
        <v>759</v>
      </c>
      <c r="B762" s="3192">
        <v>-1085</v>
      </c>
      <c r="C762" s="3189">
        <v>32.61</v>
      </c>
      <c r="D762" s="3187" t="s">
        <v>4007</v>
      </c>
      <c r="E762">
        <f t="shared" si="10"/>
        <v>4981</v>
      </c>
      <c r="F762" s="3206">
        <f t="shared" si="9"/>
        <v>162430.41</v>
      </c>
      <c r="G762">
        <f t="shared" si="11"/>
        <v>16.381909547738694</v>
      </c>
    </row>
    <row r="763" spans="1:7">
      <c r="A763" s="3184">
        <v>760</v>
      </c>
      <c r="B763" s="3192">
        <v>-1086</v>
      </c>
      <c r="C763" s="3189">
        <v>32.61</v>
      </c>
      <c r="D763" s="3187" t="s">
        <v>4007</v>
      </c>
      <c r="E763">
        <f t="shared" si="10"/>
        <v>4981</v>
      </c>
      <c r="F763" s="3206">
        <f t="shared" si="9"/>
        <v>162430.41</v>
      </c>
      <c r="G763">
        <f t="shared" si="11"/>
        <v>16.381909547738694</v>
      </c>
    </row>
    <row r="764" spans="1:7">
      <c r="A764" s="3184">
        <v>761</v>
      </c>
      <c r="B764" s="3192">
        <v>-1087</v>
      </c>
      <c r="C764" s="3189">
        <v>32.61</v>
      </c>
      <c r="D764" s="3187" t="s">
        <v>4007</v>
      </c>
      <c r="E764">
        <f t="shared" si="10"/>
        <v>4981</v>
      </c>
      <c r="F764" s="3206">
        <f t="shared" si="9"/>
        <v>162430.41</v>
      </c>
      <c r="G764">
        <f t="shared" si="11"/>
        <v>16.381909547738694</v>
      </c>
    </row>
    <row r="765" spans="1:7">
      <c r="A765" s="3184">
        <v>762</v>
      </c>
      <c r="B765" s="3192">
        <v>-1088</v>
      </c>
      <c r="C765" s="3189">
        <v>32.61</v>
      </c>
      <c r="D765" s="3187" t="s">
        <v>4007</v>
      </c>
      <c r="E765">
        <f t="shared" si="10"/>
        <v>4981</v>
      </c>
      <c r="F765" s="3206">
        <f t="shared" si="9"/>
        <v>162430.41</v>
      </c>
      <c r="G765">
        <f t="shared" si="11"/>
        <v>16.381909547738694</v>
      </c>
    </row>
    <row r="766" spans="1:7">
      <c r="A766" s="3184">
        <v>763</v>
      </c>
      <c r="B766" s="3192">
        <v>-1089</v>
      </c>
      <c r="C766" s="3189">
        <v>32.61</v>
      </c>
      <c r="D766" s="3187" t="s">
        <v>4007</v>
      </c>
      <c r="E766">
        <f t="shared" si="10"/>
        <v>4981</v>
      </c>
      <c r="F766" s="3206">
        <f t="shared" si="9"/>
        <v>162430.41</v>
      </c>
      <c r="G766">
        <f t="shared" si="11"/>
        <v>16.381909547738694</v>
      </c>
    </row>
    <row r="767" spans="1:7">
      <c r="A767" s="3184">
        <v>764</v>
      </c>
      <c r="B767" s="3192">
        <v>-1090</v>
      </c>
      <c r="C767" s="3189">
        <v>32.61</v>
      </c>
      <c r="D767" s="3187" t="s">
        <v>4007</v>
      </c>
      <c r="E767">
        <f t="shared" si="10"/>
        <v>4981</v>
      </c>
      <c r="F767" s="3206">
        <f t="shared" si="9"/>
        <v>162430.41</v>
      </c>
      <c r="G767">
        <f t="shared" si="11"/>
        <v>16.381909547738694</v>
      </c>
    </row>
    <row r="768" spans="1:7">
      <c r="A768" s="3184">
        <v>765</v>
      </c>
      <c r="B768" s="3192">
        <v>-1091</v>
      </c>
      <c r="C768" s="3189">
        <v>32.61</v>
      </c>
      <c r="D768" s="3187" t="s">
        <v>4007</v>
      </c>
      <c r="E768">
        <f t="shared" si="10"/>
        <v>4981</v>
      </c>
      <c r="F768" s="3206">
        <f t="shared" si="9"/>
        <v>162430.41</v>
      </c>
      <c r="G768">
        <f t="shared" si="11"/>
        <v>16.381909547738694</v>
      </c>
    </row>
    <row r="769" spans="1:7">
      <c r="A769" s="3184">
        <v>766</v>
      </c>
      <c r="B769" s="3192">
        <v>-1092</v>
      </c>
      <c r="C769" s="3189">
        <v>32.61</v>
      </c>
      <c r="D769" s="3187" t="s">
        <v>4007</v>
      </c>
      <c r="E769">
        <f t="shared" si="10"/>
        <v>4981</v>
      </c>
      <c r="F769" s="3206">
        <f t="shared" si="9"/>
        <v>162430.41</v>
      </c>
      <c r="G769">
        <f t="shared" si="11"/>
        <v>16.381909547738694</v>
      </c>
    </row>
    <row r="770" spans="1:7">
      <c r="A770" s="3184">
        <v>767</v>
      </c>
      <c r="B770" s="3192">
        <v>-1093</v>
      </c>
      <c r="C770" s="3189">
        <v>32.61</v>
      </c>
      <c r="D770" s="3187" t="s">
        <v>4007</v>
      </c>
      <c r="E770">
        <f t="shared" si="10"/>
        <v>4981</v>
      </c>
      <c r="F770" s="3206">
        <f t="shared" si="9"/>
        <v>162430.41</v>
      </c>
      <c r="G770">
        <f t="shared" si="11"/>
        <v>16.381909547738694</v>
      </c>
    </row>
    <row r="771" spans="1:7">
      <c r="A771" s="3184">
        <v>768</v>
      </c>
      <c r="B771" s="3192">
        <v>-1094</v>
      </c>
      <c r="C771" s="3189">
        <v>32.61</v>
      </c>
      <c r="D771" s="3187" t="s">
        <v>4007</v>
      </c>
      <c r="E771">
        <f t="shared" si="10"/>
        <v>4981</v>
      </c>
      <c r="F771" s="3206">
        <f t="shared" si="9"/>
        <v>162430.41</v>
      </c>
      <c r="G771">
        <f t="shared" si="11"/>
        <v>16.381909547738694</v>
      </c>
    </row>
    <row r="772" spans="1:7">
      <c r="A772" s="3184">
        <v>769</v>
      </c>
      <c r="B772" s="3192">
        <v>-1095</v>
      </c>
      <c r="C772" s="3189">
        <v>32.61</v>
      </c>
      <c r="D772" s="3187" t="s">
        <v>4007</v>
      </c>
      <c r="E772">
        <f t="shared" si="10"/>
        <v>4981</v>
      </c>
      <c r="F772" s="3206">
        <f t="shared" si="9"/>
        <v>162430.41</v>
      </c>
      <c r="G772">
        <f t="shared" si="11"/>
        <v>16.381909547738694</v>
      </c>
    </row>
    <row r="773" spans="1:7">
      <c r="A773" s="3184">
        <v>770</v>
      </c>
      <c r="B773" s="3192">
        <v>-1096</v>
      </c>
      <c r="C773" s="3189">
        <v>32.61</v>
      </c>
      <c r="D773" s="3187" t="s">
        <v>4007</v>
      </c>
      <c r="E773">
        <f t="shared" si="10"/>
        <v>4981</v>
      </c>
      <c r="F773" s="3206">
        <f t="shared" si="9"/>
        <v>162430.41</v>
      </c>
      <c r="G773">
        <f t="shared" si="11"/>
        <v>16.381909547738694</v>
      </c>
    </row>
    <row r="774" spans="1:7">
      <c r="A774" s="3184">
        <v>771</v>
      </c>
      <c r="B774" s="3192">
        <v>-1097</v>
      </c>
      <c r="C774" s="3189">
        <v>32.61</v>
      </c>
      <c r="D774" s="3187" t="s">
        <v>4007</v>
      </c>
      <c r="E774">
        <f t="shared" si="10"/>
        <v>4981</v>
      </c>
      <c r="F774" s="3206">
        <f t="shared" si="9"/>
        <v>162430.41</v>
      </c>
      <c r="G774">
        <f t="shared" si="11"/>
        <v>16.381909547738694</v>
      </c>
    </row>
    <row r="775" spans="1:7">
      <c r="A775" s="3184">
        <v>772</v>
      </c>
      <c r="B775" s="3192">
        <v>-1098</v>
      </c>
      <c r="C775" s="3189">
        <v>32.61</v>
      </c>
      <c r="D775" s="3187" t="s">
        <v>4007</v>
      </c>
      <c r="E775">
        <f t="shared" si="10"/>
        <v>4981</v>
      </c>
      <c r="F775" s="3206">
        <f t="shared" si="9"/>
        <v>162430.41</v>
      </c>
      <c r="G775">
        <f t="shared" si="11"/>
        <v>16.381909547738694</v>
      </c>
    </row>
    <row r="776" spans="1:7">
      <c r="A776" s="3184">
        <v>773</v>
      </c>
      <c r="B776" s="3192">
        <v>-1099</v>
      </c>
      <c r="C776" s="3189">
        <v>32.61</v>
      </c>
      <c r="D776" s="3187" t="s">
        <v>4007</v>
      </c>
      <c r="E776">
        <f t="shared" si="10"/>
        <v>4981</v>
      </c>
      <c r="F776" s="3206">
        <f t="shared" si="9"/>
        <v>162430.41</v>
      </c>
      <c r="G776">
        <f t="shared" si="11"/>
        <v>16.381909547738694</v>
      </c>
    </row>
    <row r="777" spans="1:7">
      <c r="A777" s="3184">
        <v>774</v>
      </c>
      <c r="B777" s="3192">
        <v>-1100</v>
      </c>
      <c r="C777" s="3189">
        <v>32.61</v>
      </c>
      <c r="D777" s="3187" t="s">
        <v>4007</v>
      </c>
      <c r="E777">
        <f t="shared" si="10"/>
        <v>4981</v>
      </c>
      <c r="F777" s="3206">
        <f t="shared" si="9"/>
        <v>162430.41</v>
      </c>
      <c r="G777">
        <f t="shared" si="11"/>
        <v>16.381909547738694</v>
      </c>
    </row>
    <row r="778" spans="1:7">
      <c r="A778" s="3184">
        <v>775</v>
      </c>
      <c r="B778" s="3192">
        <v>-1101</v>
      </c>
      <c r="C778" s="3189">
        <v>32.61</v>
      </c>
      <c r="D778" s="3187" t="s">
        <v>4007</v>
      </c>
      <c r="E778">
        <f t="shared" si="10"/>
        <v>4981</v>
      </c>
      <c r="F778" s="3206">
        <f t="shared" si="9"/>
        <v>162430.41</v>
      </c>
      <c r="G778">
        <f t="shared" si="11"/>
        <v>16.381909547738694</v>
      </c>
    </row>
    <row r="779" spans="1:7">
      <c r="A779" s="3184">
        <v>776</v>
      </c>
      <c r="B779" s="3192">
        <v>-1102</v>
      </c>
      <c r="C779" s="3189">
        <v>32.61</v>
      </c>
      <c r="D779" s="3187" t="s">
        <v>4007</v>
      </c>
      <c r="E779">
        <f t="shared" si="10"/>
        <v>4981</v>
      </c>
      <c r="F779" s="3206">
        <f t="shared" si="9"/>
        <v>162430.41</v>
      </c>
      <c r="G779">
        <f t="shared" si="11"/>
        <v>16.381909547738694</v>
      </c>
    </row>
    <row r="780" spans="1:7">
      <c r="A780" s="3184">
        <v>777</v>
      </c>
      <c r="B780" s="3192">
        <v>-1103</v>
      </c>
      <c r="C780" s="3189">
        <v>32.61</v>
      </c>
      <c r="D780" s="3187" t="s">
        <v>4007</v>
      </c>
      <c r="E780">
        <f t="shared" si="10"/>
        <v>4981</v>
      </c>
      <c r="F780" s="3206">
        <f t="shared" si="9"/>
        <v>162430.41</v>
      </c>
      <c r="G780">
        <f t="shared" si="11"/>
        <v>16.381909547738694</v>
      </c>
    </row>
    <row r="781" spans="1:7">
      <c r="A781" s="3184">
        <v>778</v>
      </c>
      <c r="B781" s="3192">
        <v>-1105</v>
      </c>
      <c r="C781" s="3189">
        <v>32.61</v>
      </c>
      <c r="D781" s="3187" t="s">
        <v>4007</v>
      </c>
      <c r="E781">
        <f t="shared" si="10"/>
        <v>4981</v>
      </c>
      <c r="F781" s="3206">
        <f t="shared" si="9"/>
        <v>162430.41</v>
      </c>
      <c r="G781">
        <f t="shared" si="11"/>
        <v>16.381909547738694</v>
      </c>
    </row>
    <row r="782" spans="1:7">
      <c r="A782" s="3184">
        <v>779</v>
      </c>
      <c r="B782" s="3192">
        <v>-1106</v>
      </c>
      <c r="C782" s="3189">
        <v>32.61</v>
      </c>
      <c r="D782" s="3187" t="s">
        <v>4007</v>
      </c>
      <c r="E782">
        <f t="shared" si="10"/>
        <v>4981</v>
      </c>
      <c r="F782" s="3206">
        <f t="shared" si="9"/>
        <v>162430.41</v>
      </c>
      <c r="G782">
        <f t="shared" si="11"/>
        <v>16.381909547738694</v>
      </c>
    </row>
    <row r="783" spans="1:7">
      <c r="A783" s="3184">
        <v>780</v>
      </c>
      <c r="B783" s="3192">
        <v>-1107</v>
      </c>
      <c r="C783" s="3189">
        <v>32.61</v>
      </c>
      <c r="D783" s="3187" t="s">
        <v>4007</v>
      </c>
      <c r="E783">
        <f t="shared" si="10"/>
        <v>4981</v>
      </c>
      <c r="F783" s="3206">
        <f t="shared" si="9"/>
        <v>162430.41</v>
      </c>
      <c r="G783">
        <f t="shared" si="11"/>
        <v>16.381909547738694</v>
      </c>
    </row>
    <row r="784" spans="1:7">
      <c r="A784" s="3184">
        <v>781</v>
      </c>
      <c r="B784" s="3192">
        <v>-1108</v>
      </c>
      <c r="C784" s="3189">
        <v>32.61</v>
      </c>
      <c r="D784" s="3187" t="s">
        <v>4007</v>
      </c>
      <c r="E784">
        <f t="shared" si="10"/>
        <v>4981</v>
      </c>
      <c r="F784" s="3206">
        <f t="shared" si="9"/>
        <v>162430.41</v>
      </c>
      <c r="G784">
        <f t="shared" si="11"/>
        <v>16.381909547738694</v>
      </c>
    </row>
    <row r="785" spans="1:7">
      <c r="A785" s="3184">
        <v>782</v>
      </c>
      <c r="B785" s="3192">
        <v>-1109</v>
      </c>
      <c r="C785" s="3189">
        <v>32.61</v>
      </c>
      <c r="D785" s="3187" t="s">
        <v>4007</v>
      </c>
      <c r="E785">
        <f t="shared" si="10"/>
        <v>4981</v>
      </c>
      <c r="F785" s="3206">
        <f t="shared" si="9"/>
        <v>162430.41</v>
      </c>
      <c r="G785">
        <f t="shared" si="11"/>
        <v>16.381909547738694</v>
      </c>
    </row>
    <row r="786" spans="1:7">
      <c r="A786" s="3184">
        <v>783</v>
      </c>
      <c r="B786" s="3192">
        <v>-1110</v>
      </c>
      <c r="C786" s="3189">
        <v>32.61</v>
      </c>
      <c r="D786" s="3187" t="s">
        <v>4007</v>
      </c>
      <c r="E786">
        <f t="shared" si="10"/>
        <v>4981</v>
      </c>
      <c r="F786" s="3206">
        <f t="shared" si="9"/>
        <v>162430.41</v>
      </c>
      <c r="G786">
        <f t="shared" si="11"/>
        <v>16.381909547738694</v>
      </c>
    </row>
    <row r="787" spans="1:7">
      <c r="A787" s="3184">
        <v>784</v>
      </c>
      <c r="B787" s="3192">
        <v>-1111</v>
      </c>
      <c r="C787" s="3189">
        <v>32.61</v>
      </c>
      <c r="D787" s="3187" t="s">
        <v>4007</v>
      </c>
      <c r="E787">
        <f t="shared" si="10"/>
        <v>4981</v>
      </c>
      <c r="F787" s="3206">
        <f t="shared" si="9"/>
        <v>162430.41</v>
      </c>
      <c r="G787">
        <f t="shared" si="11"/>
        <v>16.381909547738694</v>
      </c>
    </row>
    <row r="788" spans="1:7">
      <c r="A788" s="3184">
        <v>785</v>
      </c>
      <c r="B788" s="3192">
        <v>-1112</v>
      </c>
      <c r="C788" s="3189">
        <v>32.61</v>
      </c>
      <c r="D788" s="3187" t="s">
        <v>4007</v>
      </c>
      <c r="E788">
        <f t="shared" si="10"/>
        <v>4981</v>
      </c>
      <c r="F788" s="3206">
        <f t="shared" si="9"/>
        <v>162430.41</v>
      </c>
      <c r="G788">
        <f t="shared" si="11"/>
        <v>16.381909547738694</v>
      </c>
    </row>
    <row r="789" spans="1:7">
      <c r="A789" s="3184">
        <v>786</v>
      </c>
      <c r="B789" s="3192">
        <v>-1113</v>
      </c>
      <c r="C789" s="3189">
        <v>32.61</v>
      </c>
      <c r="D789" s="3187" t="s">
        <v>4007</v>
      </c>
      <c r="E789">
        <f t="shared" si="10"/>
        <v>4981</v>
      </c>
      <c r="F789" s="3206">
        <f t="shared" si="9"/>
        <v>162430.41</v>
      </c>
      <c r="G789">
        <f t="shared" si="11"/>
        <v>16.381909547738694</v>
      </c>
    </row>
    <row r="790" spans="1:7">
      <c r="A790" s="3184">
        <v>787</v>
      </c>
      <c r="B790" s="3192">
        <v>-1114</v>
      </c>
      <c r="C790" s="3189">
        <v>32.61</v>
      </c>
      <c r="D790" s="3187" t="s">
        <v>4007</v>
      </c>
      <c r="E790">
        <f t="shared" si="10"/>
        <v>4981</v>
      </c>
      <c r="F790" s="3206">
        <f t="shared" si="9"/>
        <v>162430.41</v>
      </c>
      <c r="G790">
        <f t="shared" si="11"/>
        <v>16.381909547738694</v>
      </c>
    </row>
    <row r="791" spans="1:7">
      <c r="A791" s="3184">
        <v>788</v>
      </c>
      <c r="B791" s="3192">
        <v>-1115</v>
      </c>
      <c r="C791" s="3189">
        <v>32.61</v>
      </c>
      <c r="D791" s="3187" t="s">
        <v>4007</v>
      </c>
      <c r="E791">
        <f t="shared" si="10"/>
        <v>4981</v>
      </c>
      <c r="F791" s="3206">
        <f t="shared" si="9"/>
        <v>162430.41</v>
      </c>
      <c r="G791">
        <f t="shared" si="11"/>
        <v>16.381909547738694</v>
      </c>
    </row>
    <row r="792" spans="1:7">
      <c r="A792" s="3184">
        <v>789</v>
      </c>
      <c r="B792" s="3192">
        <v>-1116</v>
      </c>
      <c r="C792" s="3189">
        <v>32.61</v>
      </c>
      <c r="D792" s="3187" t="s">
        <v>4007</v>
      </c>
      <c r="E792">
        <f t="shared" si="10"/>
        <v>4981</v>
      </c>
      <c r="F792" s="3206">
        <f t="shared" si="9"/>
        <v>162430.41</v>
      </c>
      <c r="G792">
        <f t="shared" si="11"/>
        <v>16.381909547738694</v>
      </c>
    </row>
    <row r="793" spans="1:7">
      <c r="A793" s="3184">
        <v>790</v>
      </c>
      <c r="B793" s="3192">
        <v>-1117</v>
      </c>
      <c r="C793" s="3189">
        <v>32.61</v>
      </c>
      <c r="D793" s="3187" t="s">
        <v>4007</v>
      </c>
      <c r="E793">
        <f t="shared" si="10"/>
        <v>4981</v>
      </c>
      <c r="F793" s="3206">
        <f t="shared" si="9"/>
        <v>162430.41</v>
      </c>
      <c r="G793">
        <f t="shared" si="11"/>
        <v>16.381909547738694</v>
      </c>
    </row>
    <row r="794" spans="1:7">
      <c r="A794" s="3184">
        <v>791</v>
      </c>
      <c r="B794" s="3192">
        <v>-1118</v>
      </c>
      <c r="C794" s="3189">
        <v>32.61</v>
      </c>
      <c r="D794" s="3187" t="s">
        <v>4007</v>
      </c>
      <c r="E794">
        <f t="shared" si="10"/>
        <v>4981</v>
      </c>
      <c r="F794" s="3206">
        <f t="shared" si="9"/>
        <v>162430.41</v>
      </c>
      <c r="G794">
        <f t="shared" si="11"/>
        <v>16.381909547738694</v>
      </c>
    </row>
    <row r="795" spans="1:7">
      <c r="A795" s="3184">
        <v>792</v>
      </c>
      <c r="B795" s="3192">
        <v>-1119</v>
      </c>
      <c r="C795" s="3189">
        <v>32.61</v>
      </c>
      <c r="D795" s="3187" t="s">
        <v>4007</v>
      </c>
      <c r="E795">
        <f t="shared" si="10"/>
        <v>4981</v>
      </c>
      <c r="F795" s="3206">
        <f t="shared" si="9"/>
        <v>162430.41</v>
      </c>
      <c r="G795">
        <f t="shared" si="11"/>
        <v>16.381909547738694</v>
      </c>
    </row>
    <row r="796" spans="1:7">
      <c r="A796" s="3184">
        <v>793</v>
      </c>
      <c r="B796" s="3192">
        <v>-1120</v>
      </c>
      <c r="C796" s="3189">
        <v>32.61</v>
      </c>
      <c r="D796" s="3187" t="s">
        <v>4007</v>
      </c>
      <c r="E796">
        <f t="shared" si="10"/>
        <v>4981</v>
      </c>
      <c r="F796" s="3206">
        <f t="shared" si="9"/>
        <v>162430.41</v>
      </c>
      <c r="G796">
        <f t="shared" si="11"/>
        <v>16.381909547738694</v>
      </c>
    </row>
    <row r="797" spans="1:7">
      <c r="A797" s="3184">
        <v>794</v>
      </c>
      <c r="B797" s="3192">
        <v>-1121</v>
      </c>
      <c r="C797" s="3189">
        <v>32.61</v>
      </c>
      <c r="D797" s="3187" t="s">
        <v>4007</v>
      </c>
      <c r="E797">
        <f t="shared" si="10"/>
        <v>4981</v>
      </c>
      <c r="F797" s="3206">
        <f t="shared" si="9"/>
        <v>162430.41</v>
      </c>
      <c r="G797">
        <f t="shared" si="11"/>
        <v>16.381909547738694</v>
      </c>
    </row>
    <row r="798" spans="1:7">
      <c r="A798" s="3184">
        <v>795</v>
      </c>
      <c r="B798" s="3192">
        <v>-1122</v>
      </c>
      <c r="C798" s="3189">
        <v>32.61</v>
      </c>
      <c r="D798" s="3187" t="s">
        <v>4007</v>
      </c>
      <c r="E798">
        <f t="shared" si="10"/>
        <v>4981</v>
      </c>
      <c r="F798" s="3206">
        <f t="shared" si="9"/>
        <v>162430.41</v>
      </c>
      <c r="G798">
        <f t="shared" si="11"/>
        <v>16.381909547738694</v>
      </c>
    </row>
    <row r="799" spans="1:7">
      <c r="A799" s="3184">
        <v>796</v>
      </c>
      <c r="B799" s="3192">
        <v>-1123</v>
      </c>
      <c r="C799" s="3189">
        <v>32.61</v>
      </c>
      <c r="D799" s="3187" t="s">
        <v>4007</v>
      </c>
      <c r="E799">
        <f t="shared" si="10"/>
        <v>4981</v>
      </c>
      <c r="F799" s="3206">
        <f t="shared" si="9"/>
        <v>162430.41</v>
      </c>
      <c r="G799">
        <f t="shared" si="11"/>
        <v>16.381909547738694</v>
      </c>
    </row>
    <row r="800" spans="1:7">
      <c r="A800" s="3184">
        <v>797</v>
      </c>
      <c r="B800" s="3192">
        <v>-1124</v>
      </c>
      <c r="C800" s="3189">
        <v>32.61</v>
      </c>
      <c r="D800" s="3187" t="s">
        <v>4007</v>
      </c>
      <c r="E800">
        <f t="shared" si="10"/>
        <v>4981</v>
      </c>
      <c r="F800" s="3206">
        <f t="shared" si="9"/>
        <v>162430.41</v>
      </c>
      <c r="G800">
        <f t="shared" si="11"/>
        <v>16.381909547738694</v>
      </c>
    </row>
    <row r="801" spans="1:7">
      <c r="A801" s="3184">
        <v>798</v>
      </c>
      <c r="B801" s="3192">
        <v>-1125</v>
      </c>
      <c r="C801" s="3189">
        <v>32.61</v>
      </c>
      <c r="D801" s="3187" t="s">
        <v>4007</v>
      </c>
      <c r="E801">
        <f t="shared" si="10"/>
        <v>4981</v>
      </c>
      <c r="F801" s="3206">
        <f t="shared" si="9"/>
        <v>162430.41</v>
      </c>
      <c r="G801">
        <f t="shared" si="11"/>
        <v>16.381909547738694</v>
      </c>
    </row>
    <row r="802" spans="1:7">
      <c r="A802" s="3184">
        <v>799</v>
      </c>
      <c r="B802" s="3192">
        <v>-1126</v>
      </c>
      <c r="C802" s="3189">
        <v>32.61</v>
      </c>
      <c r="D802" s="3187" t="s">
        <v>4007</v>
      </c>
      <c r="E802">
        <f t="shared" si="10"/>
        <v>4981</v>
      </c>
      <c r="F802" s="3206">
        <f t="shared" si="9"/>
        <v>162430.41</v>
      </c>
      <c r="G802">
        <f t="shared" si="11"/>
        <v>16.381909547738694</v>
      </c>
    </row>
    <row r="803" spans="1:7">
      <c r="A803" s="3184">
        <v>800</v>
      </c>
      <c r="B803" s="3192">
        <v>-1127</v>
      </c>
      <c r="C803" s="3189">
        <v>32.61</v>
      </c>
      <c r="D803" s="3187" t="s">
        <v>4007</v>
      </c>
      <c r="E803">
        <f t="shared" si="10"/>
        <v>4981</v>
      </c>
      <c r="F803" s="3206">
        <f t="shared" si="9"/>
        <v>162430.41</v>
      </c>
      <c r="G803">
        <f t="shared" si="11"/>
        <v>16.381909547738694</v>
      </c>
    </row>
    <row r="804" spans="1:7">
      <c r="A804" s="3184">
        <v>801</v>
      </c>
      <c r="B804" s="3192">
        <v>-1128</v>
      </c>
      <c r="C804" s="3189">
        <v>32.61</v>
      </c>
      <c r="D804" s="3187" t="s">
        <v>4007</v>
      </c>
      <c r="E804">
        <f t="shared" si="10"/>
        <v>4981</v>
      </c>
      <c r="F804" s="3206">
        <f t="shared" si="9"/>
        <v>162430.41</v>
      </c>
      <c r="G804">
        <f t="shared" si="11"/>
        <v>16.381909547738694</v>
      </c>
    </row>
    <row r="805" spans="1:7">
      <c r="A805" s="3184">
        <v>802</v>
      </c>
      <c r="B805" s="3192">
        <v>-1129</v>
      </c>
      <c r="C805" s="3189">
        <v>32.61</v>
      </c>
      <c r="D805" s="3187" t="s">
        <v>4007</v>
      </c>
      <c r="E805">
        <f t="shared" si="10"/>
        <v>4981</v>
      </c>
      <c r="F805" s="3206">
        <f t="shared" si="9"/>
        <v>162430.41</v>
      </c>
      <c r="G805">
        <f t="shared" si="11"/>
        <v>16.381909547738694</v>
      </c>
    </row>
    <row r="806" spans="1:7">
      <c r="A806" s="3184">
        <v>803</v>
      </c>
      <c r="B806" s="3192">
        <v>-1130</v>
      </c>
      <c r="C806" s="3189">
        <v>32.61</v>
      </c>
      <c r="D806" s="3187" t="s">
        <v>4007</v>
      </c>
      <c r="E806">
        <f t="shared" si="10"/>
        <v>4981</v>
      </c>
      <c r="F806" s="3206">
        <f t="shared" si="9"/>
        <v>162430.41</v>
      </c>
      <c r="G806">
        <f t="shared" si="11"/>
        <v>16.381909547738694</v>
      </c>
    </row>
    <row r="807" spans="1:7">
      <c r="A807" s="3184">
        <v>804</v>
      </c>
      <c r="B807" s="3192">
        <v>-1131</v>
      </c>
      <c r="C807" s="3189">
        <v>32.61</v>
      </c>
      <c r="D807" s="3187" t="s">
        <v>4007</v>
      </c>
      <c r="E807">
        <f t="shared" si="10"/>
        <v>4981</v>
      </c>
      <c r="F807" s="3206">
        <f t="shared" si="9"/>
        <v>162430.41</v>
      </c>
      <c r="G807">
        <f t="shared" si="11"/>
        <v>16.381909547738694</v>
      </c>
    </row>
    <row r="808" spans="1:7">
      <c r="A808" s="3184">
        <v>805</v>
      </c>
      <c r="B808" s="3192">
        <v>-1132</v>
      </c>
      <c r="C808" s="3189">
        <v>32.61</v>
      </c>
      <c r="D808" s="3187" t="s">
        <v>4007</v>
      </c>
      <c r="E808">
        <f t="shared" si="10"/>
        <v>4981</v>
      </c>
      <c r="F808" s="3206">
        <f t="shared" ref="F808:F871" si="12">E808*C808</f>
        <v>162430.41</v>
      </c>
      <c r="G808">
        <f t="shared" si="11"/>
        <v>16.381909547738694</v>
      </c>
    </row>
    <row r="809" spans="1:7">
      <c r="A809" s="3184">
        <v>806</v>
      </c>
      <c r="B809" s="3192">
        <v>-1133</v>
      </c>
      <c r="C809" s="3189">
        <v>32.61</v>
      </c>
      <c r="D809" s="3187" t="s">
        <v>4007</v>
      </c>
      <c r="E809">
        <f t="shared" ref="E809:E872" si="13">E808</f>
        <v>4981</v>
      </c>
      <c r="F809" s="3206">
        <f t="shared" si="12"/>
        <v>162430.41</v>
      </c>
      <c r="G809">
        <f t="shared" ref="G809:G872" si="14">G808</f>
        <v>16.381909547738694</v>
      </c>
    </row>
    <row r="810" spans="1:7">
      <c r="A810" s="3184">
        <v>807</v>
      </c>
      <c r="B810" s="3192">
        <v>-1134</v>
      </c>
      <c r="C810" s="3189">
        <v>32.61</v>
      </c>
      <c r="D810" s="3187" t="s">
        <v>4007</v>
      </c>
      <c r="E810">
        <f t="shared" si="13"/>
        <v>4981</v>
      </c>
      <c r="F810" s="3206">
        <f t="shared" si="12"/>
        <v>162430.41</v>
      </c>
      <c r="G810">
        <f t="shared" si="14"/>
        <v>16.381909547738694</v>
      </c>
    </row>
    <row r="811" spans="1:7">
      <c r="A811" s="3184">
        <v>808</v>
      </c>
      <c r="B811" s="3192">
        <v>-1135</v>
      </c>
      <c r="C811" s="3189">
        <v>32.61</v>
      </c>
      <c r="D811" s="3187" t="s">
        <v>4007</v>
      </c>
      <c r="E811">
        <f t="shared" si="13"/>
        <v>4981</v>
      </c>
      <c r="F811" s="3206">
        <f t="shared" si="12"/>
        <v>162430.41</v>
      </c>
      <c r="G811">
        <f t="shared" si="14"/>
        <v>16.381909547738694</v>
      </c>
    </row>
    <row r="812" spans="1:7">
      <c r="A812" s="3184">
        <v>809</v>
      </c>
      <c r="B812" s="3192">
        <v>-1136</v>
      </c>
      <c r="C812" s="3189">
        <v>32.61</v>
      </c>
      <c r="D812" s="3187" t="s">
        <v>4007</v>
      </c>
      <c r="E812">
        <f t="shared" si="13"/>
        <v>4981</v>
      </c>
      <c r="F812" s="3206">
        <f t="shared" si="12"/>
        <v>162430.41</v>
      </c>
      <c r="G812">
        <f t="shared" si="14"/>
        <v>16.381909547738694</v>
      </c>
    </row>
    <row r="813" spans="1:7">
      <c r="A813" s="3184">
        <v>810</v>
      </c>
      <c r="B813" s="3192">
        <v>-1137</v>
      </c>
      <c r="C813" s="3189">
        <v>32.61</v>
      </c>
      <c r="D813" s="3187" t="s">
        <v>4007</v>
      </c>
      <c r="E813">
        <f t="shared" si="13"/>
        <v>4981</v>
      </c>
      <c r="F813" s="3206">
        <f t="shared" si="12"/>
        <v>162430.41</v>
      </c>
      <c r="G813">
        <f t="shared" si="14"/>
        <v>16.381909547738694</v>
      </c>
    </row>
    <row r="814" spans="1:7">
      <c r="A814" s="3184">
        <v>811</v>
      </c>
      <c r="B814" s="3192">
        <v>-1138</v>
      </c>
      <c r="C814" s="3189">
        <v>32.61</v>
      </c>
      <c r="D814" s="3187" t="s">
        <v>4007</v>
      </c>
      <c r="E814">
        <f t="shared" si="13"/>
        <v>4981</v>
      </c>
      <c r="F814" s="3206">
        <f t="shared" si="12"/>
        <v>162430.41</v>
      </c>
      <c r="G814">
        <f t="shared" si="14"/>
        <v>16.381909547738694</v>
      </c>
    </row>
    <row r="815" spans="1:7">
      <c r="A815" s="3184">
        <v>812</v>
      </c>
      <c r="B815" s="3192">
        <v>-1139</v>
      </c>
      <c r="C815" s="3189">
        <v>32.61</v>
      </c>
      <c r="D815" s="3187" t="s">
        <v>4007</v>
      </c>
      <c r="E815">
        <f t="shared" si="13"/>
        <v>4981</v>
      </c>
      <c r="F815" s="3206">
        <f t="shared" si="12"/>
        <v>162430.41</v>
      </c>
      <c r="G815">
        <f t="shared" si="14"/>
        <v>16.381909547738694</v>
      </c>
    </row>
    <row r="816" spans="1:7">
      <c r="A816" s="3184">
        <v>813</v>
      </c>
      <c r="B816" s="3192">
        <v>-1140</v>
      </c>
      <c r="C816" s="3189">
        <v>32.61</v>
      </c>
      <c r="D816" s="3187" t="s">
        <v>4007</v>
      </c>
      <c r="E816">
        <f t="shared" si="13"/>
        <v>4981</v>
      </c>
      <c r="F816" s="3206">
        <f t="shared" si="12"/>
        <v>162430.41</v>
      </c>
      <c r="G816">
        <f t="shared" si="14"/>
        <v>16.381909547738694</v>
      </c>
    </row>
    <row r="817" spans="1:7">
      <c r="A817" s="3184">
        <v>814</v>
      </c>
      <c r="B817" s="3192">
        <v>-1141</v>
      </c>
      <c r="C817" s="3189">
        <v>32.61</v>
      </c>
      <c r="D817" s="3187" t="s">
        <v>4007</v>
      </c>
      <c r="E817">
        <f t="shared" si="13"/>
        <v>4981</v>
      </c>
      <c r="F817" s="3206">
        <f t="shared" si="12"/>
        <v>162430.41</v>
      </c>
      <c r="G817">
        <f t="shared" si="14"/>
        <v>16.381909547738694</v>
      </c>
    </row>
    <row r="818" spans="1:7">
      <c r="A818" s="3184">
        <v>815</v>
      </c>
      <c r="B818" s="3192">
        <v>-1142</v>
      </c>
      <c r="C818" s="3189">
        <v>32.61</v>
      </c>
      <c r="D818" s="3187" t="s">
        <v>4007</v>
      </c>
      <c r="E818">
        <f t="shared" si="13"/>
        <v>4981</v>
      </c>
      <c r="F818" s="3206">
        <f t="shared" si="12"/>
        <v>162430.41</v>
      </c>
      <c r="G818">
        <f t="shared" si="14"/>
        <v>16.381909547738694</v>
      </c>
    </row>
    <row r="819" spans="1:7">
      <c r="A819" s="3184">
        <v>816</v>
      </c>
      <c r="B819" s="3192">
        <v>-1143</v>
      </c>
      <c r="C819" s="3189">
        <v>32.61</v>
      </c>
      <c r="D819" s="3187" t="s">
        <v>4007</v>
      </c>
      <c r="E819">
        <f t="shared" si="13"/>
        <v>4981</v>
      </c>
      <c r="F819" s="3206">
        <f t="shared" si="12"/>
        <v>162430.41</v>
      </c>
      <c r="G819">
        <f t="shared" si="14"/>
        <v>16.381909547738694</v>
      </c>
    </row>
    <row r="820" spans="1:7">
      <c r="A820" s="3184">
        <v>817</v>
      </c>
      <c r="B820" s="3192">
        <v>-1144</v>
      </c>
      <c r="C820" s="3189">
        <v>32.61</v>
      </c>
      <c r="D820" s="3187" t="s">
        <v>4007</v>
      </c>
      <c r="E820">
        <f t="shared" si="13"/>
        <v>4981</v>
      </c>
      <c r="F820" s="3206">
        <f t="shared" si="12"/>
        <v>162430.41</v>
      </c>
      <c r="G820">
        <f t="shared" si="14"/>
        <v>16.381909547738694</v>
      </c>
    </row>
    <row r="821" spans="1:7">
      <c r="A821" s="3184">
        <v>818</v>
      </c>
      <c r="B821" s="3192">
        <v>-1145</v>
      </c>
      <c r="C821" s="3189">
        <v>32.61</v>
      </c>
      <c r="D821" s="3187" t="s">
        <v>4007</v>
      </c>
      <c r="E821">
        <f t="shared" si="13"/>
        <v>4981</v>
      </c>
      <c r="F821" s="3206">
        <f t="shared" si="12"/>
        <v>162430.41</v>
      </c>
      <c r="G821">
        <f t="shared" si="14"/>
        <v>16.381909547738694</v>
      </c>
    </row>
    <row r="822" spans="1:7">
      <c r="A822" s="3184">
        <v>819</v>
      </c>
      <c r="B822" s="3192">
        <v>-1146</v>
      </c>
      <c r="C822" s="3189">
        <v>32.61</v>
      </c>
      <c r="D822" s="3187" t="s">
        <v>4007</v>
      </c>
      <c r="E822">
        <f t="shared" si="13"/>
        <v>4981</v>
      </c>
      <c r="F822" s="3206">
        <f t="shared" si="12"/>
        <v>162430.41</v>
      </c>
      <c r="G822">
        <f t="shared" si="14"/>
        <v>16.381909547738694</v>
      </c>
    </row>
    <row r="823" spans="1:7">
      <c r="A823" s="3184">
        <v>820</v>
      </c>
      <c r="B823" s="3192">
        <v>-1147</v>
      </c>
      <c r="C823" s="3189">
        <v>32.61</v>
      </c>
      <c r="D823" s="3187" t="s">
        <v>4007</v>
      </c>
      <c r="E823">
        <f t="shared" si="13"/>
        <v>4981</v>
      </c>
      <c r="F823" s="3206">
        <f t="shared" si="12"/>
        <v>162430.41</v>
      </c>
      <c r="G823">
        <f t="shared" si="14"/>
        <v>16.381909547738694</v>
      </c>
    </row>
    <row r="824" spans="1:7">
      <c r="A824" s="3184">
        <v>821</v>
      </c>
      <c r="B824" s="3192">
        <v>-1148</v>
      </c>
      <c r="C824" s="3189">
        <v>32.61</v>
      </c>
      <c r="D824" s="3187" t="s">
        <v>4007</v>
      </c>
      <c r="E824">
        <f t="shared" si="13"/>
        <v>4981</v>
      </c>
      <c r="F824" s="3206">
        <f t="shared" si="12"/>
        <v>162430.41</v>
      </c>
      <c r="G824">
        <f t="shared" si="14"/>
        <v>16.381909547738694</v>
      </c>
    </row>
    <row r="825" spans="1:7">
      <c r="A825" s="3184">
        <v>822</v>
      </c>
      <c r="B825" s="3192">
        <v>-1149</v>
      </c>
      <c r="C825" s="3189">
        <v>32.61</v>
      </c>
      <c r="D825" s="3187" t="s">
        <v>4007</v>
      </c>
      <c r="E825">
        <f t="shared" si="13"/>
        <v>4981</v>
      </c>
      <c r="F825" s="3206">
        <f t="shared" si="12"/>
        <v>162430.41</v>
      </c>
      <c r="G825">
        <f t="shared" si="14"/>
        <v>16.381909547738694</v>
      </c>
    </row>
    <row r="826" spans="1:7">
      <c r="A826" s="3184">
        <v>823</v>
      </c>
      <c r="B826" s="3192">
        <v>-1150</v>
      </c>
      <c r="C826" s="3189">
        <v>32.61</v>
      </c>
      <c r="D826" s="3187" t="s">
        <v>4007</v>
      </c>
      <c r="E826">
        <f t="shared" si="13"/>
        <v>4981</v>
      </c>
      <c r="F826" s="3206">
        <f t="shared" si="12"/>
        <v>162430.41</v>
      </c>
      <c r="G826">
        <f t="shared" si="14"/>
        <v>16.381909547738694</v>
      </c>
    </row>
    <row r="827" spans="1:7">
      <c r="A827" s="3184">
        <v>824</v>
      </c>
      <c r="B827" s="3192">
        <v>-1151</v>
      </c>
      <c r="C827" s="3189">
        <v>32.61</v>
      </c>
      <c r="D827" s="3187" t="s">
        <v>4007</v>
      </c>
      <c r="E827">
        <f t="shared" si="13"/>
        <v>4981</v>
      </c>
      <c r="F827" s="3206">
        <f t="shared" si="12"/>
        <v>162430.41</v>
      </c>
      <c r="G827">
        <f t="shared" si="14"/>
        <v>16.381909547738694</v>
      </c>
    </row>
    <row r="828" spans="1:7">
      <c r="A828" s="3184">
        <v>825</v>
      </c>
      <c r="B828" s="3192">
        <v>-1152</v>
      </c>
      <c r="C828" s="3189">
        <v>32.61</v>
      </c>
      <c r="D828" s="3187" t="s">
        <v>4007</v>
      </c>
      <c r="E828">
        <f t="shared" si="13"/>
        <v>4981</v>
      </c>
      <c r="F828" s="3206">
        <f t="shared" si="12"/>
        <v>162430.41</v>
      </c>
      <c r="G828">
        <f t="shared" si="14"/>
        <v>16.381909547738694</v>
      </c>
    </row>
    <row r="829" spans="1:7">
      <c r="A829" s="3184">
        <v>826</v>
      </c>
      <c r="B829" s="3192">
        <v>-1153</v>
      </c>
      <c r="C829" s="3189">
        <v>32.61</v>
      </c>
      <c r="D829" s="3187" t="s">
        <v>4007</v>
      </c>
      <c r="E829">
        <f t="shared" si="13"/>
        <v>4981</v>
      </c>
      <c r="F829" s="3206">
        <f t="shared" si="12"/>
        <v>162430.41</v>
      </c>
      <c r="G829">
        <f t="shared" si="14"/>
        <v>16.381909547738694</v>
      </c>
    </row>
    <row r="830" spans="1:7">
      <c r="A830" s="3184">
        <v>827</v>
      </c>
      <c r="B830" s="3192">
        <v>-1154</v>
      </c>
      <c r="C830" s="3189">
        <v>32.61</v>
      </c>
      <c r="D830" s="3187" t="s">
        <v>4007</v>
      </c>
      <c r="E830">
        <f t="shared" si="13"/>
        <v>4981</v>
      </c>
      <c r="F830" s="3206">
        <f t="shared" si="12"/>
        <v>162430.41</v>
      </c>
      <c r="G830">
        <f t="shared" si="14"/>
        <v>16.381909547738694</v>
      </c>
    </row>
    <row r="831" spans="1:7">
      <c r="A831" s="3184">
        <v>828</v>
      </c>
      <c r="B831" s="3192">
        <v>-1155</v>
      </c>
      <c r="C831" s="3189">
        <v>32.61</v>
      </c>
      <c r="D831" s="3187" t="s">
        <v>4007</v>
      </c>
      <c r="E831">
        <f t="shared" si="13"/>
        <v>4981</v>
      </c>
      <c r="F831" s="3206">
        <f t="shared" si="12"/>
        <v>162430.41</v>
      </c>
      <c r="G831">
        <f t="shared" si="14"/>
        <v>16.381909547738694</v>
      </c>
    </row>
    <row r="832" spans="1:7">
      <c r="A832" s="3184">
        <v>829</v>
      </c>
      <c r="B832" s="3192">
        <v>-1156</v>
      </c>
      <c r="C832" s="3189">
        <v>32.61</v>
      </c>
      <c r="D832" s="3187" t="s">
        <v>4007</v>
      </c>
      <c r="E832">
        <f t="shared" si="13"/>
        <v>4981</v>
      </c>
      <c r="F832" s="3206">
        <f t="shared" si="12"/>
        <v>162430.41</v>
      </c>
      <c r="G832">
        <f t="shared" si="14"/>
        <v>16.381909547738694</v>
      </c>
    </row>
    <row r="833" spans="1:7">
      <c r="A833" s="3184">
        <v>830</v>
      </c>
      <c r="B833" s="3192">
        <v>-1157</v>
      </c>
      <c r="C833" s="3189">
        <v>32.61</v>
      </c>
      <c r="D833" s="3187" t="s">
        <v>4007</v>
      </c>
      <c r="E833">
        <f t="shared" si="13"/>
        <v>4981</v>
      </c>
      <c r="F833" s="3206">
        <f t="shared" si="12"/>
        <v>162430.41</v>
      </c>
      <c r="G833">
        <f t="shared" si="14"/>
        <v>16.381909547738694</v>
      </c>
    </row>
    <row r="834" spans="1:7">
      <c r="A834" s="3184">
        <v>831</v>
      </c>
      <c r="B834" s="3192">
        <v>-1158</v>
      </c>
      <c r="C834" s="3189">
        <v>32.61</v>
      </c>
      <c r="D834" s="3187" t="s">
        <v>4007</v>
      </c>
      <c r="E834">
        <f t="shared" si="13"/>
        <v>4981</v>
      </c>
      <c r="F834" s="3206">
        <f t="shared" si="12"/>
        <v>162430.41</v>
      </c>
      <c r="G834">
        <f t="shared" si="14"/>
        <v>16.381909547738694</v>
      </c>
    </row>
    <row r="835" spans="1:7">
      <c r="A835" s="3184">
        <v>832</v>
      </c>
      <c r="B835" s="3192">
        <v>-1159</v>
      </c>
      <c r="C835" s="3189">
        <v>32.61</v>
      </c>
      <c r="D835" s="3187" t="s">
        <v>4007</v>
      </c>
      <c r="E835">
        <f t="shared" si="13"/>
        <v>4981</v>
      </c>
      <c r="F835" s="3206">
        <f t="shared" si="12"/>
        <v>162430.41</v>
      </c>
      <c r="G835">
        <f t="shared" si="14"/>
        <v>16.381909547738694</v>
      </c>
    </row>
    <row r="836" spans="1:7">
      <c r="A836" s="3184">
        <v>833</v>
      </c>
      <c r="B836" s="3192">
        <v>-1160</v>
      </c>
      <c r="C836" s="3189">
        <v>32.61</v>
      </c>
      <c r="D836" s="3187" t="s">
        <v>4007</v>
      </c>
      <c r="E836">
        <f t="shared" si="13"/>
        <v>4981</v>
      </c>
      <c r="F836" s="3206">
        <f t="shared" si="12"/>
        <v>162430.41</v>
      </c>
      <c r="G836">
        <f t="shared" si="14"/>
        <v>16.381909547738694</v>
      </c>
    </row>
    <row r="837" spans="1:7">
      <c r="A837" s="3184">
        <v>834</v>
      </c>
      <c r="B837" s="3192">
        <v>-1161</v>
      </c>
      <c r="C837" s="3189">
        <v>32.61</v>
      </c>
      <c r="D837" s="3187" t="s">
        <v>4007</v>
      </c>
      <c r="E837">
        <f t="shared" si="13"/>
        <v>4981</v>
      </c>
      <c r="F837" s="3206">
        <f t="shared" si="12"/>
        <v>162430.41</v>
      </c>
      <c r="G837">
        <f t="shared" si="14"/>
        <v>16.381909547738694</v>
      </c>
    </row>
    <row r="838" spans="1:7">
      <c r="A838" s="3184">
        <v>835</v>
      </c>
      <c r="B838" s="3192">
        <v>-1162</v>
      </c>
      <c r="C838" s="3189">
        <v>32.61</v>
      </c>
      <c r="D838" s="3187" t="s">
        <v>4007</v>
      </c>
      <c r="E838">
        <f t="shared" si="13"/>
        <v>4981</v>
      </c>
      <c r="F838" s="3206">
        <f t="shared" si="12"/>
        <v>162430.41</v>
      </c>
      <c r="G838">
        <f t="shared" si="14"/>
        <v>16.381909547738694</v>
      </c>
    </row>
    <row r="839" spans="1:7">
      <c r="A839" s="3184">
        <v>836</v>
      </c>
      <c r="B839" s="3192">
        <v>-1163</v>
      </c>
      <c r="C839" s="3189">
        <v>32.61</v>
      </c>
      <c r="D839" s="3187" t="s">
        <v>4007</v>
      </c>
      <c r="E839">
        <f t="shared" si="13"/>
        <v>4981</v>
      </c>
      <c r="F839" s="3206">
        <f t="shared" si="12"/>
        <v>162430.41</v>
      </c>
      <c r="G839">
        <f t="shared" si="14"/>
        <v>16.381909547738694</v>
      </c>
    </row>
    <row r="840" spans="1:7">
      <c r="A840" s="3184">
        <v>837</v>
      </c>
      <c r="B840" s="3192">
        <v>-1164</v>
      </c>
      <c r="C840" s="3189">
        <v>32.61</v>
      </c>
      <c r="D840" s="3187" t="s">
        <v>4007</v>
      </c>
      <c r="E840">
        <f t="shared" si="13"/>
        <v>4981</v>
      </c>
      <c r="F840" s="3206">
        <f t="shared" si="12"/>
        <v>162430.41</v>
      </c>
      <c r="G840">
        <f t="shared" si="14"/>
        <v>16.381909547738694</v>
      </c>
    </row>
    <row r="841" spans="1:7">
      <c r="A841" s="3184">
        <v>838</v>
      </c>
      <c r="B841" s="3192">
        <v>-1165</v>
      </c>
      <c r="C841" s="3189">
        <v>32.61</v>
      </c>
      <c r="D841" s="3187" t="s">
        <v>4007</v>
      </c>
      <c r="E841">
        <f t="shared" si="13"/>
        <v>4981</v>
      </c>
      <c r="F841" s="3206">
        <f t="shared" si="12"/>
        <v>162430.41</v>
      </c>
      <c r="G841">
        <f t="shared" si="14"/>
        <v>16.381909547738694</v>
      </c>
    </row>
    <row r="842" spans="1:7">
      <c r="A842" s="3184">
        <v>839</v>
      </c>
      <c r="B842" s="3192">
        <v>-1166</v>
      </c>
      <c r="C842" s="3189">
        <v>32.61</v>
      </c>
      <c r="D842" s="3187" t="s">
        <v>4007</v>
      </c>
      <c r="E842">
        <f t="shared" si="13"/>
        <v>4981</v>
      </c>
      <c r="F842" s="3206">
        <f t="shared" si="12"/>
        <v>162430.41</v>
      </c>
      <c r="G842">
        <f t="shared" si="14"/>
        <v>16.381909547738694</v>
      </c>
    </row>
    <row r="843" spans="1:7">
      <c r="A843" s="3184">
        <v>840</v>
      </c>
      <c r="B843" s="3192">
        <v>-1167</v>
      </c>
      <c r="C843" s="3189">
        <v>32.61</v>
      </c>
      <c r="D843" s="3187" t="s">
        <v>4007</v>
      </c>
      <c r="E843">
        <f t="shared" si="13"/>
        <v>4981</v>
      </c>
      <c r="F843" s="3206">
        <f t="shared" si="12"/>
        <v>162430.41</v>
      </c>
      <c r="G843">
        <f t="shared" si="14"/>
        <v>16.381909547738694</v>
      </c>
    </row>
    <row r="844" spans="1:7">
      <c r="A844" s="3184">
        <v>841</v>
      </c>
      <c r="B844" s="3192">
        <v>-1168</v>
      </c>
      <c r="C844" s="3189">
        <v>32.61</v>
      </c>
      <c r="D844" s="3187" t="s">
        <v>4007</v>
      </c>
      <c r="E844">
        <f t="shared" si="13"/>
        <v>4981</v>
      </c>
      <c r="F844" s="3206">
        <f t="shared" si="12"/>
        <v>162430.41</v>
      </c>
      <c r="G844">
        <f t="shared" si="14"/>
        <v>16.381909547738694</v>
      </c>
    </row>
    <row r="845" spans="1:7">
      <c r="A845" s="3184">
        <v>842</v>
      </c>
      <c r="B845" s="3192">
        <v>-1169</v>
      </c>
      <c r="C845" s="3189">
        <v>32.61</v>
      </c>
      <c r="D845" s="3187" t="s">
        <v>4007</v>
      </c>
      <c r="E845">
        <f t="shared" si="13"/>
        <v>4981</v>
      </c>
      <c r="F845" s="3206">
        <f t="shared" si="12"/>
        <v>162430.41</v>
      </c>
      <c r="G845">
        <f t="shared" si="14"/>
        <v>16.381909547738694</v>
      </c>
    </row>
    <row r="846" spans="1:7">
      <c r="A846" s="3184">
        <v>843</v>
      </c>
      <c r="B846" s="3192">
        <v>-1170</v>
      </c>
      <c r="C846" s="3189">
        <v>32.61</v>
      </c>
      <c r="D846" s="3187" t="s">
        <v>4007</v>
      </c>
      <c r="E846">
        <f t="shared" si="13"/>
        <v>4981</v>
      </c>
      <c r="F846" s="3206">
        <f t="shared" si="12"/>
        <v>162430.41</v>
      </c>
      <c r="G846">
        <f t="shared" si="14"/>
        <v>16.381909547738694</v>
      </c>
    </row>
    <row r="847" spans="1:7">
      <c r="A847" s="3184">
        <v>844</v>
      </c>
      <c r="B847" s="3192">
        <v>-1171</v>
      </c>
      <c r="C847" s="3189">
        <v>32.61</v>
      </c>
      <c r="D847" s="3187" t="s">
        <v>4007</v>
      </c>
      <c r="E847">
        <f t="shared" si="13"/>
        <v>4981</v>
      </c>
      <c r="F847" s="3206">
        <f t="shared" si="12"/>
        <v>162430.41</v>
      </c>
      <c r="G847">
        <f t="shared" si="14"/>
        <v>16.381909547738694</v>
      </c>
    </row>
    <row r="848" spans="1:7">
      <c r="A848" s="3184">
        <v>845</v>
      </c>
      <c r="B848" s="3192">
        <v>-1172</v>
      </c>
      <c r="C848" s="3189">
        <v>32.61</v>
      </c>
      <c r="D848" s="3187" t="s">
        <v>4007</v>
      </c>
      <c r="E848">
        <f t="shared" si="13"/>
        <v>4981</v>
      </c>
      <c r="F848" s="3206">
        <f t="shared" si="12"/>
        <v>162430.41</v>
      </c>
      <c r="G848">
        <f t="shared" si="14"/>
        <v>16.381909547738694</v>
      </c>
    </row>
    <row r="849" spans="1:7">
      <c r="A849" s="3184">
        <v>846</v>
      </c>
      <c r="B849" s="3192">
        <v>-1173</v>
      </c>
      <c r="C849" s="3189">
        <v>32.61</v>
      </c>
      <c r="D849" s="3187" t="s">
        <v>4007</v>
      </c>
      <c r="E849">
        <f t="shared" si="13"/>
        <v>4981</v>
      </c>
      <c r="F849" s="3206">
        <f t="shared" si="12"/>
        <v>162430.41</v>
      </c>
      <c r="G849">
        <f t="shared" si="14"/>
        <v>16.381909547738694</v>
      </c>
    </row>
    <row r="850" spans="1:7">
      <c r="A850" s="3184">
        <v>847</v>
      </c>
      <c r="B850" s="3192">
        <v>-1174</v>
      </c>
      <c r="C850" s="3189">
        <v>32.61</v>
      </c>
      <c r="D850" s="3187" t="s">
        <v>4007</v>
      </c>
      <c r="E850">
        <f t="shared" si="13"/>
        <v>4981</v>
      </c>
      <c r="F850" s="3206">
        <f t="shared" si="12"/>
        <v>162430.41</v>
      </c>
      <c r="G850">
        <f t="shared" si="14"/>
        <v>16.381909547738694</v>
      </c>
    </row>
    <row r="851" spans="1:7">
      <c r="A851" s="3184">
        <v>848</v>
      </c>
      <c r="B851" s="3192">
        <v>-1175</v>
      </c>
      <c r="C851" s="3189">
        <v>32.61</v>
      </c>
      <c r="D851" s="3187" t="s">
        <v>4007</v>
      </c>
      <c r="E851">
        <f t="shared" si="13"/>
        <v>4981</v>
      </c>
      <c r="F851" s="3206">
        <f t="shared" si="12"/>
        <v>162430.41</v>
      </c>
      <c r="G851">
        <f t="shared" si="14"/>
        <v>16.381909547738694</v>
      </c>
    </row>
    <row r="852" spans="1:7">
      <c r="A852" s="3184">
        <v>849</v>
      </c>
      <c r="B852" s="3192">
        <v>-1176</v>
      </c>
      <c r="C852" s="3189">
        <v>32.61</v>
      </c>
      <c r="D852" s="3187" t="s">
        <v>4007</v>
      </c>
      <c r="E852">
        <f t="shared" si="13"/>
        <v>4981</v>
      </c>
      <c r="F852" s="3206">
        <f t="shared" si="12"/>
        <v>162430.41</v>
      </c>
      <c r="G852">
        <f t="shared" si="14"/>
        <v>16.381909547738694</v>
      </c>
    </row>
    <row r="853" spans="1:7">
      <c r="A853" s="3184">
        <v>850</v>
      </c>
      <c r="B853" s="3192">
        <v>-1177</v>
      </c>
      <c r="C853" s="3189">
        <v>32.61</v>
      </c>
      <c r="D853" s="3187" t="s">
        <v>4007</v>
      </c>
      <c r="E853">
        <f t="shared" si="13"/>
        <v>4981</v>
      </c>
      <c r="F853" s="3206">
        <f t="shared" si="12"/>
        <v>162430.41</v>
      </c>
      <c r="G853">
        <f t="shared" si="14"/>
        <v>16.381909547738694</v>
      </c>
    </row>
    <row r="854" spans="1:7">
      <c r="A854" s="3184">
        <v>851</v>
      </c>
      <c r="B854" s="3192">
        <v>-1178</v>
      </c>
      <c r="C854" s="3189">
        <v>32.61</v>
      </c>
      <c r="D854" s="3187" t="s">
        <v>4007</v>
      </c>
      <c r="E854">
        <f t="shared" si="13"/>
        <v>4981</v>
      </c>
      <c r="F854" s="3206">
        <f t="shared" si="12"/>
        <v>162430.41</v>
      </c>
      <c r="G854">
        <f t="shared" si="14"/>
        <v>16.381909547738694</v>
      </c>
    </row>
    <row r="855" spans="1:7">
      <c r="A855" s="3184">
        <v>852</v>
      </c>
      <c r="B855" s="3192">
        <v>-1179</v>
      </c>
      <c r="C855" s="3189">
        <v>32.61</v>
      </c>
      <c r="D855" s="3187" t="s">
        <v>4007</v>
      </c>
      <c r="E855">
        <f t="shared" si="13"/>
        <v>4981</v>
      </c>
      <c r="F855" s="3206">
        <f t="shared" si="12"/>
        <v>162430.41</v>
      </c>
      <c r="G855">
        <f t="shared" si="14"/>
        <v>16.381909547738694</v>
      </c>
    </row>
    <row r="856" spans="1:7">
      <c r="A856" s="3184">
        <v>853</v>
      </c>
      <c r="B856" s="3192">
        <v>-1180</v>
      </c>
      <c r="C856" s="3189">
        <v>32.61</v>
      </c>
      <c r="D856" s="3187" t="s">
        <v>4007</v>
      </c>
      <c r="E856">
        <f t="shared" si="13"/>
        <v>4981</v>
      </c>
      <c r="F856" s="3206">
        <f t="shared" si="12"/>
        <v>162430.41</v>
      </c>
      <c r="G856">
        <f t="shared" si="14"/>
        <v>16.381909547738694</v>
      </c>
    </row>
    <row r="857" spans="1:7">
      <c r="A857" s="3184">
        <v>854</v>
      </c>
      <c r="B857" s="3192">
        <v>-1181</v>
      </c>
      <c r="C857" s="3189">
        <v>32.61</v>
      </c>
      <c r="D857" s="3187" t="s">
        <v>4007</v>
      </c>
      <c r="E857">
        <f t="shared" si="13"/>
        <v>4981</v>
      </c>
      <c r="F857" s="3206">
        <f t="shared" si="12"/>
        <v>162430.41</v>
      </c>
      <c r="G857">
        <f t="shared" si="14"/>
        <v>16.381909547738694</v>
      </c>
    </row>
    <row r="858" spans="1:7">
      <c r="A858" s="3184">
        <v>855</v>
      </c>
      <c r="B858" s="3192">
        <v>-1182</v>
      </c>
      <c r="C858" s="3189">
        <v>32.61</v>
      </c>
      <c r="D858" s="3187" t="s">
        <v>4007</v>
      </c>
      <c r="E858">
        <f t="shared" si="13"/>
        <v>4981</v>
      </c>
      <c r="F858" s="3206">
        <f t="shared" si="12"/>
        <v>162430.41</v>
      </c>
      <c r="G858">
        <f t="shared" si="14"/>
        <v>16.381909547738694</v>
      </c>
    </row>
    <row r="859" spans="1:7">
      <c r="A859" s="3184">
        <v>856</v>
      </c>
      <c r="B859" s="3192">
        <v>-1183</v>
      </c>
      <c r="C859" s="3189">
        <v>32.61</v>
      </c>
      <c r="D859" s="3187" t="s">
        <v>4007</v>
      </c>
      <c r="E859">
        <f t="shared" si="13"/>
        <v>4981</v>
      </c>
      <c r="F859" s="3206">
        <f t="shared" si="12"/>
        <v>162430.41</v>
      </c>
      <c r="G859">
        <f t="shared" si="14"/>
        <v>16.381909547738694</v>
      </c>
    </row>
    <row r="860" spans="1:7">
      <c r="A860" s="3184">
        <v>857</v>
      </c>
      <c r="B860" s="3192">
        <v>-1184</v>
      </c>
      <c r="C860" s="3189">
        <v>32.61</v>
      </c>
      <c r="D860" s="3187" t="s">
        <v>4007</v>
      </c>
      <c r="E860">
        <f t="shared" si="13"/>
        <v>4981</v>
      </c>
      <c r="F860" s="3206">
        <f t="shared" si="12"/>
        <v>162430.41</v>
      </c>
      <c r="G860">
        <f t="shared" si="14"/>
        <v>16.381909547738694</v>
      </c>
    </row>
    <row r="861" spans="1:7">
      <c r="A861" s="3184">
        <v>858</v>
      </c>
      <c r="B861" s="3192">
        <v>-1185</v>
      </c>
      <c r="C861" s="3189">
        <v>32.61</v>
      </c>
      <c r="D861" s="3187" t="s">
        <v>4007</v>
      </c>
      <c r="E861">
        <f t="shared" si="13"/>
        <v>4981</v>
      </c>
      <c r="F861" s="3206">
        <f t="shared" si="12"/>
        <v>162430.41</v>
      </c>
      <c r="G861">
        <f t="shared" si="14"/>
        <v>16.381909547738694</v>
      </c>
    </row>
    <row r="862" spans="1:7">
      <c r="A862" s="3184">
        <v>859</v>
      </c>
      <c r="B862" s="3192">
        <v>-1186</v>
      </c>
      <c r="C862" s="3189">
        <v>32.61</v>
      </c>
      <c r="D862" s="3187" t="s">
        <v>4007</v>
      </c>
      <c r="E862">
        <f t="shared" si="13"/>
        <v>4981</v>
      </c>
      <c r="F862" s="3206">
        <f t="shared" si="12"/>
        <v>162430.41</v>
      </c>
      <c r="G862">
        <f t="shared" si="14"/>
        <v>16.381909547738694</v>
      </c>
    </row>
    <row r="863" spans="1:7">
      <c r="A863" s="3184">
        <v>860</v>
      </c>
      <c r="B863" s="3192">
        <v>-1187</v>
      </c>
      <c r="C863" s="3189">
        <v>32.61</v>
      </c>
      <c r="D863" s="3187" t="s">
        <v>4007</v>
      </c>
      <c r="E863">
        <f t="shared" si="13"/>
        <v>4981</v>
      </c>
      <c r="F863" s="3206">
        <f t="shared" si="12"/>
        <v>162430.41</v>
      </c>
      <c r="G863">
        <f t="shared" si="14"/>
        <v>16.381909547738694</v>
      </c>
    </row>
    <row r="864" spans="1:7">
      <c r="A864" s="3184">
        <v>861</v>
      </c>
      <c r="B864" s="3192">
        <v>-1188</v>
      </c>
      <c r="C864" s="3189">
        <v>32.61</v>
      </c>
      <c r="D864" s="3187" t="s">
        <v>4007</v>
      </c>
      <c r="E864">
        <f t="shared" si="13"/>
        <v>4981</v>
      </c>
      <c r="F864" s="3206">
        <f t="shared" si="12"/>
        <v>162430.41</v>
      </c>
      <c r="G864">
        <f t="shared" si="14"/>
        <v>16.381909547738694</v>
      </c>
    </row>
    <row r="865" spans="1:7">
      <c r="A865" s="3184">
        <v>862</v>
      </c>
      <c r="B865" s="3192">
        <v>-1189</v>
      </c>
      <c r="C865" s="3189">
        <v>32.61</v>
      </c>
      <c r="D865" s="3187" t="s">
        <v>4007</v>
      </c>
      <c r="E865">
        <f t="shared" si="13"/>
        <v>4981</v>
      </c>
      <c r="F865" s="3206">
        <f t="shared" si="12"/>
        <v>162430.41</v>
      </c>
      <c r="G865">
        <f t="shared" si="14"/>
        <v>16.381909547738694</v>
      </c>
    </row>
    <row r="866" spans="1:7">
      <c r="A866" s="3184">
        <v>863</v>
      </c>
      <c r="B866" s="3192">
        <v>-1190</v>
      </c>
      <c r="C866" s="3189">
        <v>32.61</v>
      </c>
      <c r="D866" s="3187" t="s">
        <v>4007</v>
      </c>
      <c r="E866">
        <f t="shared" si="13"/>
        <v>4981</v>
      </c>
      <c r="F866" s="3206">
        <f t="shared" si="12"/>
        <v>162430.41</v>
      </c>
      <c r="G866">
        <f t="shared" si="14"/>
        <v>16.381909547738694</v>
      </c>
    </row>
    <row r="867" spans="1:7">
      <c r="A867" s="3184">
        <v>864</v>
      </c>
      <c r="B867" s="3192">
        <v>-1191</v>
      </c>
      <c r="C867" s="3189">
        <v>32.61</v>
      </c>
      <c r="D867" s="3187" t="s">
        <v>4007</v>
      </c>
      <c r="E867">
        <f t="shared" si="13"/>
        <v>4981</v>
      </c>
      <c r="F867" s="3206">
        <f t="shared" si="12"/>
        <v>162430.41</v>
      </c>
      <c r="G867">
        <f t="shared" si="14"/>
        <v>16.381909547738694</v>
      </c>
    </row>
    <row r="868" spans="1:7">
      <c r="A868" s="3184">
        <v>865</v>
      </c>
      <c r="B868" s="3192">
        <v>-1192</v>
      </c>
      <c r="C868" s="3189">
        <v>32.61</v>
      </c>
      <c r="D868" s="3187" t="s">
        <v>4007</v>
      </c>
      <c r="E868">
        <f t="shared" si="13"/>
        <v>4981</v>
      </c>
      <c r="F868" s="3206">
        <f t="shared" si="12"/>
        <v>162430.41</v>
      </c>
      <c r="G868">
        <f t="shared" si="14"/>
        <v>16.381909547738694</v>
      </c>
    </row>
    <row r="869" spans="1:7">
      <c r="A869" s="3184">
        <v>866</v>
      </c>
      <c r="B869" s="3192">
        <v>-1193</v>
      </c>
      <c r="C869" s="3189">
        <v>32.61</v>
      </c>
      <c r="D869" s="3187" t="s">
        <v>4007</v>
      </c>
      <c r="E869">
        <f t="shared" si="13"/>
        <v>4981</v>
      </c>
      <c r="F869" s="3206">
        <f t="shared" si="12"/>
        <v>162430.41</v>
      </c>
      <c r="G869">
        <f t="shared" si="14"/>
        <v>16.381909547738694</v>
      </c>
    </row>
    <row r="870" spans="1:7">
      <c r="A870" s="3184">
        <v>867</v>
      </c>
      <c r="B870" s="3192">
        <v>-1194</v>
      </c>
      <c r="C870" s="3189">
        <v>32.61</v>
      </c>
      <c r="D870" s="3187" t="s">
        <v>4007</v>
      </c>
      <c r="E870">
        <f t="shared" si="13"/>
        <v>4981</v>
      </c>
      <c r="F870" s="3206">
        <f t="shared" si="12"/>
        <v>162430.41</v>
      </c>
      <c r="G870">
        <f t="shared" si="14"/>
        <v>16.381909547738694</v>
      </c>
    </row>
    <row r="871" spans="1:7">
      <c r="A871" s="3184">
        <v>868</v>
      </c>
      <c r="B871" s="3192">
        <v>-1195</v>
      </c>
      <c r="C871" s="3189">
        <v>32.61</v>
      </c>
      <c r="D871" s="3187" t="s">
        <v>4007</v>
      </c>
      <c r="E871">
        <f t="shared" si="13"/>
        <v>4981</v>
      </c>
      <c r="F871" s="3206">
        <f t="shared" si="12"/>
        <v>162430.41</v>
      </c>
      <c r="G871">
        <f t="shared" si="14"/>
        <v>16.381909547738694</v>
      </c>
    </row>
    <row r="872" spans="1:7">
      <c r="A872" s="3184">
        <v>869</v>
      </c>
      <c r="B872" s="3192">
        <v>-1196</v>
      </c>
      <c r="C872" s="3189">
        <v>32.61</v>
      </c>
      <c r="D872" s="3187" t="s">
        <v>4007</v>
      </c>
      <c r="E872">
        <f t="shared" si="13"/>
        <v>4981</v>
      </c>
      <c r="F872" s="3206">
        <f t="shared" ref="F872:F935" si="15">E872*C872</f>
        <v>162430.41</v>
      </c>
      <c r="G872">
        <f t="shared" si="14"/>
        <v>16.381909547738694</v>
      </c>
    </row>
    <row r="873" spans="1:7">
      <c r="A873" s="3184">
        <v>870</v>
      </c>
      <c r="B873" s="3192">
        <v>-1197</v>
      </c>
      <c r="C873" s="3189">
        <v>32.61</v>
      </c>
      <c r="D873" s="3187" t="s">
        <v>4007</v>
      </c>
      <c r="E873">
        <f t="shared" ref="E873:E936" si="16">E872</f>
        <v>4981</v>
      </c>
      <c r="F873" s="3206">
        <f t="shared" si="15"/>
        <v>162430.41</v>
      </c>
      <c r="G873">
        <f t="shared" ref="G873:G936" si="17">G872</f>
        <v>16.381909547738694</v>
      </c>
    </row>
    <row r="874" spans="1:7">
      <c r="A874" s="3184">
        <v>871</v>
      </c>
      <c r="B874" s="3192">
        <v>-1198</v>
      </c>
      <c r="C874" s="3189">
        <v>32.61</v>
      </c>
      <c r="D874" s="3187" t="s">
        <v>4007</v>
      </c>
      <c r="E874">
        <f t="shared" si="16"/>
        <v>4981</v>
      </c>
      <c r="F874" s="3206">
        <f t="shared" si="15"/>
        <v>162430.41</v>
      </c>
      <c r="G874">
        <f t="shared" si="17"/>
        <v>16.381909547738694</v>
      </c>
    </row>
    <row r="875" spans="1:7">
      <c r="A875" s="3184">
        <v>872</v>
      </c>
      <c r="B875" s="3192">
        <v>-1199</v>
      </c>
      <c r="C875" s="3189">
        <v>32.61</v>
      </c>
      <c r="D875" s="3187" t="s">
        <v>4007</v>
      </c>
      <c r="E875">
        <f t="shared" si="16"/>
        <v>4981</v>
      </c>
      <c r="F875" s="3206">
        <f t="shared" si="15"/>
        <v>162430.41</v>
      </c>
      <c r="G875">
        <f t="shared" si="17"/>
        <v>16.381909547738694</v>
      </c>
    </row>
    <row r="876" spans="1:7">
      <c r="A876" s="3184">
        <v>873</v>
      </c>
      <c r="B876" s="3192">
        <v>-1200</v>
      </c>
      <c r="C876" s="3189">
        <v>32.61</v>
      </c>
      <c r="D876" s="3187" t="s">
        <v>4007</v>
      </c>
      <c r="E876">
        <f t="shared" si="16"/>
        <v>4981</v>
      </c>
      <c r="F876" s="3206">
        <f t="shared" si="15"/>
        <v>162430.41</v>
      </c>
      <c r="G876">
        <f t="shared" si="17"/>
        <v>16.381909547738694</v>
      </c>
    </row>
    <row r="877" spans="1:7">
      <c r="A877" s="3184">
        <v>874</v>
      </c>
      <c r="B877" s="3192">
        <v>-1201</v>
      </c>
      <c r="C877" s="3189">
        <v>32.61</v>
      </c>
      <c r="D877" s="3187" t="s">
        <v>4007</v>
      </c>
      <c r="E877">
        <f t="shared" si="16"/>
        <v>4981</v>
      </c>
      <c r="F877" s="3206">
        <f t="shared" si="15"/>
        <v>162430.41</v>
      </c>
      <c r="G877">
        <f t="shared" si="17"/>
        <v>16.381909547738694</v>
      </c>
    </row>
    <row r="878" spans="1:7">
      <c r="A878" s="3184">
        <v>875</v>
      </c>
      <c r="B878" s="3192">
        <v>-1202</v>
      </c>
      <c r="C878" s="3189">
        <v>32.61</v>
      </c>
      <c r="D878" s="3187" t="s">
        <v>4007</v>
      </c>
      <c r="E878">
        <f t="shared" si="16"/>
        <v>4981</v>
      </c>
      <c r="F878" s="3206">
        <f t="shared" si="15"/>
        <v>162430.41</v>
      </c>
      <c r="G878">
        <f t="shared" si="17"/>
        <v>16.381909547738694</v>
      </c>
    </row>
    <row r="879" spans="1:7">
      <c r="A879" s="3184">
        <v>876</v>
      </c>
      <c r="B879" s="3192">
        <v>-1203</v>
      </c>
      <c r="C879" s="3189">
        <v>32.61</v>
      </c>
      <c r="D879" s="3187" t="s">
        <v>4007</v>
      </c>
      <c r="E879">
        <f t="shared" si="16"/>
        <v>4981</v>
      </c>
      <c r="F879" s="3206">
        <f t="shared" si="15"/>
        <v>162430.41</v>
      </c>
      <c r="G879">
        <f t="shared" si="17"/>
        <v>16.381909547738694</v>
      </c>
    </row>
    <row r="880" spans="1:7">
      <c r="A880" s="3184">
        <v>877</v>
      </c>
      <c r="B880" s="3192">
        <v>-1204</v>
      </c>
      <c r="C880" s="3189">
        <v>32.61</v>
      </c>
      <c r="D880" s="3187" t="s">
        <v>4007</v>
      </c>
      <c r="E880">
        <f t="shared" si="16"/>
        <v>4981</v>
      </c>
      <c r="F880" s="3206">
        <f t="shared" si="15"/>
        <v>162430.41</v>
      </c>
      <c r="G880">
        <f t="shared" si="17"/>
        <v>16.381909547738694</v>
      </c>
    </row>
    <row r="881" spans="1:7">
      <c r="A881" s="3184">
        <v>878</v>
      </c>
      <c r="B881" s="3192">
        <v>-1205</v>
      </c>
      <c r="C881" s="3189">
        <v>32.61</v>
      </c>
      <c r="D881" s="3187" t="s">
        <v>4007</v>
      </c>
      <c r="E881">
        <f t="shared" si="16"/>
        <v>4981</v>
      </c>
      <c r="F881" s="3206">
        <f t="shared" si="15"/>
        <v>162430.41</v>
      </c>
      <c r="G881">
        <f t="shared" si="17"/>
        <v>16.381909547738694</v>
      </c>
    </row>
    <row r="882" spans="1:7">
      <c r="A882" s="3184">
        <v>879</v>
      </c>
      <c r="B882" s="3192">
        <v>-1206</v>
      </c>
      <c r="C882" s="3189">
        <v>32.61</v>
      </c>
      <c r="D882" s="3187" t="s">
        <v>4007</v>
      </c>
      <c r="E882">
        <f t="shared" si="16"/>
        <v>4981</v>
      </c>
      <c r="F882" s="3206">
        <f t="shared" si="15"/>
        <v>162430.41</v>
      </c>
      <c r="G882">
        <f t="shared" si="17"/>
        <v>16.381909547738694</v>
      </c>
    </row>
    <row r="883" spans="1:7">
      <c r="A883" s="3184">
        <v>880</v>
      </c>
      <c r="B883" s="3192">
        <v>-1207</v>
      </c>
      <c r="C883" s="3189">
        <v>32.61</v>
      </c>
      <c r="D883" s="3187" t="s">
        <v>4007</v>
      </c>
      <c r="E883">
        <f t="shared" si="16"/>
        <v>4981</v>
      </c>
      <c r="F883" s="3206">
        <f t="shared" si="15"/>
        <v>162430.41</v>
      </c>
      <c r="G883">
        <f t="shared" si="17"/>
        <v>16.381909547738694</v>
      </c>
    </row>
    <row r="884" spans="1:7">
      <c r="A884" s="3184">
        <v>881</v>
      </c>
      <c r="B884" s="3192">
        <v>-1208</v>
      </c>
      <c r="C884" s="3189">
        <v>32.61</v>
      </c>
      <c r="D884" s="3187" t="s">
        <v>4007</v>
      </c>
      <c r="E884">
        <f t="shared" si="16"/>
        <v>4981</v>
      </c>
      <c r="F884" s="3206">
        <f t="shared" si="15"/>
        <v>162430.41</v>
      </c>
      <c r="G884">
        <f t="shared" si="17"/>
        <v>16.381909547738694</v>
      </c>
    </row>
    <row r="885" spans="1:7">
      <c r="A885" s="3184">
        <v>882</v>
      </c>
      <c r="B885" s="3192">
        <v>-1209</v>
      </c>
      <c r="C885" s="3189">
        <v>32.61</v>
      </c>
      <c r="D885" s="3187" t="s">
        <v>4007</v>
      </c>
      <c r="E885">
        <f t="shared" si="16"/>
        <v>4981</v>
      </c>
      <c r="F885" s="3206">
        <f t="shared" si="15"/>
        <v>162430.41</v>
      </c>
      <c r="G885">
        <f t="shared" si="17"/>
        <v>16.381909547738694</v>
      </c>
    </row>
    <row r="886" spans="1:7">
      <c r="A886" s="3184">
        <v>883</v>
      </c>
      <c r="B886" s="3192">
        <v>-1210</v>
      </c>
      <c r="C886" s="3189">
        <v>32.61</v>
      </c>
      <c r="D886" s="3187" t="s">
        <v>4007</v>
      </c>
      <c r="E886">
        <f t="shared" si="16"/>
        <v>4981</v>
      </c>
      <c r="F886" s="3206">
        <f t="shared" si="15"/>
        <v>162430.41</v>
      </c>
      <c r="G886">
        <f t="shared" si="17"/>
        <v>16.381909547738694</v>
      </c>
    </row>
    <row r="887" spans="1:7">
      <c r="A887" s="3184">
        <v>884</v>
      </c>
      <c r="B887" s="3192">
        <v>-1212</v>
      </c>
      <c r="C887" s="3189">
        <v>32.61</v>
      </c>
      <c r="D887" s="3187" t="s">
        <v>4007</v>
      </c>
      <c r="E887">
        <f t="shared" si="16"/>
        <v>4981</v>
      </c>
      <c r="F887" s="3206">
        <f t="shared" si="15"/>
        <v>162430.41</v>
      </c>
      <c r="G887">
        <f t="shared" si="17"/>
        <v>16.381909547738694</v>
      </c>
    </row>
    <row r="888" spans="1:7">
      <c r="A888" s="3184">
        <v>885</v>
      </c>
      <c r="B888" s="3192">
        <v>-1213</v>
      </c>
      <c r="C888" s="3189">
        <v>32.61</v>
      </c>
      <c r="D888" s="3187" t="s">
        <v>4007</v>
      </c>
      <c r="E888">
        <f t="shared" si="16"/>
        <v>4981</v>
      </c>
      <c r="F888" s="3206">
        <f t="shared" si="15"/>
        <v>162430.41</v>
      </c>
      <c r="G888">
        <f t="shared" si="17"/>
        <v>16.381909547738694</v>
      </c>
    </row>
    <row r="889" spans="1:7">
      <c r="A889" s="3184">
        <v>886</v>
      </c>
      <c r="B889" s="3192">
        <v>-1214</v>
      </c>
      <c r="C889" s="3189">
        <v>32.61</v>
      </c>
      <c r="D889" s="3187" t="s">
        <v>4007</v>
      </c>
      <c r="E889">
        <f t="shared" si="16"/>
        <v>4981</v>
      </c>
      <c r="F889" s="3206">
        <f t="shared" si="15"/>
        <v>162430.41</v>
      </c>
      <c r="G889">
        <f t="shared" si="17"/>
        <v>16.381909547738694</v>
      </c>
    </row>
    <row r="890" spans="1:7">
      <c r="A890" s="3184">
        <v>887</v>
      </c>
      <c r="B890" s="3192">
        <v>-1215</v>
      </c>
      <c r="C890" s="3189">
        <v>32.61</v>
      </c>
      <c r="D890" s="3187" t="s">
        <v>4007</v>
      </c>
      <c r="E890">
        <f t="shared" si="16"/>
        <v>4981</v>
      </c>
      <c r="F890" s="3206">
        <f t="shared" si="15"/>
        <v>162430.41</v>
      </c>
      <c r="G890">
        <f t="shared" si="17"/>
        <v>16.381909547738694</v>
      </c>
    </row>
    <row r="891" spans="1:7">
      <c r="A891" s="3184">
        <v>888</v>
      </c>
      <c r="B891" s="3192">
        <v>-1216</v>
      </c>
      <c r="C891" s="3189">
        <v>32.61</v>
      </c>
      <c r="D891" s="3187" t="s">
        <v>4007</v>
      </c>
      <c r="E891">
        <f t="shared" si="16"/>
        <v>4981</v>
      </c>
      <c r="F891" s="3206">
        <f t="shared" si="15"/>
        <v>162430.41</v>
      </c>
      <c r="G891">
        <f t="shared" si="17"/>
        <v>16.381909547738694</v>
      </c>
    </row>
    <row r="892" spans="1:7">
      <c r="A892" s="3184">
        <v>889</v>
      </c>
      <c r="B892" s="3192">
        <v>-1217</v>
      </c>
      <c r="C892" s="3189">
        <v>32.61</v>
      </c>
      <c r="D892" s="3187" t="s">
        <v>4007</v>
      </c>
      <c r="E892">
        <f t="shared" si="16"/>
        <v>4981</v>
      </c>
      <c r="F892" s="3206">
        <f t="shared" si="15"/>
        <v>162430.41</v>
      </c>
      <c r="G892">
        <f t="shared" si="17"/>
        <v>16.381909547738694</v>
      </c>
    </row>
    <row r="893" spans="1:7">
      <c r="A893" s="3184">
        <v>890</v>
      </c>
      <c r="B893" s="3192">
        <v>-1218</v>
      </c>
      <c r="C893" s="3189">
        <v>32.61</v>
      </c>
      <c r="D893" s="3187" t="s">
        <v>4007</v>
      </c>
      <c r="E893">
        <f t="shared" si="16"/>
        <v>4981</v>
      </c>
      <c r="F893" s="3206">
        <f t="shared" si="15"/>
        <v>162430.41</v>
      </c>
      <c r="G893">
        <f t="shared" si="17"/>
        <v>16.381909547738694</v>
      </c>
    </row>
    <row r="894" spans="1:7">
      <c r="A894" s="3184">
        <v>891</v>
      </c>
      <c r="B894" s="3192">
        <v>-1219</v>
      </c>
      <c r="C894" s="3189">
        <v>32.61</v>
      </c>
      <c r="D894" s="3187" t="s">
        <v>4007</v>
      </c>
      <c r="E894">
        <f t="shared" si="16"/>
        <v>4981</v>
      </c>
      <c r="F894" s="3206">
        <f t="shared" si="15"/>
        <v>162430.41</v>
      </c>
      <c r="G894">
        <f t="shared" si="17"/>
        <v>16.381909547738694</v>
      </c>
    </row>
    <row r="895" spans="1:7">
      <c r="A895" s="3184">
        <v>892</v>
      </c>
      <c r="B895" s="3192">
        <v>-1220</v>
      </c>
      <c r="C895" s="3189">
        <v>32.61</v>
      </c>
      <c r="D895" s="3187" t="s">
        <v>4007</v>
      </c>
      <c r="E895">
        <f t="shared" si="16"/>
        <v>4981</v>
      </c>
      <c r="F895" s="3206">
        <f t="shared" si="15"/>
        <v>162430.41</v>
      </c>
      <c r="G895">
        <f t="shared" si="17"/>
        <v>16.381909547738694</v>
      </c>
    </row>
    <row r="896" spans="1:7">
      <c r="A896" s="3184">
        <v>893</v>
      </c>
      <c r="B896" s="3192">
        <v>-1221</v>
      </c>
      <c r="C896" s="3189">
        <v>32.61</v>
      </c>
      <c r="D896" s="3187" t="s">
        <v>4007</v>
      </c>
      <c r="E896">
        <f t="shared" si="16"/>
        <v>4981</v>
      </c>
      <c r="F896" s="3206">
        <f t="shared" si="15"/>
        <v>162430.41</v>
      </c>
      <c r="G896">
        <f t="shared" si="17"/>
        <v>16.381909547738694</v>
      </c>
    </row>
    <row r="897" spans="1:7">
      <c r="A897" s="3184">
        <v>894</v>
      </c>
      <c r="B897" s="3192">
        <v>-1222</v>
      </c>
      <c r="C897" s="3189">
        <v>32.61</v>
      </c>
      <c r="D897" s="3187" t="s">
        <v>4007</v>
      </c>
      <c r="E897">
        <f t="shared" si="16"/>
        <v>4981</v>
      </c>
      <c r="F897" s="3206">
        <f t="shared" si="15"/>
        <v>162430.41</v>
      </c>
      <c r="G897">
        <f t="shared" si="17"/>
        <v>16.381909547738694</v>
      </c>
    </row>
    <row r="898" spans="1:7">
      <c r="A898" s="3184">
        <v>895</v>
      </c>
      <c r="B898" s="3192">
        <v>-1223</v>
      </c>
      <c r="C898" s="3189">
        <v>32.61</v>
      </c>
      <c r="D898" s="3187" t="s">
        <v>4007</v>
      </c>
      <c r="E898">
        <f t="shared" si="16"/>
        <v>4981</v>
      </c>
      <c r="F898" s="3206">
        <f t="shared" si="15"/>
        <v>162430.41</v>
      </c>
      <c r="G898">
        <f t="shared" si="17"/>
        <v>16.381909547738694</v>
      </c>
    </row>
    <row r="899" spans="1:7">
      <c r="A899" s="3184">
        <v>896</v>
      </c>
      <c r="B899" s="3192">
        <v>-1224</v>
      </c>
      <c r="C899" s="3189">
        <v>32.61</v>
      </c>
      <c r="D899" s="3187" t="s">
        <v>4007</v>
      </c>
      <c r="E899">
        <f t="shared" si="16"/>
        <v>4981</v>
      </c>
      <c r="F899" s="3206">
        <f t="shared" si="15"/>
        <v>162430.41</v>
      </c>
      <c r="G899">
        <f t="shared" si="17"/>
        <v>16.381909547738694</v>
      </c>
    </row>
    <row r="900" spans="1:7">
      <c r="A900" s="3184">
        <v>897</v>
      </c>
      <c r="B900" s="3192">
        <v>-1225</v>
      </c>
      <c r="C900" s="3189">
        <v>32.61</v>
      </c>
      <c r="D900" s="3187" t="s">
        <v>4007</v>
      </c>
      <c r="E900">
        <f t="shared" si="16"/>
        <v>4981</v>
      </c>
      <c r="F900" s="3206">
        <f t="shared" si="15"/>
        <v>162430.41</v>
      </c>
      <c r="G900">
        <f t="shared" si="17"/>
        <v>16.381909547738694</v>
      </c>
    </row>
    <row r="901" spans="1:7">
      <c r="A901" s="3184">
        <v>898</v>
      </c>
      <c r="B901" s="3192">
        <v>-1226</v>
      </c>
      <c r="C901" s="3189">
        <v>32.61</v>
      </c>
      <c r="D901" s="3187" t="s">
        <v>4007</v>
      </c>
      <c r="E901">
        <f t="shared" si="16"/>
        <v>4981</v>
      </c>
      <c r="F901" s="3206">
        <f t="shared" si="15"/>
        <v>162430.41</v>
      </c>
      <c r="G901">
        <f t="shared" si="17"/>
        <v>16.381909547738694</v>
      </c>
    </row>
    <row r="902" spans="1:7">
      <c r="A902" s="3184">
        <v>899</v>
      </c>
      <c r="B902" s="3192">
        <v>-1227</v>
      </c>
      <c r="C902" s="3189">
        <v>32.61</v>
      </c>
      <c r="D902" s="3187" t="s">
        <v>4007</v>
      </c>
      <c r="E902">
        <f t="shared" si="16"/>
        <v>4981</v>
      </c>
      <c r="F902" s="3206">
        <f t="shared" si="15"/>
        <v>162430.41</v>
      </c>
      <c r="G902">
        <f t="shared" si="17"/>
        <v>16.381909547738694</v>
      </c>
    </row>
    <row r="903" spans="1:7">
      <c r="A903" s="3184">
        <v>900</v>
      </c>
      <c r="B903" s="3192">
        <v>-1228</v>
      </c>
      <c r="C903" s="3189">
        <v>32.61</v>
      </c>
      <c r="D903" s="3187" t="s">
        <v>4007</v>
      </c>
      <c r="E903">
        <f t="shared" si="16"/>
        <v>4981</v>
      </c>
      <c r="F903" s="3206">
        <f t="shared" si="15"/>
        <v>162430.41</v>
      </c>
      <c r="G903">
        <f t="shared" si="17"/>
        <v>16.381909547738694</v>
      </c>
    </row>
    <row r="904" spans="1:7">
      <c r="A904" s="3184">
        <v>901</v>
      </c>
      <c r="B904" s="3192">
        <v>-1229</v>
      </c>
      <c r="C904" s="3189">
        <v>32.61</v>
      </c>
      <c r="D904" s="3187" t="s">
        <v>4007</v>
      </c>
      <c r="E904">
        <f t="shared" si="16"/>
        <v>4981</v>
      </c>
      <c r="F904" s="3206">
        <f t="shared" si="15"/>
        <v>162430.41</v>
      </c>
      <c r="G904">
        <f t="shared" si="17"/>
        <v>16.381909547738694</v>
      </c>
    </row>
    <row r="905" spans="1:7">
      <c r="A905" s="3184">
        <v>902</v>
      </c>
      <c r="B905" s="3192">
        <v>-1230</v>
      </c>
      <c r="C905" s="3189">
        <v>32.61</v>
      </c>
      <c r="D905" s="3187" t="s">
        <v>4007</v>
      </c>
      <c r="E905">
        <f t="shared" si="16"/>
        <v>4981</v>
      </c>
      <c r="F905" s="3206">
        <f t="shared" si="15"/>
        <v>162430.41</v>
      </c>
      <c r="G905">
        <f t="shared" si="17"/>
        <v>16.381909547738694</v>
      </c>
    </row>
    <row r="906" spans="1:7">
      <c r="A906" s="3184">
        <v>903</v>
      </c>
      <c r="B906" s="3192">
        <v>-1231</v>
      </c>
      <c r="C906" s="3189">
        <v>32.61</v>
      </c>
      <c r="D906" s="3187" t="s">
        <v>4007</v>
      </c>
      <c r="E906">
        <f t="shared" si="16"/>
        <v>4981</v>
      </c>
      <c r="F906" s="3206">
        <f t="shared" si="15"/>
        <v>162430.41</v>
      </c>
      <c r="G906">
        <f t="shared" si="17"/>
        <v>16.381909547738694</v>
      </c>
    </row>
    <row r="907" spans="1:7">
      <c r="A907" s="3184">
        <v>904</v>
      </c>
      <c r="B907" s="3192">
        <v>-1232</v>
      </c>
      <c r="C907" s="3189">
        <v>32.61</v>
      </c>
      <c r="D907" s="3187" t="s">
        <v>4007</v>
      </c>
      <c r="E907">
        <f t="shared" si="16"/>
        <v>4981</v>
      </c>
      <c r="F907" s="3206">
        <f t="shared" si="15"/>
        <v>162430.41</v>
      </c>
      <c r="G907">
        <f t="shared" si="17"/>
        <v>16.381909547738694</v>
      </c>
    </row>
    <row r="908" spans="1:7">
      <c r="A908" s="3184">
        <v>905</v>
      </c>
      <c r="B908" s="3192">
        <v>-1233</v>
      </c>
      <c r="C908" s="3189">
        <v>32.61</v>
      </c>
      <c r="D908" s="3187" t="s">
        <v>4007</v>
      </c>
      <c r="E908">
        <f t="shared" si="16"/>
        <v>4981</v>
      </c>
      <c r="F908" s="3206">
        <f t="shared" si="15"/>
        <v>162430.41</v>
      </c>
      <c r="G908">
        <f t="shared" si="17"/>
        <v>16.381909547738694</v>
      </c>
    </row>
    <row r="909" spans="1:7">
      <c r="A909" s="3184">
        <v>906</v>
      </c>
      <c r="B909" s="3192">
        <v>-1234</v>
      </c>
      <c r="C909" s="3189">
        <v>32.61</v>
      </c>
      <c r="D909" s="3187" t="s">
        <v>4007</v>
      </c>
      <c r="E909">
        <f t="shared" si="16"/>
        <v>4981</v>
      </c>
      <c r="F909" s="3206">
        <f t="shared" si="15"/>
        <v>162430.41</v>
      </c>
      <c r="G909">
        <f t="shared" si="17"/>
        <v>16.381909547738694</v>
      </c>
    </row>
    <row r="910" spans="1:7">
      <c r="A910" s="3184">
        <v>907</v>
      </c>
      <c r="B910" s="3192">
        <v>-1235</v>
      </c>
      <c r="C910" s="3189">
        <v>32.61</v>
      </c>
      <c r="D910" s="3187" t="s">
        <v>4007</v>
      </c>
      <c r="E910">
        <f t="shared" si="16"/>
        <v>4981</v>
      </c>
      <c r="F910" s="3206">
        <f t="shared" si="15"/>
        <v>162430.41</v>
      </c>
      <c r="G910">
        <f t="shared" si="17"/>
        <v>16.381909547738694</v>
      </c>
    </row>
    <row r="911" spans="1:7">
      <c r="A911" s="3184">
        <v>908</v>
      </c>
      <c r="B911" s="3192">
        <v>-1236</v>
      </c>
      <c r="C911" s="3189">
        <v>32.61</v>
      </c>
      <c r="D911" s="3187" t="s">
        <v>4007</v>
      </c>
      <c r="E911">
        <f t="shared" si="16"/>
        <v>4981</v>
      </c>
      <c r="F911" s="3206">
        <f t="shared" si="15"/>
        <v>162430.41</v>
      </c>
      <c r="G911">
        <f t="shared" si="17"/>
        <v>16.381909547738694</v>
      </c>
    </row>
    <row r="912" spans="1:7">
      <c r="A912" s="3184">
        <v>909</v>
      </c>
      <c r="B912" s="3192">
        <v>-1237</v>
      </c>
      <c r="C912" s="3189">
        <v>32.61</v>
      </c>
      <c r="D912" s="3187" t="s">
        <v>4007</v>
      </c>
      <c r="E912">
        <f t="shared" si="16"/>
        <v>4981</v>
      </c>
      <c r="F912" s="3206">
        <f t="shared" si="15"/>
        <v>162430.41</v>
      </c>
      <c r="G912">
        <f t="shared" si="17"/>
        <v>16.381909547738694</v>
      </c>
    </row>
    <row r="913" spans="1:7">
      <c r="A913" s="3184">
        <v>910</v>
      </c>
      <c r="B913" s="3192">
        <v>-1238</v>
      </c>
      <c r="C913" s="3189">
        <v>32.61</v>
      </c>
      <c r="D913" s="3187" t="s">
        <v>4007</v>
      </c>
      <c r="E913">
        <f t="shared" si="16"/>
        <v>4981</v>
      </c>
      <c r="F913" s="3206">
        <f t="shared" si="15"/>
        <v>162430.41</v>
      </c>
      <c r="G913">
        <f t="shared" si="17"/>
        <v>16.381909547738694</v>
      </c>
    </row>
    <row r="914" spans="1:7">
      <c r="A914" s="3184">
        <v>911</v>
      </c>
      <c r="B914" s="3192">
        <v>-1239</v>
      </c>
      <c r="C914" s="3189">
        <v>32.61</v>
      </c>
      <c r="D914" s="3187" t="s">
        <v>4007</v>
      </c>
      <c r="E914">
        <f t="shared" si="16"/>
        <v>4981</v>
      </c>
      <c r="F914" s="3206">
        <f t="shared" si="15"/>
        <v>162430.41</v>
      </c>
      <c r="G914">
        <f t="shared" si="17"/>
        <v>16.381909547738694</v>
      </c>
    </row>
    <row r="915" spans="1:7">
      <c r="A915" s="3184">
        <v>912</v>
      </c>
      <c r="B915" s="3192">
        <v>-1240</v>
      </c>
      <c r="C915" s="3189">
        <v>32.61</v>
      </c>
      <c r="D915" s="3187" t="s">
        <v>4007</v>
      </c>
      <c r="E915">
        <f t="shared" si="16"/>
        <v>4981</v>
      </c>
      <c r="F915" s="3206">
        <f t="shared" si="15"/>
        <v>162430.41</v>
      </c>
      <c r="G915">
        <f t="shared" si="17"/>
        <v>16.381909547738694</v>
      </c>
    </row>
    <row r="916" spans="1:7">
      <c r="A916" s="3184">
        <v>913</v>
      </c>
      <c r="B916" s="3192">
        <v>-1241</v>
      </c>
      <c r="C916" s="3189">
        <v>32.61</v>
      </c>
      <c r="D916" s="3187" t="s">
        <v>4007</v>
      </c>
      <c r="E916">
        <f t="shared" si="16"/>
        <v>4981</v>
      </c>
      <c r="F916" s="3206">
        <f t="shared" si="15"/>
        <v>162430.41</v>
      </c>
      <c r="G916">
        <f t="shared" si="17"/>
        <v>16.381909547738694</v>
      </c>
    </row>
    <row r="917" spans="1:7">
      <c r="A917" s="3184">
        <v>914</v>
      </c>
      <c r="B917" s="3192">
        <v>-1242</v>
      </c>
      <c r="C917" s="3189">
        <v>32.61</v>
      </c>
      <c r="D917" s="3187" t="s">
        <v>4007</v>
      </c>
      <c r="E917">
        <f t="shared" si="16"/>
        <v>4981</v>
      </c>
      <c r="F917" s="3206">
        <f t="shared" si="15"/>
        <v>162430.41</v>
      </c>
      <c r="G917">
        <f t="shared" si="17"/>
        <v>16.381909547738694</v>
      </c>
    </row>
    <row r="918" spans="1:7">
      <c r="A918" s="3184">
        <v>915</v>
      </c>
      <c r="B918" s="3192">
        <v>-1243</v>
      </c>
      <c r="C918" s="3189">
        <v>32.61</v>
      </c>
      <c r="D918" s="3187" t="s">
        <v>4007</v>
      </c>
      <c r="E918">
        <f t="shared" si="16"/>
        <v>4981</v>
      </c>
      <c r="F918" s="3206">
        <f t="shared" si="15"/>
        <v>162430.41</v>
      </c>
      <c r="G918">
        <f t="shared" si="17"/>
        <v>16.381909547738694</v>
      </c>
    </row>
    <row r="919" spans="1:7">
      <c r="A919" s="3184">
        <v>916</v>
      </c>
      <c r="B919" s="3192">
        <v>-1244</v>
      </c>
      <c r="C919" s="3189">
        <v>32.61</v>
      </c>
      <c r="D919" s="3187" t="s">
        <v>4007</v>
      </c>
      <c r="E919">
        <f t="shared" si="16"/>
        <v>4981</v>
      </c>
      <c r="F919" s="3206">
        <f t="shared" si="15"/>
        <v>162430.41</v>
      </c>
      <c r="G919">
        <f t="shared" si="17"/>
        <v>16.381909547738694</v>
      </c>
    </row>
    <row r="920" spans="1:7">
      <c r="A920" s="3184">
        <v>917</v>
      </c>
      <c r="B920" s="3192">
        <v>-1245</v>
      </c>
      <c r="C920" s="3189">
        <v>32.61</v>
      </c>
      <c r="D920" s="3187" t="s">
        <v>4007</v>
      </c>
      <c r="E920">
        <f t="shared" si="16"/>
        <v>4981</v>
      </c>
      <c r="F920" s="3206">
        <f t="shared" si="15"/>
        <v>162430.41</v>
      </c>
      <c r="G920">
        <f t="shared" si="17"/>
        <v>16.381909547738694</v>
      </c>
    </row>
    <row r="921" spans="1:7">
      <c r="A921" s="3184">
        <v>918</v>
      </c>
      <c r="B921" s="3192">
        <v>-1246</v>
      </c>
      <c r="C921" s="3189">
        <v>32.61</v>
      </c>
      <c r="D921" s="3187" t="s">
        <v>4007</v>
      </c>
      <c r="E921">
        <f t="shared" si="16"/>
        <v>4981</v>
      </c>
      <c r="F921" s="3206">
        <f t="shared" si="15"/>
        <v>162430.41</v>
      </c>
      <c r="G921">
        <f t="shared" si="17"/>
        <v>16.381909547738694</v>
      </c>
    </row>
    <row r="922" spans="1:7">
      <c r="A922" s="3184">
        <v>919</v>
      </c>
      <c r="B922" s="3192">
        <v>-1247</v>
      </c>
      <c r="C922" s="3189">
        <v>32.61</v>
      </c>
      <c r="D922" s="3187" t="s">
        <v>4007</v>
      </c>
      <c r="E922">
        <f t="shared" si="16"/>
        <v>4981</v>
      </c>
      <c r="F922" s="3206">
        <f t="shared" si="15"/>
        <v>162430.41</v>
      </c>
      <c r="G922">
        <f t="shared" si="17"/>
        <v>16.381909547738694</v>
      </c>
    </row>
    <row r="923" spans="1:7">
      <c r="A923" s="3184">
        <v>920</v>
      </c>
      <c r="B923" s="3192">
        <v>-1248</v>
      </c>
      <c r="C923" s="3189">
        <v>32.61</v>
      </c>
      <c r="D923" s="3187" t="s">
        <v>4007</v>
      </c>
      <c r="E923">
        <f t="shared" si="16"/>
        <v>4981</v>
      </c>
      <c r="F923" s="3206">
        <f t="shared" si="15"/>
        <v>162430.41</v>
      </c>
      <c r="G923">
        <f t="shared" si="17"/>
        <v>16.381909547738694</v>
      </c>
    </row>
    <row r="924" spans="1:7">
      <c r="A924" s="3184">
        <v>921</v>
      </c>
      <c r="B924" s="3192">
        <v>-1249</v>
      </c>
      <c r="C924" s="3189">
        <v>32.61</v>
      </c>
      <c r="D924" s="3187" t="s">
        <v>4007</v>
      </c>
      <c r="E924">
        <f t="shared" si="16"/>
        <v>4981</v>
      </c>
      <c r="F924" s="3206">
        <f t="shared" si="15"/>
        <v>162430.41</v>
      </c>
      <c r="G924">
        <f t="shared" si="17"/>
        <v>16.381909547738694</v>
      </c>
    </row>
    <row r="925" spans="1:7">
      <c r="A925" s="3184">
        <v>922</v>
      </c>
      <c r="B925" s="3192">
        <v>-1250</v>
      </c>
      <c r="C925" s="3189">
        <v>32.61</v>
      </c>
      <c r="D925" s="3187" t="s">
        <v>4007</v>
      </c>
      <c r="E925">
        <f t="shared" si="16"/>
        <v>4981</v>
      </c>
      <c r="F925" s="3206">
        <f t="shared" si="15"/>
        <v>162430.41</v>
      </c>
      <c r="G925">
        <f t="shared" si="17"/>
        <v>16.381909547738694</v>
      </c>
    </row>
    <row r="926" spans="1:7">
      <c r="A926" s="3184">
        <v>923</v>
      </c>
      <c r="B926" s="3192">
        <v>-1251</v>
      </c>
      <c r="C926" s="3189">
        <v>32.61</v>
      </c>
      <c r="D926" s="3187" t="s">
        <v>4007</v>
      </c>
      <c r="E926">
        <f t="shared" si="16"/>
        <v>4981</v>
      </c>
      <c r="F926" s="3206">
        <f t="shared" si="15"/>
        <v>162430.41</v>
      </c>
      <c r="G926">
        <f t="shared" si="17"/>
        <v>16.381909547738694</v>
      </c>
    </row>
    <row r="927" spans="1:7">
      <c r="A927" s="3184">
        <v>924</v>
      </c>
      <c r="B927" s="3192">
        <v>-1252</v>
      </c>
      <c r="C927" s="3189">
        <v>32.61</v>
      </c>
      <c r="D927" s="3187" t="s">
        <v>4007</v>
      </c>
      <c r="E927">
        <f t="shared" si="16"/>
        <v>4981</v>
      </c>
      <c r="F927" s="3206">
        <f t="shared" si="15"/>
        <v>162430.41</v>
      </c>
      <c r="G927">
        <f t="shared" si="17"/>
        <v>16.381909547738694</v>
      </c>
    </row>
    <row r="928" spans="1:7">
      <c r="A928" s="3184">
        <v>925</v>
      </c>
      <c r="B928" s="3192">
        <v>-1253</v>
      </c>
      <c r="C928" s="3189">
        <v>32.61</v>
      </c>
      <c r="D928" s="3187" t="s">
        <v>4007</v>
      </c>
      <c r="E928">
        <f t="shared" si="16"/>
        <v>4981</v>
      </c>
      <c r="F928" s="3206">
        <f t="shared" si="15"/>
        <v>162430.41</v>
      </c>
      <c r="G928">
        <f t="shared" si="17"/>
        <v>16.381909547738694</v>
      </c>
    </row>
    <row r="929" spans="1:7">
      <c r="A929" s="3184">
        <v>926</v>
      </c>
      <c r="B929" s="3192">
        <v>-1254</v>
      </c>
      <c r="C929" s="3189">
        <v>32.61</v>
      </c>
      <c r="D929" s="3187" t="s">
        <v>4007</v>
      </c>
      <c r="E929">
        <f t="shared" si="16"/>
        <v>4981</v>
      </c>
      <c r="F929" s="3206">
        <f t="shared" si="15"/>
        <v>162430.41</v>
      </c>
      <c r="G929">
        <f t="shared" si="17"/>
        <v>16.381909547738694</v>
      </c>
    </row>
    <row r="930" spans="1:7">
      <c r="A930" s="3184">
        <v>927</v>
      </c>
      <c r="B930" s="3192">
        <v>-1255</v>
      </c>
      <c r="C930" s="3189">
        <v>32.61</v>
      </c>
      <c r="D930" s="3187" t="s">
        <v>4007</v>
      </c>
      <c r="E930">
        <f t="shared" si="16"/>
        <v>4981</v>
      </c>
      <c r="F930" s="3206">
        <f t="shared" si="15"/>
        <v>162430.41</v>
      </c>
      <c r="G930">
        <f t="shared" si="17"/>
        <v>16.381909547738694</v>
      </c>
    </row>
    <row r="931" spans="1:7">
      <c r="A931" s="3184">
        <v>928</v>
      </c>
      <c r="B931" s="3192">
        <v>-1256</v>
      </c>
      <c r="C931" s="3189">
        <v>32.61</v>
      </c>
      <c r="D931" s="3187" t="s">
        <v>4007</v>
      </c>
      <c r="E931">
        <f t="shared" si="16"/>
        <v>4981</v>
      </c>
      <c r="F931" s="3206">
        <f t="shared" si="15"/>
        <v>162430.41</v>
      </c>
      <c r="G931">
        <f t="shared" si="17"/>
        <v>16.381909547738694</v>
      </c>
    </row>
    <row r="932" spans="1:7">
      <c r="A932" s="3184">
        <v>929</v>
      </c>
      <c r="B932" s="3192">
        <v>-1257</v>
      </c>
      <c r="C932" s="3189">
        <v>32.61</v>
      </c>
      <c r="D932" s="3187" t="s">
        <v>4007</v>
      </c>
      <c r="E932">
        <f t="shared" si="16"/>
        <v>4981</v>
      </c>
      <c r="F932" s="3206">
        <f t="shared" si="15"/>
        <v>162430.41</v>
      </c>
      <c r="G932">
        <f t="shared" si="17"/>
        <v>16.381909547738694</v>
      </c>
    </row>
    <row r="933" spans="1:7">
      <c r="A933" s="3184">
        <v>930</v>
      </c>
      <c r="B933" s="3192">
        <v>-1258</v>
      </c>
      <c r="C933" s="3189">
        <v>32.61</v>
      </c>
      <c r="D933" s="3187" t="s">
        <v>4007</v>
      </c>
      <c r="E933">
        <f t="shared" si="16"/>
        <v>4981</v>
      </c>
      <c r="F933" s="3206">
        <f t="shared" si="15"/>
        <v>162430.41</v>
      </c>
      <c r="G933">
        <f t="shared" si="17"/>
        <v>16.381909547738694</v>
      </c>
    </row>
    <row r="934" spans="1:7">
      <c r="A934" s="3184">
        <v>931</v>
      </c>
      <c r="B934" s="3192">
        <v>-1259</v>
      </c>
      <c r="C934" s="3189">
        <v>32.61</v>
      </c>
      <c r="D934" s="3187" t="s">
        <v>4007</v>
      </c>
      <c r="E934">
        <f t="shared" si="16"/>
        <v>4981</v>
      </c>
      <c r="F934" s="3206">
        <f t="shared" si="15"/>
        <v>162430.41</v>
      </c>
      <c r="G934">
        <f t="shared" si="17"/>
        <v>16.381909547738694</v>
      </c>
    </row>
    <row r="935" spans="1:7">
      <c r="A935" s="3184">
        <v>932</v>
      </c>
      <c r="B935" s="3192">
        <v>-1260</v>
      </c>
      <c r="C935" s="3189">
        <v>32.61</v>
      </c>
      <c r="D935" s="3187" t="s">
        <v>4007</v>
      </c>
      <c r="E935">
        <f t="shared" si="16"/>
        <v>4981</v>
      </c>
      <c r="F935" s="3206">
        <f t="shared" si="15"/>
        <v>162430.41</v>
      </c>
      <c r="G935">
        <f t="shared" si="17"/>
        <v>16.381909547738694</v>
      </c>
    </row>
    <row r="936" spans="1:7">
      <c r="A936" s="3184">
        <v>933</v>
      </c>
      <c r="B936" s="3192">
        <v>-1261</v>
      </c>
      <c r="C936" s="3189">
        <v>32.61</v>
      </c>
      <c r="D936" s="3187" t="s">
        <v>4007</v>
      </c>
      <c r="E936">
        <f t="shared" si="16"/>
        <v>4981</v>
      </c>
      <c r="F936" s="3206">
        <f t="shared" ref="F936:F999" si="18">E936*C936</f>
        <v>162430.41</v>
      </c>
      <c r="G936">
        <f t="shared" si="17"/>
        <v>16.381909547738694</v>
      </c>
    </row>
    <row r="937" spans="1:7">
      <c r="A937" s="3184">
        <v>934</v>
      </c>
      <c r="B937" s="3192">
        <v>-1262</v>
      </c>
      <c r="C937" s="3189">
        <v>32.61</v>
      </c>
      <c r="D937" s="3187" t="s">
        <v>4007</v>
      </c>
      <c r="E937">
        <f t="shared" ref="E937:E1000" si="19">E936</f>
        <v>4981</v>
      </c>
      <c r="F937" s="3206">
        <f t="shared" si="18"/>
        <v>162430.41</v>
      </c>
      <c r="G937">
        <f t="shared" ref="G937:G1000" si="20">G936</f>
        <v>16.381909547738694</v>
      </c>
    </row>
    <row r="938" spans="1:7">
      <c r="A938" s="3184">
        <v>935</v>
      </c>
      <c r="B938" s="3192">
        <v>-1263</v>
      </c>
      <c r="C938" s="3189">
        <v>32.61</v>
      </c>
      <c r="D938" s="3187" t="s">
        <v>4007</v>
      </c>
      <c r="E938">
        <f t="shared" si="19"/>
        <v>4981</v>
      </c>
      <c r="F938" s="3206">
        <f t="shared" si="18"/>
        <v>162430.41</v>
      </c>
      <c r="G938">
        <f t="shared" si="20"/>
        <v>16.381909547738694</v>
      </c>
    </row>
    <row r="939" spans="1:7">
      <c r="A939" s="3184">
        <v>936</v>
      </c>
      <c r="B939" s="3192">
        <v>-1264</v>
      </c>
      <c r="C939" s="3189">
        <v>32.61</v>
      </c>
      <c r="D939" s="3187" t="s">
        <v>4007</v>
      </c>
      <c r="E939">
        <f t="shared" si="19"/>
        <v>4981</v>
      </c>
      <c r="F939" s="3206">
        <f t="shared" si="18"/>
        <v>162430.41</v>
      </c>
      <c r="G939">
        <f t="shared" si="20"/>
        <v>16.381909547738694</v>
      </c>
    </row>
    <row r="940" spans="1:7">
      <c r="A940" s="3184">
        <v>937</v>
      </c>
      <c r="B940" s="3192">
        <v>-1265</v>
      </c>
      <c r="C940" s="3189">
        <v>32.61</v>
      </c>
      <c r="D940" s="3187" t="s">
        <v>4007</v>
      </c>
      <c r="E940">
        <f t="shared" si="19"/>
        <v>4981</v>
      </c>
      <c r="F940" s="3206">
        <f t="shared" si="18"/>
        <v>162430.41</v>
      </c>
      <c r="G940">
        <f t="shared" si="20"/>
        <v>16.381909547738694</v>
      </c>
    </row>
    <row r="941" spans="1:7">
      <c r="A941" s="3184">
        <v>938</v>
      </c>
      <c r="B941" s="3192">
        <v>-1266</v>
      </c>
      <c r="C941" s="3189">
        <v>32.61</v>
      </c>
      <c r="D941" s="3187" t="s">
        <v>4007</v>
      </c>
      <c r="E941">
        <f t="shared" si="19"/>
        <v>4981</v>
      </c>
      <c r="F941" s="3206">
        <f t="shared" si="18"/>
        <v>162430.41</v>
      </c>
      <c r="G941">
        <f t="shared" si="20"/>
        <v>16.381909547738694</v>
      </c>
    </row>
    <row r="942" spans="1:7">
      <c r="A942" s="3184">
        <v>939</v>
      </c>
      <c r="B942" s="3192">
        <v>-1267</v>
      </c>
      <c r="C942" s="3189">
        <v>32.61</v>
      </c>
      <c r="D942" s="3187" t="s">
        <v>4007</v>
      </c>
      <c r="E942">
        <f t="shared" si="19"/>
        <v>4981</v>
      </c>
      <c r="F942" s="3206">
        <f t="shared" si="18"/>
        <v>162430.41</v>
      </c>
      <c r="G942">
        <f t="shared" si="20"/>
        <v>16.381909547738694</v>
      </c>
    </row>
    <row r="943" spans="1:7">
      <c r="A943" s="3184">
        <v>940</v>
      </c>
      <c r="B943" s="3192">
        <v>-1268</v>
      </c>
      <c r="C943" s="3189">
        <v>32.61</v>
      </c>
      <c r="D943" s="3187" t="s">
        <v>4007</v>
      </c>
      <c r="E943">
        <f t="shared" si="19"/>
        <v>4981</v>
      </c>
      <c r="F943" s="3206">
        <f t="shared" si="18"/>
        <v>162430.41</v>
      </c>
      <c r="G943">
        <f t="shared" si="20"/>
        <v>16.381909547738694</v>
      </c>
    </row>
    <row r="944" spans="1:7">
      <c r="A944" s="3184">
        <v>941</v>
      </c>
      <c r="B944" s="3192">
        <v>-1269</v>
      </c>
      <c r="C944" s="3189">
        <v>32.61</v>
      </c>
      <c r="D944" s="3187" t="s">
        <v>4007</v>
      </c>
      <c r="E944">
        <f t="shared" si="19"/>
        <v>4981</v>
      </c>
      <c r="F944" s="3206">
        <f t="shared" si="18"/>
        <v>162430.41</v>
      </c>
      <c r="G944">
        <f t="shared" si="20"/>
        <v>16.381909547738694</v>
      </c>
    </row>
    <row r="945" spans="1:7">
      <c r="A945" s="3184">
        <v>942</v>
      </c>
      <c r="B945" s="3192">
        <v>-1270</v>
      </c>
      <c r="C945" s="3189">
        <v>32.61</v>
      </c>
      <c r="D945" s="3187" t="s">
        <v>4007</v>
      </c>
      <c r="E945">
        <f t="shared" si="19"/>
        <v>4981</v>
      </c>
      <c r="F945" s="3206">
        <f t="shared" si="18"/>
        <v>162430.41</v>
      </c>
      <c r="G945">
        <f t="shared" si="20"/>
        <v>16.381909547738694</v>
      </c>
    </row>
    <row r="946" spans="1:7">
      <c r="A946" s="3184">
        <v>943</v>
      </c>
      <c r="B946" s="3192">
        <v>-1271</v>
      </c>
      <c r="C946" s="3189">
        <v>32.61</v>
      </c>
      <c r="D946" s="3187" t="s">
        <v>4007</v>
      </c>
      <c r="E946">
        <f t="shared" si="19"/>
        <v>4981</v>
      </c>
      <c r="F946" s="3206">
        <f t="shared" si="18"/>
        <v>162430.41</v>
      </c>
      <c r="G946">
        <f t="shared" si="20"/>
        <v>16.381909547738694</v>
      </c>
    </row>
    <row r="947" spans="1:7">
      <c r="A947" s="3184">
        <v>944</v>
      </c>
      <c r="B947" s="3192">
        <v>-1272</v>
      </c>
      <c r="C947" s="3189">
        <v>32.61</v>
      </c>
      <c r="D947" s="3187" t="s">
        <v>4007</v>
      </c>
      <c r="E947">
        <f t="shared" si="19"/>
        <v>4981</v>
      </c>
      <c r="F947" s="3206">
        <f t="shared" si="18"/>
        <v>162430.41</v>
      </c>
      <c r="G947">
        <f t="shared" si="20"/>
        <v>16.381909547738694</v>
      </c>
    </row>
    <row r="948" spans="1:7">
      <c r="A948" s="3184">
        <v>945</v>
      </c>
      <c r="B948" s="3192">
        <v>-1273</v>
      </c>
      <c r="C948" s="3189">
        <v>32.61</v>
      </c>
      <c r="D948" s="3187" t="s">
        <v>4007</v>
      </c>
      <c r="E948">
        <f t="shared" si="19"/>
        <v>4981</v>
      </c>
      <c r="F948" s="3206">
        <f t="shared" si="18"/>
        <v>162430.41</v>
      </c>
      <c r="G948">
        <f t="shared" si="20"/>
        <v>16.381909547738694</v>
      </c>
    </row>
    <row r="949" spans="1:7">
      <c r="A949" s="3184">
        <v>946</v>
      </c>
      <c r="B949" s="3192">
        <v>-1274</v>
      </c>
      <c r="C949" s="3189">
        <v>32.61</v>
      </c>
      <c r="D949" s="3187" t="s">
        <v>4007</v>
      </c>
      <c r="E949">
        <f t="shared" si="19"/>
        <v>4981</v>
      </c>
      <c r="F949" s="3206">
        <f t="shared" si="18"/>
        <v>162430.41</v>
      </c>
      <c r="G949">
        <f t="shared" si="20"/>
        <v>16.381909547738694</v>
      </c>
    </row>
    <row r="950" spans="1:7">
      <c r="A950" s="3184">
        <v>947</v>
      </c>
      <c r="B950" s="3192">
        <v>-1275</v>
      </c>
      <c r="C950" s="3189">
        <v>32.61</v>
      </c>
      <c r="D950" s="3187" t="s">
        <v>4007</v>
      </c>
      <c r="E950">
        <f t="shared" si="19"/>
        <v>4981</v>
      </c>
      <c r="F950" s="3206">
        <f t="shared" si="18"/>
        <v>162430.41</v>
      </c>
      <c r="G950">
        <f t="shared" si="20"/>
        <v>16.381909547738694</v>
      </c>
    </row>
    <row r="951" spans="1:7">
      <c r="A951" s="3184">
        <v>948</v>
      </c>
      <c r="B951" s="3192">
        <v>-1276</v>
      </c>
      <c r="C951" s="3189">
        <v>32.61</v>
      </c>
      <c r="D951" s="3187" t="s">
        <v>4007</v>
      </c>
      <c r="E951">
        <f t="shared" si="19"/>
        <v>4981</v>
      </c>
      <c r="F951" s="3206">
        <f t="shared" si="18"/>
        <v>162430.41</v>
      </c>
      <c r="G951">
        <f t="shared" si="20"/>
        <v>16.381909547738694</v>
      </c>
    </row>
    <row r="952" spans="1:7">
      <c r="A952" s="3184">
        <v>949</v>
      </c>
      <c r="B952" s="3192">
        <v>-1277</v>
      </c>
      <c r="C952" s="3189">
        <v>32.61</v>
      </c>
      <c r="D952" s="3187" t="s">
        <v>4007</v>
      </c>
      <c r="E952">
        <f t="shared" si="19"/>
        <v>4981</v>
      </c>
      <c r="F952" s="3206">
        <f t="shared" si="18"/>
        <v>162430.41</v>
      </c>
      <c r="G952">
        <f t="shared" si="20"/>
        <v>16.381909547738694</v>
      </c>
    </row>
    <row r="953" spans="1:7">
      <c r="A953" s="3184">
        <v>950</v>
      </c>
      <c r="B953" s="3192">
        <v>-1278</v>
      </c>
      <c r="C953" s="3189">
        <v>32.61</v>
      </c>
      <c r="D953" s="3187" t="s">
        <v>4007</v>
      </c>
      <c r="E953">
        <f t="shared" si="19"/>
        <v>4981</v>
      </c>
      <c r="F953" s="3206">
        <f t="shared" si="18"/>
        <v>162430.41</v>
      </c>
      <c r="G953">
        <f t="shared" si="20"/>
        <v>16.381909547738694</v>
      </c>
    </row>
    <row r="954" spans="1:7">
      <c r="A954" s="3184">
        <v>951</v>
      </c>
      <c r="B954" s="3192">
        <v>-1279</v>
      </c>
      <c r="C954" s="3189">
        <v>32.61</v>
      </c>
      <c r="D954" s="3187" t="s">
        <v>4007</v>
      </c>
      <c r="E954">
        <f t="shared" si="19"/>
        <v>4981</v>
      </c>
      <c r="F954" s="3206">
        <f t="shared" si="18"/>
        <v>162430.41</v>
      </c>
      <c r="G954">
        <f t="shared" si="20"/>
        <v>16.381909547738694</v>
      </c>
    </row>
    <row r="955" spans="1:7">
      <c r="A955" s="3184">
        <v>952</v>
      </c>
      <c r="B955" s="3192">
        <v>-1280</v>
      </c>
      <c r="C955" s="3189">
        <v>32.61</v>
      </c>
      <c r="D955" s="3187" t="s">
        <v>4007</v>
      </c>
      <c r="E955">
        <f t="shared" si="19"/>
        <v>4981</v>
      </c>
      <c r="F955" s="3206">
        <f t="shared" si="18"/>
        <v>162430.41</v>
      </c>
      <c r="G955">
        <f t="shared" si="20"/>
        <v>16.381909547738694</v>
      </c>
    </row>
    <row r="956" spans="1:7">
      <c r="A956" s="3184">
        <v>953</v>
      </c>
      <c r="B956" s="3192">
        <v>-1281</v>
      </c>
      <c r="C956" s="3189">
        <v>32.61</v>
      </c>
      <c r="D956" s="3187" t="s">
        <v>4007</v>
      </c>
      <c r="E956">
        <f t="shared" si="19"/>
        <v>4981</v>
      </c>
      <c r="F956" s="3206">
        <f t="shared" si="18"/>
        <v>162430.41</v>
      </c>
      <c r="G956">
        <f t="shared" si="20"/>
        <v>16.381909547738694</v>
      </c>
    </row>
    <row r="957" spans="1:7">
      <c r="A957" s="3184">
        <v>954</v>
      </c>
      <c r="B957" s="3192">
        <v>-1282</v>
      </c>
      <c r="C957" s="3189">
        <v>32.61</v>
      </c>
      <c r="D957" s="3187" t="s">
        <v>4007</v>
      </c>
      <c r="E957">
        <f t="shared" si="19"/>
        <v>4981</v>
      </c>
      <c r="F957" s="3206">
        <f t="shared" si="18"/>
        <v>162430.41</v>
      </c>
      <c r="G957">
        <f t="shared" si="20"/>
        <v>16.381909547738694</v>
      </c>
    </row>
    <row r="958" spans="1:7">
      <c r="A958" s="3184">
        <v>955</v>
      </c>
      <c r="B958" s="3192">
        <v>-1283</v>
      </c>
      <c r="C958" s="3189">
        <v>32.61</v>
      </c>
      <c r="D958" s="3187" t="s">
        <v>4007</v>
      </c>
      <c r="E958">
        <f t="shared" si="19"/>
        <v>4981</v>
      </c>
      <c r="F958" s="3206">
        <f t="shared" si="18"/>
        <v>162430.41</v>
      </c>
      <c r="G958">
        <f t="shared" si="20"/>
        <v>16.381909547738694</v>
      </c>
    </row>
    <row r="959" spans="1:7">
      <c r="A959" s="3184">
        <v>956</v>
      </c>
      <c r="B959" s="3192">
        <v>-1284</v>
      </c>
      <c r="C959" s="3189">
        <v>32.61</v>
      </c>
      <c r="D959" s="3187" t="s">
        <v>4007</v>
      </c>
      <c r="E959">
        <f t="shared" si="19"/>
        <v>4981</v>
      </c>
      <c r="F959" s="3206">
        <f t="shared" si="18"/>
        <v>162430.41</v>
      </c>
      <c r="G959">
        <f t="shared" si="20"/>
        <v>16.381909547738694</v>
      </c>
    </row>
    <row r="960" spans="1:7">
      <c r="A960" s="3184">
        <v>957</v>
      </c>
      <c r="B960" s="3192">
        <v>-1285</v>
      </c>
      <c r="C960" s="3189">
        <v>32.61</v>
      </c>
      <c r="D960" s="3187" t="s">
        <v>4007</v>
      </c>
      <c r="E960">
        <f t="shared" si="19"/>
        <v>4981</v>
      </c>
      <c r="F960" s="3206">
        <f t="shared" si="18"/>
        <v>162430.41</v>
      </c>
      <c r="G960">
        <f t="shared" si="20"/>
        <v>16.381909547738694</v>
      </c>
    </row>
    <row r="961" spans="1:7">
      <c r="A961" s="3184">
        <v>958</v>
      </c>
      <c r="B961" s="3192">
        <v>-1286</v>
      </c>
      <c r="C961" s="3189">
        <v>32.61</v>
      </c>
      <c r="D961" s="3187" t="s">
        <v>4007</v>
      </c>
      <c r="E961">
        <f t="shared" si="19"/>
        <v>4981</v>
      </c>
      <c r="F961" s="3206">
        <f t="shared" si="18"/>
        <v>162430.41</v>
      </c>
      <c r="G961">
        <f t="shared" si="20"/>
        <v>16.381909547738694</v>
      </c>
    </row>
    <row r="962" spans="1:7">
      <c r="A962" s="3184">
        <v>959</v>
      </c>
      <c r="B962" s="3192">
        <v>-1287</v>
      </c>
      <c r="C962" s="3189">
        <v>32.61</v>
      </c>
      <c r="D962" s="3187" t="s">
        <v>4007</v>
      </c>
      <c r="E962">
        <f t="shared" si="19"/>
        <v>4981</v>
      </c>
      <c r="F962" s="3206">
        <f t="shared" si="18"/>
        <v>162430.41</v>
      </c>
      <c r="G962">
        <f t="shared" si="20"/>
        <v>16.381909547738694</v>
      </c>
    </row>
    <row r="963" spans="1:7">
      <c r="A963" s="3184">
        <v>960</v>
      </c>
      <c r="B963" s="3192">
        <v>-1288</v>
      </c>
      <c r="C963" s="3189">
        <v>32.61</v>
      </c>
      <c r="D963" s="3187" t="s">
        <v>4007</v>
      </c>
      <c r="E963">
        <f t="shared" si="19"/>
        <v>4981</v>
      </c>
      <c r="F963" s="3206">
        <f t="shared" si="18"/>
        <v>162430.41</v>
      </c>
      <c r="G963">
        <f t="shared" si="20"/>
        <v>16.381909547738694</v>
      </c>
    </row>
    <row r="964" spans="1:7">
      <c r="A964" s="3184">
        <v>961</v>
      </c>
      <c r="B964" s="3192">
        <v>-1289</v>
      </c>
      <c r="C964" s="3189">
        <v>32.61</v>
      </c>
      <c r="D964" s="3187" t="s">
        <v>4007</v>
      </c>
      <c r="E964">
        <f t="shared" si="19"/>
        <v>4981</v>
      </c>
      <c r="F964" s="3206">
        <f t="shared" si="18"/>
        <v>162430.41</v>
      </c>
      <c r="G964">
        <f t="shared" si="20"/>
        <v>16.381909547738694</v>
      </c>
    </row>
    <row r="965" spans="1:7">
      <c r="A965" s="3184">
        <v>962</v>
      </c>
      <c r="B965" s="3192">
        <v>-1290</v>
      </c>
      <c r="C965" s="3189">
        <v>32.61</v>
      </c>
      <c r="D965" s="3187" t="s">
        <v>4007</v>
      </c>
      <c r="E965">
        <f t="shared" si="19"/>
        <v>4981</v>
      </c>
      <c r="F965" s="3206">
        <f t="shared" si="18"/>
        <v>162430.41</v>
      </c>
      <c r="G965">
        <f t="shared" si="20"/>
        <v>16.381909547738694</v>
      </c>
    </row>
    <row r="966" spans="1:7">
      <c r="A966" s="3184">
        <v>963</v>
      </c>
      <c r="B966" s="3192">
        <v>-1291</v>
      </c>
      <c r="C966" s="3189">
        <v>32.61</v>
      </c>
      <c r="D966" s="3187" t="s">
        <v>4007</v>
      </c>
      <c r="E966">
        <f t="shared" si="19"/>
        <v>4981</v>
      </c>
      <c r="F966" s="3206">
        <f t="shared" si="18"/>
        <v>162430.41</v>
      </c>
      <c r="G966">
        <f t="shared" si="20"/>
        <v>16.381909547738694</v>
      </c>
    </row>
    <row r="967" spans="1:7">
      <c r="A967" s="3184">
        <v>964</v>
      </c>
      <c r="B967" s="3192">
        <v>-1292</v>
      </c>
      <c r="C967" s="3189">
        <v>32.61</v>
      </c>
      <c r="D967" s="3187" t="s">
        <v>4007</v>
      </c>
      <c r="E967">
        <f t="shared" si="19"/>
        <v>4981</v>
      </c>
      <c r="F967" s="3206">
        <f t="shared" si="18"/>
        <v>162430.41</v>
      </c>
      <c r="G967">
        <f t="shared" si="20"/>
        <v>16.381909547738694</v>
      </c>
    </row>
    <row r="968" spans="1:7">
      <c r="A968" s="3184">
        <v>965</v>
      </c>
      <c r="B968" s="3192">
        <v>-1293</v>
      </c>
      <c r="C968" s="3189">
        <v>32.61</v>
      </c>
      <c r="D968" s="3187" t="s">
        <v>4007</v>
      </c>
      <c r="E968">
        <f t="shared" si="19"/>
        <v>4981</v>
      </c>
      <c r="F968" s="3206">
        <f t="shared" si="18"/>
        <v>162430.41</v>
      </c>
      <c r="G968">
        <f t="shared" si="20"/>
        <v>16.381909547738694</v>
      </c>
    </row>
    <row r="969" spans="1:7">
      <c r="A969" s="3184">
        <v>966</v>
      </c>
      <c r="B969" s="3192">
        <v>-1294</v>
      </c>
      <c r="C969" s="3189">
        <v>32.61</v>
      </c>
      <c r="D969" s="3187" t="s">
        <v>4007</v>
      </c>
      <c r="E969">
        <f t="shared" si="19"/>
        <v>4981</v>
      </c>
      <c r="F969" s="3206">
        <f t="shared" si="18"/>
        <v>162430.41</v>
      </c>
      <c r="G969">
        <f t="shared" si="20"/>
        <v>16.381909547738694</v>
      </c>
    </row>
    <row r="970" spans="1:7">
      <c r="A970" s="3184">
        <v>967</v>
      </c>
      <c r="B970" s="3192">
        <v>-1295</v>
      </c>
      <c r="C970" s="3189">
        <v>32.61</v>
      </c>
      <c r="D970" s="3187" t="s">
        <v>4007</v>
      </c>
      <c r="E970">
        <f t="shared" si="19"/>
        <v>4981</v>
      </c>
      <c r="F970" s="3206">
        <f t="shared" si="18"/>
        <v>162430.41</v>
      </c>
      <c r="G970">
        <f t="shared" si="20"/>
        <v>16.381909547738694</v>
      </c>
    </row>
    <row r="971" spans="1:7">
      <c r="A971" s="3184">
        <v>968</v>
      </c>
      <c r="B971" s="3192">
        <v>-1296</v>
      </c>
      <c r="C971" s="3189">
        <v>32.61</v>
      </c>
      <c r="D971" s="3187" t="s">
        <v>4007</v>
      </c>
      <c r="E971">
        <f t="shared" si="19"/>
        <v>4981</v>
      </c>
      <c r="F971" s="3206">
        <f t="shared" si="18"/>
        <v>162430.41</v>
      </c>
      <c r="G971">
        <f t="shared" si="20"/>
        <v>16.381909547738694</v>
      </c>
    </row>
    <row r="972" spans="1:7">
      <c r="A972" s="3184">
        <v>969</v>
      </c>
      <c r="B972" s="3192">
        <v>-1297</v>
      </c>
      <c r="C972" s="3189">
        <v>32.61</v>
      </c>
      <c r="D972" s="3187" t="s">
        <v>4007</v>
      </c>
      <c r="E972">
        <f t="shared" si="19"/>
        <v>4981</v>
      </c>
      <c r="F972" s="3206">
        <f t="shared" si="18"/>
        <v>162430.41</v>
      </c>
      <c r="G972">
        <f t="shared" si="20"/>
        <v>16.381909547738694</v>
      </c>
    </row>
    <row r="973" spans="1:7">
      <c r="A973" s="3184">
        <v>970</v>
      </c>
      <c r="B973" s="3192">
        <v>-1298</v>
      </c>
      <c r="C973" s="3189">
        <v>32.61</v>
      </c>
      <c r="D973" s="3187" t="s">
        <v>4007</v>
      </c>
      <c r="E973">
        <f t="shared" si="19"/>
        <v>4981</v>
      </c>
      <c r="F973" s="3206">
        <f t="shared" si="18"/>
        <v>162430.41</v>
      </c>
      <c r="G973">
        <f t="shared" si="20"/>
        <v>16.381909547738694</v>
      </c>
    </row>
    <row r="974" spans="1:7">
      <c r="A974" s="3184">
        <v>971</v>
      </c>
      <c r="B974" s="3192">
        <v>-1299</v>
      </c>
      <c r="C974" s="3189">
        <v>32.61</v>
      </c>
      <c r="D974" s="3187" t="s">
        <v>4007</v>
      </c>
      <c r="E974">
        <f t="shared" si="19"/>
        <v>4981</v>
      </c>
      <c r="F974" s="3206">
        <f t="shared" si="18"/>
        <v>162430.41</v>
      </c>
      <c r="G974">
        <f t="shared" si="20"/>
        <v>16.381909547738694</v>
      </c>
    </row>
    <row r="975" spans="1:7">
      <c r="A975" s="3184">
        <v>972</v>
      </c>
      <c r="B975" s="3192">
        <v>-1300</v>
      </c>
      <c r="C975" s="3189">
        <v>32.61</v>
      </c>
      <c r="D975" s="3187" t="s">
        <v>4007</v>
      </c>
      <c r="E975">
        <f t="shared" si="19"/>
        <v>4981</v>
      </c>
      <c r="F975" s="3206">
        <f t="shared" si="18"/>
        <v>162430.41</v>
      </c>
      <c r="G975">
        <f t="shared" si="20"/>
        <v>16.381909547738694</v>
      </c>
    </row>
    <row r="976" spans="1:7">
      <c r="A976" s="3184">
        <v>973</v>
      </c>
      <c r="B976" s="3192">
        <v>-1301</v>
      </c>
      <c r="C976" s="3189">
        <v>32.61</v>
      </c>
      <c r="D976" s="3187" t="s">
        <v>4007</v>
      </c>
      <c r="E976">
        <f t="shared" si="19"/>
        <v>4981</v>
      </c>
      <c r="F976" s="3206">
        <f t="shared" si="18"/>
        <v>162430.41</v>
      </c>
      <c r="G976">
        <f t="shared" si="20"/>
        <v>16.381909547738694</v>
      </c>
    </row>
    <row r="977" spans="1:7">
      <c r="A977" s="3184">
        <v>974</v>
      </c>
      <c r="B977" s="3192">
        <v>-1302</v>
      </c>
      <c r="C977" s="3189">
        <v>32.61</v>
      </c>
      <c r="D977" s="3187" t="s">
        <v>4007</v>
      </c>
      <c r="E977">
        <f t="shared" si="19"/>
        <v>4981</v>
      </c>
      <c r="F977" s="3206">
        <f t="shared" si="18"/>
        <v>162430.41</v>
      </c>
      <c r="G977">
        <f t="shared" si="20"/>
        <v>16.381909547738694</v>
      </c>
    </row>
    <row r="978" spans="1:7">
      <c r="A978" s="3184">
        <v>975</v>
      </c>
      <c r="B978" s="3192">
        <v>-1303</v>
      </c>
      <c r="C978" s="3189">
        <v>32.61</v>
      </c>
      <c r="D978" s="3187" t="s">
        <v>4007</v>
      </c>
      <c r="E978">
        <f t="shared" si="19"/>
        <v>4981</v>
      </c>
      <c r="F978" s="3206">
        <f t="shared" si="18"/>
        <v>162430.41</v>
      </c>
      <c r="G978">
        <f t="shared" si="20"/>
        <v>16.381909547738694</v>
      </c>
    </row>
    <row r="979" spans="1:7">
      <c r="A979" s="3184">
        <v>976</v>
      </c>
      <c r="B979" s="3192">
        <v>-1304</v>
      </c>
      <c r="C979" s="3189">
        <v>32.61</v>
      </c>
      <c r="D979" s="3187" t="s">
        <v>4007</v>
      </c>
      <c r="E979">
        <f t="shared" si="19"/>
        <v>4981</v>
      </c>
      <c r="F979" s="3206">
        <f t="shared" si="18"/>
        <v>162430.41</v>
      </c>
      <c r="G979">
        <f t="shared" si="20"/>
        <v>16.381909547738694</v>
      </c>
    </row>
    <row r="980" spans="1:7">
      <c r="A980" s="3184">
        <v>977</v>
      </c>
      <c r="B980" s="3192">
        <v>-1305</v>
      </c>
      <c r="C980" s="3189">
        <v>32.61</v>
      </c>
      <c r="D980" s="3187" t="s">
        <v>4007</v>
      </c>
      <c r="E980">
        <f t="shared" si="19"/>
        <v>4981</v>
      </c>
      <c r="F980" s="3206">
        <f t="shared" si="18"/>
        <v>162430.41</v>
      </c>
      <c r="G980">
        <f t="shared" si="20"/>
        <v>16.381909547738694</v>
      </c>
    </row>
    <row r="981" spans="1:7">
      <c r="A981" s="3184">
        <v>978</v>
      </c>
      <c r="B981" s="3192">
        <v>-1306</v>
      </c>
      <c r="C981" s="3189">
        <v>32.61</v>
      </c>
      <c r="D981" s="3187" t="s">
        <v>4007</v>
      </c>
      <c r="E981">
        <f t="shared" si="19"/>
        <v>4981</v>
      </c>
      <c r="F981" s="3206">
        <f t="shared" si="18"/>
        <v>162430.41</v>
      </c>
      <c r="G981">
        <f t="shared" si="20"/>
        <v>16.381909547738694</v>
      </c>
    </row>
    <row r="982" spans="1:7">
      <c r="A982" s="3184">
        <v>979</v>
      </c>
      <c r="B982" s="3192">
        <v>-1307</v>
      </c>
      <c r="C982" s="3189">
        <v>32.61</v>
      </c>
      <c r="D982" s="3187" t="s">
        <v>4007</v>
      </c>
      <c r="E982">
        <f t="shared" si="19"/>
        <v>4981</v>
      </c>
      <c r="F982" s="3206">
        <f t="shared" si="18"/>
        <v>162430.41</v>
      </c>
      <c r="G982">
        <f t="shared" si="20"/>
        <v>16.381909547738694</v>
      </c>
    </row>
    <row r="983" spans="1:7">
      <c r="A983" s="3184">
        <v>980</v>
      </c>
      <c r="B983" s="3192">
        <v>-1308</v>
      </c>
      <c r="C983" s="3189">
        <v>32.61</v>
      </c>
      <c r="D983" s="3187" t="s">
        <v>4007</v>
      </c>
      <c r="E983">
        <f t="shared" si="19"/>
        <v>4981</v>
      </c>
      <c r="F983" s="3206">
        <f t="shared" si="18"/>
        <v>162430.41</v>
      </c>
      <c r="G983">
        <f t="shared" si="20"/>
        <v>16.381909547738694</v>
      </c>
    </row>
    <row r="984" spans="1:7">
      <c r="A984" s="3184">
        <v>981</v>
      </c>
      <c r="B984" s="3192">
        <v>-1309</v>
      </c>
      <c r="C984" s="3189">
        <v>32.61</v>
      </c>
      <c r="D984" s="3187" t="s">
        <v>4007</v>
      </c>
      <c r="E984">
        <f t="shared" si="19"/>
        <v>4981</v>
      </c>
      <c r="F984" s="3206">
        <f t="shared" si="18"/>
        <v>162430.41</v>
      </c>
      <c r="G984">
        <f t="shared" si="20"/>
        <v>16.381909547738694</v>
      </c>
    </row>
    <row r="985" spans="1:7">
      <c r="A985" s="3184">
        <v>982</v>
      </c>
      <c r="B985" s="3192">
        <v>-1310</v>
      </c>
      <c r="C985" s="3189">
        <v>32.61</v>
      </c>
      <c r="D985" s="3187" t="s">
        <v>4007</v>
      </c>
      <c r="E985">
        <f t="shared" si="19"/>
        <v>4981</v>
      </c>
      <c r="F985" s="3206">
        <f t="shared" si="18"/>
        <v>162430.41</v>
      </c>
      <c r="G985">
        <f t="shared" si="20"/>
        <v>16.381909547738694</v>
      </c>
    </row>
    <row r="986" spans="1:7">
      <c r="A986" s="3184">
        <v>983</v>
      </c>
      <c r="B986" s="3192">
        <v>-1311</v>
      </c>
      <c r="C986" s="3189">
        <v>32.61</v>
      </c>
      <c r="D986" s="3187" t="s">
        <v>4007</v>
      </c>
      <c r="E986">
        <f t="shared" si="19"/>
        <v>4981</v>
      </c>
      <c r="F986" s="3206">
        <f t="shared" si="18"/>
        <v>162430.41</v>
      </c>
      <c r="G986">
        <f t="shared" si="20"/>
        <v>16.381909547738694</v>
      </c>
    </row>
    <row r="987" spans="1:7">
      <c r="A987" s="3184">
        <v>984</v>
      </c>
      <c r="B987" s="3192">
        <v>-1312</v>
      </c>
      <c r="C987" s="3189">
        <v>32.61</v>
      </c>
      <c r="D987" s="3187" t="s">
        <v>4007</v>
      </c>
      <c r="E987">
        <f t="shared" si="19"/>
        <v>4981</v>
      </c>
      <c r="F987" s="3206">
        <f t="shared" si="18"/>
        <v>162430.41</v>
      </c>
      <c r="G987">
        <f t="shared" si="20"/>
        <v>16.381909547738694</v>
      </c>
    </row>
    <row r="988" spans="1:7">
      <c r="A988" s="3184">
        <v>985</v>
      </c>
      <c r="B988" s="3192">
        <v>-1313</v>
      </c>
      <c r="C988" s="3189">
        <v>32.61</v>
      </c>
      <c r="D988" s="3187" t="s">
        <v>4007</v>
      </c>
      <c r="E988">
        <f t="shared" si="19"/>
        <v>4981</v>
      </c>
      <c r="F988" s="3206">
        <f t="shared" si="18"/>
        <v>162430.41</v>
      </c>
      <c r="G988">
        <f t="shared" si="20"/>
        <v>16.381909547738694</v>
      </c>
    </row>
    <row r="989" spans="1:7">
      <c r="A989" s="3184">
        <v>986</v>
      </c>
      <c r="B989" s="3192">
        <v>-1314</v>
      </c>
      <c r="C989" s="3189">
        <v>32.61</v>
      </c>
      <c r="D989" s="3187" t="s">
        <v>4007</v>
      </c>
      <c r="E989">
        <f t="shared" si="19"/>
        <v>4981</v>
      </c>
      <c r="F989" s="3206">
        <f t="shared" si="18"/>
        <v>162430.41</v>
      </c>
      <c r="G989">
        <f t="shared" si="20"/>
        <v>16.381909547738694</v>
      </c>
    </row>
    <row r="990" spans="1:7">
      <c r="A990" s="3184">
        <v>987</v>
      </c>
      <c r="B990" s="3192">
        <v>-1315</v>
      </c>
      <c r="C990" s="3189">
        <v>32.61</v>
      </c>
      <c r="D990" s="3187" t="s">
        <v>4007</v>
      </c>
      <c r="E990">
        <f t="shared" si="19"/>
        <v>4981</v>
      </c>
      <c r="F990" s="3206">
        <f t="shared" si="18"/>
        <v>162430.41</v>
      </c>
      <c r="G990">
        <f t="shared" si="20"/>
        <v>16.381909547738694</v>
      </c>
    </row>
    <row r="991" spans="1:7">
      <c r="A991" s="3184">
        <v>988</v>
      </c>
      <c r="B991" s="3192">
        <v>-1316</v>
      </c>
      <c r="C991" s="3189">
        <v>32.61</v>
      </c>
      <c r="D991" s="3187" t="s">
        <v>4007</v>
      </c>
      <c r="E991">
        <f t="shared" si="19"/>
        <v>4981</v>
      </c>
      <c r="F991" s="3206">
        <f t="shared" si="18"/>
        <v>162430.41</v>
      </c>
      <c r="G991">
        <f t="shared" si="20"/>
        <v>16.381909547738694</v>
      </c>
    </row>
    <row r="992" spans="1:7">
      <c r="A992" s="3184">
        <v>989</v>
      </c>
      <c r="B992" s="3192">
        <v>-1317</v>
      </c>
      <c r="C992" s="3189">
        <v>32.61</v>
      </c>
      <c r="D992" s="3187" t="s">
        <v>4007</v>
      </c>
      <c r="E992">
        <f t="shared" si="19"/>
        <v>4981</v>
      </c>
      <c r="F992" s="3206">
        <f t="shared" si="18"/>
        <v>162430.41</v>
      </c>
      <c r="G992">
        <f t="shared" si="20"/>
        <v>16.381909547738694</v>
      </c>
    </row>
    <row r="993" spans="1:7">
      <c r="A993" s="3184">
        <v>990</v>
      </c>
      <c r="B993" s="3192">
        <v>-1318</v>
      </c>
      <c r="C993" s="3189">
        <v>32.61</v>
      </c>
      <c r="D993" s="3187" t="s">
        <v>4007</v>
      </c>
      <c r="E993">
        <f t="shared" si="19"/>
        <v>4981</v>
      </c>
      <c r="F993" s="3206">
        <f t="shared" si="18"/>
        <v>162430.41</v>
      </c>
      <c r="G993">
        <f t="shared" si="20"/>
        <v>16.381909547738694</v>
      </c>
    </row>
    <row r="994" spans="1:7">
      <c r="A994" s="3184">
        <v>991</v>
      </c>
      <c r="B994" s="3192">
        <v>-1319</v>
      </c>
      <c r="C994" s="3189">
        <v>32.61</v>
      </c>
      <c r="D994" s="3187" t="s">
        <v>4007</v>
      </c>
      <c r="E994">
        <f t="shared" si="19"/>
        <v>4981</v>
      </c>
      <c r="F994" s="3206">
        <f t="shared" si="18"/>
        <v>162430.41</v>
      </c>
      <c r="G994">
        <f t="shared" si="20"/>
        <v>16.381909547738694</v>
      </c>
    </row>
    <row r="995" spans="1:7">
      <c r="A995" s="3184">
        <v>992</v>
      </c>
      <c r="B995" s="3192">
        <v>-1320</v>
      </c>
      <c r="C995" s="3189">
        <v>32.61</v>
      </c>
      <c r="D995" s="3187" t="s">
        <v>4007</v>
      </c>
      <c r="E995">
        <f t="shared" si="19"/>
        <v>4981</v>
      </c>
      <c r="F995" s="3206">
        <f t="shared" si="18"/>
        <v>162430.41</v>
      </c>
      <c r="G995">
        <f t="shared" si="20"/>
        <v>16.381909547738694</v>
      </c>
    </row>
    <row r="996" spans="1:7">
      <c r="A996" s="3184">
        <v>993</v>
      </c>
      <c r="B996" s="3192">
        <v>-1321</v>
      </c>
      <c r="C996" s="3189">
        <v>32.61</v>
      </c>
      <c r="D996" s="3187" t="s">
        <v>4007</v>
      </c>
      <c r="E996">
        <f t="shared" si="19"/>
        <v>4981</v>
      </c>
      <c r="F996" s="3206">
        <f t="shared" si="18"/>
        <v>162430.41</v>
      </c>
      <c r="G996">
        <f t="shared" si="20"/>
        <v>16.381909547738694</v>
      </c>
    </row>
    <row r="997" spans="1:7">
      <c r="A997" s="3184">
        <v>994</v>
      </c>
      <c r="B997" s="3192">
        <v>-1322</v>
      </c>
      <c r="C997" s="3189">
        <v>32.61</v>
      </c>
      <c r="D997" s="3187" t="s">
        <v>4007</v>
      </c>
      <c r="E997">
        <f t="shared" si="19"/>
        <v>4981</v>
      </c>
      <c r="F997" s="3206">
        <f t="shared" si="18"/>
        <v>162430.41</v>
      </c>
      <c r="G997">
        <f t="shared" si="20"/>
        <v>16.381909547738694</v>
      </c>
    </row>
    <row r="998" spans="1:7">
      <c r="A998" s="3184">
        <v>995</v>
      </c>
      <c r="B998" s="3192">
        <v>-1323</v>
      </c>
      <c r="C998" s="3189">
        <v>32.61</v>
      </c>
      <c r="D998" s="3187" t="s">
        <v>4007</v>
      </c>
      <c r="E998">
        <f t="shared" si="19"/>
        <v>4981</v>
      </c>
      <c r="F998" s="3206">
        <f t="shared" si="18"/>
        <v>162430.41</v>
      </c>
      <c r="G998">
        <f t="shared" si="20"/>
        <v>16.381909547738694</v>
      </c>
    </row>
    <row r="999" spans="1:7">
      <c r="A999" s="3184">
        <v>996</v>
      </c>
      <c r="B999" s="3192">
        <v>-1324</v>
      </c>
      <c r="C999" s="3189">
        <v>32.61</v>
      </c>
      <c r="D999" s="3187" t="s">
        <v>4007</v>
      </c>
      <c r="E999">
        <f t="shared" si="19"/>
        <v>4981</v>
      </c>
      <c r="F999" s="3206">
        <f t="shared" si="18"/>
        <v>162430.41</v>
      </c>
      <c r="G999">
        <f t="shared" si="20"/>
        <v>16.381909547738694</v>
      </c>
    </row>
    <row r="1000" spans="1:7">
      <c r="A1000" s="3184">
        <v>997</v>
      </c>
      <c r="B1000" s="3192">
        <v>-1325</v>
      </c>
      <c r="C1000" s="3189">
        <v>32.61</v>
      </c>
      <c r="D1000" s="3187" t="s">
        <v>4007</v>
      </c>
      <c r="E1000">
        <f t="shared" si="19"/>
        <v>4981</v>
      </c>
      <c r="F1000" s="3206">
        <f t="shared" ref="F1000:F1063" si="21">E1000*C1000</f>
        <v>162430.41</v>
      </c>
      <c r="G1000">
        <f t="shared" si="20"/>
        <v>16.381909547738694</v>
      </c>
    </row>
    <row r="1001" spans="1:7">
      <c r="A1001" s="3184">
        <v>998</v>
      </c>
      <c r="B1001" s="3192">
        <v>-1326</v>
      </c>
      <c r="C1001" s="3189">
        <v>32.61</v>
      </c>
      <c r="D1001" s="3187" t="s">
        <v>4007</v>
      </c>
      <c r="E1001">
        <f t="shared" ref="E1001:E1064" si="22">E1000</f>
        <v>4981</v>
      </c>
      <c r="F1001" s="3206">
        <f t="shared" si="21"/>
        <v>162430.41</v>
      </c>
      <c r="G1001">
        <f t="shared" ref="G1001:G1064" si="23">G1000</f>
        <v>16.381909547738694</v>
      </c>
    </row>
    <row r="1002" spans="1:7">
      <c r="A1002" s="3184">
        <v>999</v>
      </c>
      <c r="B1002" s="3192">
        <v>-1327</v>
      </c>
      <c r="C1002" s="3189">
        <v>32.61</v>
      </c>
      <c r="D1002" s="3187" t="s">
        <v>4007</v>
      </c>
      <c r="E1002">
        <f t="shared" si="22"/>
        <v>4981</v>
      </c>
      <c r="F1002" s="3206">
        <f t="shared" si="21"/>
        <v>162430.41</v>
      </c>
      <c r="G1002">
        <f t="shared" si="23"/>
        <v>16.381909547738694</v>
      </c>
    </row>
    <row r="1003" spans="1:7">
      <c r="A1003" s="3184">
        <v>1000</v>
      </c>
      <c r="B1003" s="3192">
        <v>-1328</v>
      </c>
      <c r="C1003" s="3189">
        <v>32.61</v>
      </c>
      <c r="D1003" s="3187" t="s">
        <v>4007</v>
      </c>
      <c r="E1003">
        <f t="shared" si="22"/>
        <v>4981</v>
      </c>
      <c r="F1003" s="3206">
        <f t="shared" si="21"/>
        <v>162430.41</v>
      </c>
      <c r="G1003">
        <f t="shared" si="23"/>
        <v>16.381909547738694</v>
      </c>
    </row>
    <row r="1004" spans="1:7">
      <c r="A1004" s="3184">
        <v>1001</v>
      </c>
      <c r="B1004" s="3192">
        <v>-1329</v>
      </c>
      <c r="C1004" s="3189">
        <v>32.61</v>
      </c>
      <c r="D1004" s="3187" t="s">
        <v>4007</v>
      </c>
      <c r="E1004">
        <f t="shared" si="22"/>
        <v>4981</v>
      </c>
      <c r="F1004" s="3206">
        <f t="shared" si="21"/>
        <v>162430.41</v>
      </c>
      <c r="G1004">
        <f t="shared" si="23"/>
        <v>16.381909547738694</v>
      </c>
    </row>
    <row r="1005" spans="1:7">
      <c r="A1005" s="3184">
        <v>1002</v>
      </c>
      <c r="B1005" s="3192">
        <v>-1330</v>
      </c>
      <c r="C1005" s="3189">
        <v>32.61</v>
      </c>
      <c r="D1005" s="3187" t="s">
        <v>4007</v>
      </c>
      <c r="E1005">
        <f t="shared" si="22"/>
        <v>4981</v>
      </c>
      <c r="F1005" s="3206">
        <f t="shared" si="21"/>
        <v>162430.41</v>
      </c>
      <c r="G1005">
        <f t="shared" si="23"/>
        <v>16.381909547738694</v>
      </c>
    </row>
    <row r="1006" spans="1:7">
      <c r="A1006" s="3184">
        <v>1003</v>
      </c>
      <c r="B1006" s="3192">
        <v>-1331</v>
      </c>
      <c r="C1006" s="3189">
        <v>32.61</v>
      </c>
      <c r="D1006" s="3187" t="s">
        <v>4007</v>
      </c>
      <c r="E1006">
        <f t="shared" si="22"/>
        <v>4981</v>
      </c>
      <c r="F1006" s="3206">
        <f t="shared" si="21"/>
        <v>162430.41</v>
      </c>
      <c r="G1006">
        <f t="shared" si="23"/>
        <v>16.381909547738694</v>
      </c>
    </row>
    <row r="1007" spans="1:7">
      <c r="A1007" s="3184">
        <v>1004</v>
      </c>
      <c r="B1007" s="3192">
        <v>-1332</v>
      </c>
      <c r="C1007" s="3189">
        <v>32.61</v>
      </c>
      <c r="D1007" s="3187" t="s">
        <v>4007</v>
      </c>
      <c r="E1007">
        <f t="shared" si="22"/>
        <v>4981</v>
      </c>
      <c r="F1007" s="3206">
        <f t="shared" si="21"/>
        <v>162430.41</v>
      </c>
      <c r="G1007">
        <f t="shared" si="23"/>
        <v>16.381909547738694</v>
      </c>
    </row>
    <row r="1008" spans="1:7">
      <c r="A1008" s="3184">
        <v>1005</v>
      </c>
      <c r="B1008" s="3192">
        <v>-1333</v>
      </c>
      <c r="C1008" s="3189">
        <v>32.61</v>
      </c>
      <c r="D1008" s="3187" t="s">
        <v>4007</v>
      </c>
      <c r="E1008">
        <f t="shared" si="22"/>
        <v>4981</v>
      </c>
      <c r="F1008" s="3206">
        <f t="shared" si="21"/>
        <v>162430.41</v>
      </c>
      <c r="G1008">
        <f t="shared" si="23"/>
        <v>16.381909547738694</v>
      </c>
    </row>
    <row r="1009" spans="1:7">
      <c r="A1009" s="3184">
        <v>1006</v>
      </c>
      <c r="B1009" s="3192">
        <v>-1334</v>
      </c>
      <c r="C1009" s="3189">
        <v>32.61</v>
      </c>
      <c r="D1009" s="3187" t="s">
        <v>4007</v>
      </c>
      <c r="E1009">
        <f t="shared" si="22"/>
        <v>4981</v>
      </c>
      <c r="F1009" s="3206">
        <f t="shared" si="21"/>
        <v>162430.41</v>
      </c>
      <c r="G1009">
        <f t="shared" si="23"/>
        <v>16.381909547738694</v>
      </c>
    </row>
    <row r="1010" spans="1:7">
      <c r="A1010" s="3184">
        <v>1007</v>
      </c>
      <c r="B1010" s="3192">
        <v>-1335</v>
      </c>
      <c r="C1010" s="3189">
        <v>32.61</v>
      </c>
      <c r="D1010" s="3187" t="s">
        <v>4007</v>
      </c>
      <c r="E1010">
        <f t="shared" si="22"/>
        <v>4981</v>
      </c>
      <c r="F1010" s="3206">
        <f t="shared" si="21"/>
        <v>162430.41</v>
      </c>
      <c r="G1010">
        <f t="shared" si="23"/>
        <v>16.381909547738694</v>
      </c>
    </row>
    <row r="1011" spans="1:7">
      <c r="A1011" s="3184">
        <v>1008</v>
      </c>
      <c r="B1011" s="3192">
        <v>-1336</v>
      </c>
      <c r="C1011" s="3189">
        <v>32.61</v>
      </c>
      <c r="D1011" s="3187" t="s">
        <v>4007</v>
      </c>
      <c r="E1011">
        <f t="shared" si="22"/>
        <v>4981</v>
      </c>
      <c r="F1011" s="3206">
        <f t="shared" si="21"/>
        <v>162430.41</v>
      </c>
      <c r="G1011">
        <f t="shared" si="23"/>
        <v>16.381909547738694</v>
      </c>
    </row>
    <row r="1012" spans="1:7">
      <c r="A1012" s="3184">
        <v>1009</v>
      </c>
      <c r="B1012" s="3192">
        <v>-1337</v>
      </c>
      <c r="C1012" s="3189">
        <v>32.61</v>
      </c>
      <c r="D1012" s="3187" t="s">
        <v>4007</v>
      </c>
      <c r="E1012">
        <f t="shared" si="22"/>
        <v>4981</v>
      </c>
      <c r="F1012" s="3206">
        <f t="shared" si="21"/>
        <v>162430.41</v>
      </c>
      <c r="G1012">
        <f t="shared" si="23"/>
        <v>16.381909547738694</v>
      </c>
    </row>
    <row r="1013" spans="1:7">
      <c r="A1013" s="3184">
        <v>1010</v>
      </c>
      <c r="B1013" s="3192">
        <v>-1338</v>
      </c>
      <c r="C1013" s="3189">
        <v>32.61</v>
      </c>
      <c r="D1013" s="3187" t="s">
        <v>4007</v>
      </c>
      <c r="E1013">
        <f t="shared" si="22"/>
        <v>4981</v>
      </c>
      <c r="F1013" s="3206">
        <f t="shared" si="21"/>
        <v>162430.41</v>
      </c>
      <c r="G1013">
        <f t="shared" si="23"/>
        <v>16.381909547738694</v>
      </c>
    </row>
    <row r="1014" spans="1:7">
      <c r="A1014" s="3184">
        <v>1011</v>
      </c>
      <c r="B1014" s="3192">
        <v>-1339</v>
      </c>
      <c r="C1014" s="3189">
        <v>32.61</v>
      </c>
      <c r="D1014" s="3187" t="s">
        <v>4007</v>
      </c>
      <c r="E1014">
        <f t="shared" si="22"/>
        <v>4981</v>
      </c>
      <c r="F1014" s="3206">
        <f t="shared" si="21"/>
        <v>162430.41</v>
      </c>
      <c r="G1014">
        <f t="shared" si="23"/>
        <v>16.381909547738694</v>
      </c>
    </row>
    <row r="1015" spans="1:7">
      <c r="A1015" s="3184">
        <v>1012</v>
      </c>
      <c r="B1015" s="3192">
        <v>-1340</v>
      </c>
      <c r="C1015" s="3189">
        <v>32.61</v>
      </c>
      <c r="D1015" s="3187" t="s">
        <v>4007</v>
      </c>
      <c r="E1015">
        <f t="shared" si="22"/>
        <v>4981</v>
      </c>
      <c r="F1015" s="3206">
        <f t="shared" si="21"/>
        <v>162430.41</v>
      </c>
      <c r="G1015">
        <f t="shared" si="23"/>
        <v>16.381909547738694</v>
      </c>
    </row>
    <row r="1016" spans="1:7">
      <c r="A1016" s="3184">
        <v>1013</v>
      </c>
      <c r="B1016" s="3192">
        <v>-1341</v>
      </c>
      <c r="C1016" s="3189">
        <v>32.61</v>
      </c>
      <c r="D1016" s="3187" t="s">
        <v>4007</v>
      </c>
      <c r="E1016">
        <f t="shared" si="22"/>
        <v>4981</v>
      </c>
      <c r="F1016" s="3206">
        <f t="shared" si="21"/>
        <v>162430.41</v>
      </c>
      <c r="G1016">
        <f t="shared" si="23"/>
        <v>16.381909547738694</v>
      </c>
    </row>
    <row r="1017" spans="1:7">
      <c r="A1017" s="3184">
        <v>1014</v>
      </c>
      <c r="B1017" s="3192">
        <v>-1342</v>
      </c>
      <c r="C1017" s="3189">
        <v>32.61</v>
      </c>
      <c r="D1017" s="3187" t="s">
        <v>4007</v>
      </c>
      <c r="E1017">
        <f t="shared" si="22"/>
        <v>4981</v>
      </c>
      <c r="F1017" s="3206">
        <f t="shared" si="21"/>
        <v>162430.41</v>
      </c>
      <c r="G1017">
        <f t="shared" si="23"/>
        <v>16.381909547738694</v>
      </c>
    </row>
    <row r="1018" spans="1:7">
      <c r="A1018" s="3184">
        <v>1015</v>
      </c>
      <c r="B1018" s="3192">
        <v>-1343</v>
      </c>
      <c r="C1018" s="3189">
        <v>32.61</v>
      </c>
      <c r="D1018" s="3187" t="s">
        <v>4007</v>
      </c>
      <c r="E1018">
        <f t="shared" si="22"/>
        <v>4981</v>
      </c>
      <c r="F1018" s="3206">
        <f t="shared" si="21"/>
        <v>162430.41</v>
      </c>
      <c r="G1018">
        <f t="shared" si="23"/>
        <v>16.381909547738694</v>
      </c>
    </row>
    <row r="1019" spans="1:7">
      <c r="A1019" s="3184">
        <v>1016</v>
      </c>
      <c r="B1019" s="3192">
        <v>-1344</v>
      </c>
      <c r="C1019" s="3189">
        <v>32.61</v>
      </c>
      <c r="D1019" s="3187" t="s">
        <v>4007</v>
      </c>
      <c r="E1019">
        <f t="shared" si="22"/>
        <v>4981</v>
      </c>
      <c r="F1019" s="3206">
        <f t="shared" si="21"/>
        <v>162430.41</v>
      </c>
      <c r="G1019">
        <f t="shared" si="23"/>
        <v>16.381909547738694</v>
      </c>
    </row>
    <row r="1020" spans="1:7">
      <c r="A1020" s="3184">
        <v>1017</v>
      </c>
      <c r="B1020" s="3192">
        <v>-1345</v>
      </c>
      <c r="C1020" s="3189">
        <v>32.61</v>
      </c>
      <c r="D1020" s="3187" t="s">
        <v>4007</v>
      </c>
      <c r="E1020">
        <f t="shared" si="22"/>
        <v>4981</v>
      </c>
      <c r="F1020" s="3206">
        <f t="shared" si="21"/>
        <v>162430.41</v>
      </c>
      <c r="G1020">
        <f t="shared" si="23"/>
        <v>16.381909547738694</v>
      </c>
    </row>
    <row r="1021" spans="1:7">
      <c r="A1021" s="3184">
        <v>1018</v>
      </c>
      <c r="B1021" s="3192">
        <v>-1346</v>
      </c>
      <c r="C1021" s="3189">
        <v>32.61</v>
      </c>
      <c r="D1021" s="3187" t="s">
        <v>4007</v>
      </c>
      <c r="E1021">
        <f t="shared" si="22"/>
        <v>4981</v>
      </c>
      <c r="F1021" s="3206">
        <f t="shared" si="21"/>
        <v>162430.41</v>
      </c>
      <c r="G1021">
        <f t="shared" si="23"/>
        <v>16.381909547738694</v>
      </c>
    </row>
    <row r="1022" spans="1:7">
      <c r="A1022" s="3184">
        <v>1019</v>
      </c>
      <c r="B1022" s="3192">
        <v>-1347</v>
      </c>
      <c r="C1022" s="3189">
        <v>32.61</v>
      </c>
      <c r="D1022" s="3187" t="s">
        <v>4007</v>
      </c>
      <c r="E1022">
        <f t="shared" si="22"/>
        <v>4981</v>
      </c>
      <c r="F1022" s="3206">
        <f t="shared" si="21"/>
        <v>162430.41</v>
      </c>
      <c r="G1022">
        <f t="shared" si="23"/>
        <v>16.381909547738694</v>
      </c>
    </row>
    <row r="1023" spans="1:7">
      <c r="A1023" s="3184">
        <v>1020</v>
      </c>
      <c r="B1023" s="3192">
        <v>-1348</v>
      </c>
      <c r="C1023" s="3189">
        <v>32.61</v>
      </c>
      <c r="D1023" s="3187" t="s">
        <v>4007</v>
      </c>
      <c r="E1023">
        <f t="shared" si="22"/>
        <v>4981</v>
      </c>
      <c r="F1023" s="3206">
        <f t="shared" si="21"/>
        <v>162430.41</v>
      </c>
      <c r="G1023">
        <f t="shared" si="23"/>
        <v>16.381909547738694</v>
      </c>
    </row>
    <row r="1024" spans="1:7">
      <c r="A1024" s="3184">
        <v>1021</v>
      </c>
      <c r="B1024" s="3192">
        <v>-1349</v>
      </c>
      <c r="C1024" s="3189">
        <v>32.61</v>
      </c>
      <c r="D1024" s="3187" t="s">
        <v>4007</v>
      </c>
      <c r="E1024">
        <f t="shared" si="22"/>
        <v>4981</v>
      </c>
      <c r="F1024" s="3206">
        <f t="shared" si="21"/>
        <v>162430.41</v>
      </c>
      <c r="G1024">
        <f t="shared" si="23"/>
        <v>16.381909547738694</v>
      </c>
    </row>
    <row r="1025" spans="1:7">
      <c r="A1025" s="3184">
        <v>1022</v>
      </c>
      <c r="B1025" s="3192">
        <v>-1350</v>
      </c>
      <c r="C1025" s="3189">
        <v>32.61</v>
      </c>
      <c r="D1025" s="3187" t="s">
        <v>4007</v>
      </c>
      <c r="E1025">
        <f t="shared" si="22"/>
        <v>4981</v>
      </c>
      <c r="F1025" s="3206">
        <f t="shared" si="21"/>
        <v>162430.41</v>
      </c>
      <c r="G1025">
        <f t="shared" si="23"/>
        <v>16.381909547738694</v>
      </c>
    </row>
    <row r="1026" spans="1:7">
      <c r="A1026" s="3184">
        <v>1023</v>
      </c>
      <c r="B1026" s="3192">
        <v>-1351</v>
      </c>
      <c r="C1026" s="3189">
        <v>32.61</v>
      </c>
      <c r="D1026" s="3187" t="s">
        <v>4007</v>
      </c>
      <c r="E1026">
        <f t="shared" si="22"/>
        <v>4981</v>
      </c>
      <c r="F1026" s="3206">
        <f t="shared" si="21"/>
        <v>162430.41</v>
      </c>
      <c r="G1026">
        <f t="shared" si="23"/>
        <v>16.381909547738694</v>
      </c>
    </row>
    <row r="1027" spans="1:7">
      <c r="A1027" s="3184">
        <v>1024</v>
      </c>
      <c r="B1027" s="3192">
        <v>-1352</v>
      </c>
      <c r="C1027" s="3189">
        <v>32.61</v>
      </c>
      <c r="D1027" s="3187" t="s">
        <v>4007</v>
      </c>
      <c r="E1027">
        <f t="shared" si="22"/>
        <v>4981</v>
      </c>
      <c r="F1027" s="3206">
        <f t="shared" si="21"/>
        <v>162430.41</v>
      </c>
      <c r="G1027">
        <f t="shared" si="23"/>
        <v>16.381909547738694</v>
      </c>
    </row>
    <row r="1028" spans="1:7">
      <c r="A1028" s="3184">
        <v>1025</v>
      </c>
      <c r="B1028" s="3192">
        <v>-1353</v>
      </c>
      <c r="C1028" s="3189">
        <v>32.61</v>
      </c>
      <c r="D1028" s="3187" t="s">
        <v>4007</v>
      </c>
      <c r="E1028">
        <f t="shared" si="22"/>
        <v>4981</v>
      </c>
      <c r="F1028" s="3206">
        <f t="shared" si="21"/>
        <v>162430.41</v>
      </c>
      <c r="G1028">
        <f t="shared" si="23"/>
        <v>16.381909547738694</v>
      </c>
    </row>
    <row r="1029" spans="1:7">
      <c r="A1029" s="3184">
        <v>1026</v>
      </c>
      <c r="B1029" s="3192">
        <v>-1354</v>
      </c>
      <c r="C1029" s="3189">
        <v>32.61</v>
      </c>
      <c r="D1029" s="3187" t="s">
        <v>4007</v>
      </c>
      <c r="E1029">
        <f t="shared" si="22"/>
        <v>4981</v>
      </c>
      <c r="F1029" s="3206">
        <f t="shared" si="21"/>
        <v>162430.41</v>
      </c>
      <c r="G1029">
        <f t="shared" si="23"/>
        <v>16.381909547738694</v>
      </c>
    </row>
    <row r="1030" spans="1:7">
      <c r="A1030" s="3184">
        <v>1027</v>
      </c>
      <c r="B1030" s="3192">
        <v>-1355</v>
      </c>
      <c r="C1030" s="3189">
        <v>32.61</v>
      </c>
      <c r="D1030" s="3187" t="s">
        <v>4007</v>
      </c>
      <c r="E1030">
        <f t="shared" si="22"/>
        <v>4981</v>
      </c>
      <c r="F1030" s="3206">
        <f t="shared" si="21"/>
        <v>162430.41</v>
      </c>
      <c r="G1030">
        <f t="shared" si="23"/>
        <v>16.381909547738694</v>
      </c>
    </row>
    <row r="1031" spans="1:7">
      <c r="A1031" s="3184">
        <v>1028</v>
      </c>
      <c r="B1031" s="3192">
        <v>-1356</v>
      </c>
      <c r="C1031" s="3189">
        <v>32.61</v>
      </c>
      <c r="D1031" s="3187" t="s">
        <v>4007</v>
      </c>
      <c r="E1031">
        <f t="shared" si="22"/>
        <v>4981</v>
      </c>
      <c r="F1031" s="3206">
        <f t="shared" si="21"/>
        <v>162430.41</v>
      </c>
      <c r="G1031">
        <f t="shared" si="23"/>
        <v>16.381909547738694</v>
      </c>
    </row>
    <row r="1032" spans="1:7">
      <c r="A1032" s="3184">
        <v>1029</v>
      </c>
      <c r="B1032" s="3192">
        <v>-1357</v>
      </c>
      <c r="C1032" s="3189">
        <v>32.61</v>
      </c>
      <c r="D1032" s="3187" t="s">
        <v>4007</v>
      </c>
      <c r="E1032">
        <f t="shared" si="22"/>
        <v>4981</v>
      </c>
      <c r="F1032" s="3206">
        <f t="shared" si="21"/>
        <v>162430.41</v>
      </c>
      <c r="G1032">
        <f t="shared" si="23"/>
        <v>16.381909547738694</v>
      </c>
    </row>
    <row r="1033" spans="1:7">
      <c r="A1033" s="3184">
        <v>1030</v>
      </c>
      <c r="B1033" s="3192">
        <v>-1358</v>
      </c>
      <c r="C1033" s="3189">
        <v>32.61</v>
      </c>
      <c r="D1033" s="3187" t="s">
        <v>4007</v>
      </c>
      <c r="E1033">
        <f t="shared" si="22"/>
        <v>4981</v>
      </c>
      <c r="F1033" s="3206">
        <f t="shared" si="21"/>
        <v>162430.41</v>
      </c>
      <c r="G1033">
        <f t="shared" si="23"/>
        <v>16.381909547738694</v>
      </c>
    </row>
    <row r="1034" spans="1:7">
      <c r="A1034" s="3184">
        <v>1031</v>
      </c>
      <c r="B1034" s="3192">
        <v>-1359</v>
      </c>
      <c r="C1034" s="3189">
        <v>32.61</v>
      </c>
      <c r="D1034" s="3187" t="s">
        <v>4007</v>
      </c>
      <c r="E1034">
        <f t="shared" si="22"/>
        <v>4981</v>
      </c>
      <c r="F1034" s="3206">
        <f t="shared" si="21"/>
        <v>162430.41</v>
      </c>
      <c r="G1034">
        <f t="shared" si="23"/>
        <v>16.381909547738694</v>
      </c>
    </row>
    <row r="1035" spans="1:7">
      <c r="A1035" s="3184">
        <v>1032</v>
      </c>
      <c r="B1035" s="3192">
        <v>-1360</v>
      </c>
      <c r="C1035" s="3189">
        <v>32.61</v>
      </c>
      <c r="D1035" s="3187" t="s">
        <v>4007</v>
      </c>
      <c r="E1035">
        <f t="shared" si="22"/>
        <v>4981</v>
      </c>
      <c r="F1035" s="3206">
        <f t="shared" si="21"/>
        <v>162430.41</v>
      </c>
      <c r="G1035">
        <f t="shared" si="23"/>
        <v>16.381909547738694</v>
      </c>
    </row>
    <row r="1036" spans="1:7">
      <c r="A1036" s="3184">
        <v>1033</v>
      </c>
      <c r="B1036" s="3192">
        <v>-1361</v>
      </c>
      <c r="C1036" s="3189">
        <v>32.61</v>
      </c>
      <c r="D1036" s="3187" t="s">
        <v>4007</v>
      </c>
      <c r="E1036">
        <f t="shared" si="22"/>
        <v>4981</v>
      </c>
      <c r="F1036" s="3206">
        <f t="shared" si="21"/>
        <v>162430.41</v>
      </c>
      <c r="G1036">
        <f t="shared" si="23"/>
        <v>16.381909547738694</v>
      </c>
    </row>
    <row r="1037" spans="1:7">
      <c r="A1037" s="3184">
        <v>1034</v>
      </c>
      <c r="B1037" s="3192">
        <v>-1362</v>
      </c>
      <c r="C1037" s="3189">
        <v>32.61</v>
      </c>
      <c r="D1037" s="3187" t="s">
        <v>4007</v>
      </c>
      <c r="E1037">
        <f t="shared" si="22"/>
        <v>4981</v>
      </c>
      <c r="F1037" s="3206">
        <f t="shared" si="21"/>
        <v>162430.41</v>
      </c>
      <c r="G1037">
        <f t="shared" si="23"/>
        <v>16.381909547738694</v>
      </c>
    </row>
    <row r="1038" spans="1:7">
      <c r="A1038" s="3184">
        <v>1035</v>
      </c>
      <c r="B1038" s="3192">
        <v>-1363</v>
      </c>
      <c r="C1038" s="3189">
        <v>32.61</v>
      </c>
      <c r="D1038" s="3187" t="s">
        <v>4007</v>
      </c>
      <c r="E1038">
        <f t="shared" si="22"/>
        <v>4981</v>
      </c>
      <c r="F1038" s="3206">
        <f t="shared" si="21"/>
        <v>162430.41</v>
      </c>
      <c r="G1038">
        <f t="shared" si="23"/>
        <v>16.381909547738694</v>
      </c>
    </row>
    <row r="1039" spans="1:7">
      <c r="A1039" s="3184">
        <v>1036</v>
      </c>
      <c r="B1039" s="3192">
        <v>-1364</v>
      </c>
      <c r="C1039" s="3189">
        <v>32.61</v>
      </c>
      <c r="D1039" s="3187" t="s">
        <v>4007</v>
      </c>
      <c r="E1039">
        <f t="shared" si="22"/>
        <v>4981</v>
      </c>
      <c r="F1039" s="3206">
        <f t="shared" si="21"/>
        <v>162430.41</v>
      </c>
      <c r="G1039">
        <f t="shared" si="23"/>
        <v>16.381909547738694</v>
      </c>
    </row>
    <row r="1040" spans="1:7">
      <c r="A1040" s="3184">
        <v>1037</v>
      </c>
      <c r="B1040" s="3192">
        <v>-1365</v>
      </c>
      <c r="C1040" s="3189">
        <v>32.61</v>
      </c>
      <c r="D1040" s="3187" t="s">
        <v>4007</v>
      </c>
      <c r="E1040">
        <f t="shared" si="22"/>
        <v>4981</v>
      </c>
      <c r="F1040" s="3206">
        <f t="shared" si="21"/>
        <v>162430.41</v>
      </c>
      <c r="G1040">
        <f t="shared" si="23"/>
        <v>16.381909547738694</v>
      </c>
    </row>
    <row r="1041" spans="1:7">
      <c r="A1041" s="3184">
        <v>1038</v>
      </c>
      <c r="B1041" s="3192">
        <v>-1366</v>
      </c>
      <c r="C1041" s="3189">
        <v>32.61</v>
      </c>
      <c r="D1041" s="3187" t="s">
        <v>4007</v>
      </c>
      <c r="E1041">
        <f t="shared" si="22"/>
        <v>4981</v>
      </c>
      <c r="F1041" s="3206">
        <f t="shared" si="21"/>
        <v>162430.41</v>
      </c>
      <c r="G1041">
        <f t="shared" si="23"/>
        <v>16.381909547738694</v>
      </c>
    </row>
    <row r="1042" spans="1:7">
      <c r="A1042" s="3184">
        <v>1039</v>
      </c>
      <c r="B1042" s="3192">
        <v>-1367</v>
      </c>
      <c r="C1042" s="3189">
        <v>32.61</v>
      </c>
      <c r="D1042" s="3187" t="s">
        <v>4007</v>
      </c>
      <c r="E1042">
        <f t="shared" si="22"/>
        <v>4981</v>
      </c>
      <c r="F1042" s="3206">
        <f t="shared" si="21"/>
        <v>162430.41</v>
      </c>
      <c r="G1042">
        <f t="shared" si="23"/>
        <v>16.381909547738694</v>
      </c>
    </row>
    <row r="1043" spans="1:7">
      <c r="A1043" s="3184">
        <v>1040</v>
      </c>
      <c r="B1043" s="3192">
        <v>-1368</v>
      </c>
      <c r="C1043" s="3189">
        <v>32.61</v>
      </c>
      <c r="D1043" s="3187" t="s">
        <v>4007</v>
      </c>
      <c r="E1043">
        <f t="shared" si="22"/>
        <v>4981</v>
      </c>
      <c r="F1043" s="3206">
        <f t="shared" si="21"/>
        <v>162430.41</v>
      </c>
      <c r="G1043">
        <f t="shared" si="23"/>
        <v>16.381909547738694</v>
      </c>
    </row>
    <row r="1044" spans="1:7">
      <c r="A1044" s="3184">
        <v>1041</v>
      </c>
      <c r="B1044" s="3192">
        <v>-1369</v>
      </c>
      <c r="C1044" s="3189">
        <v>32.61</v>
      </c>
      <c r="D1044" s="3187" t="s">
        <v>4007</v>
      </c>
      <c r="E1044">
        <f t="shared" si="22"/>
        <v>4981</v>
      </c>
      <c r="F1044" s="3206">
        <f t="shared" si="21"/>
        <v>162430.41</v>
      </c>
      <c r="G1044">
        <f t="shared" si="23"/>
        <v>16.381909547738694</v>
      </c>
    </row>
    <row r="1045" spans="1:7">
      <c r="A1045" s="3184">
        <v>1042</v>
      </c>
      <c r="B1045" s="3192">
        <v>-1370</v>
      </c>
      <c r="C1045" s="3189">
        <v>32.61</v>
      </c>
      <c r="D1045" s="3187" t="s">
        <v>4007</v>
      </c>
      <c r="E1045">
        <f t="shared" si="22"/>
        <v>4981</v>
      </c>
      <c r="F1045" s="3206">
        <f t="shared" si="21"/>
        <v>162430.41</v>
      </c>
      <c r="G1045">
        <f t="shared" si="23"/>
        <v>16.381909547738694</v>
      </c>
    </row>
    <row r="1046" spans="1:7">
      <c r="A1046" s="3184">
        <v>1043</v>
      </c>
      <c r="B1046" s="3192">
        <v>-1371</v>
      </c>
      <c r="C1046" s="3189">
        <v>52.86</v>
      </c>
      <c r="D1046" s="3187" t="s">
        <v>4007</v>
      </c>
      <c r="E1046">
        <f t="shared" si="22"/>
        <v>4981</v>
      </c>
      <c r="F1046" s="3206">
        <f t="shared" si="21"/>
        <v>263295.65999999997</v>
      </c>
      <c r="G1046">
        <f t="shared" si="23"/>
        <v>16.381909547738694</v>
      </c>
    </row>
    <row r="1047" spans="1:7">
      <c r="A1047" s="3184">
        <v>1044</v>
      </c>
      <c r="B1047" s="3192">
        <v>-1372</v>
      </c>
      <c r="C1047" s="3189">
        <v>32.61</v>
      </c>
      <c r="D1047" s="3187" t="s">
        <v>4007</v>
      </c>
      <c r="E1047">
        <f t="shared" si="22"/>
        <v>4981</v>
      </c>
      <c r="F1047" s="3206">
        <f t="shared" si="21"/>
        <v>162430.41</v>
      </c>
      <c r="G1047">
        <f t="shared" si="23"/>
        <v>16.381909547738694</v>
      </c>
    </row>
    <row r="1048" spans="1:7">
      <c r="A1048" s="3184">
        <v>1045</v>
      </c>
      <c r="B1048" s="3192">
        <v>-1373</v>
      </c>
      <c r="C1048" s="3189">
        <v>32.61</v>
      </c>
      <c r="D1048" s="3187" t="s">
        <v>4007</v>
      </c>
      <c r="E1048">
        <f t="shared" si="22"/>
        <v>4981</v>
      </c>
      <c r="F1048" s="3206">
        <f t="shared" si="21"/>
        <v>162430.41</v>
      </c>
      <c r="G1048">
        <f t="shared" si="23"/>
        <v>16.381909547738694</v>
      </c>
    </row>
    <row r="1049" spans="1:7">
      <c r="A1049" s="3184">
        <v>1046</v>
      </c>
      <c r="B1049" s="3192">
        <v>-1374</v>
      </c>
      <c r="C1049" s="3189">
        <v>52.86</v>
      </c>
      <c r="D1049" s="3187" t="s">
        <v>4007</v>
      </c>
      <c r="E1049">
        <f t="shared" si="22"/>
        <v>4981</v>
      </c>
      <c r="F1049" s="3206">
        <f t="shared" si="21"/>
        <v>263295.65999999997</v>
      </c>
      <c r="G1049">
        <f t="shared" si="23"/>
        <v>16.381909547738694</v>
      </c>
    </row>
    <row r="1050" spans="1:7">
      <c r="A1050" s="3184">
        <v>1047</v>
      </c>
      <c r="B1050" s="3192">
        <v>-1375</v>
      </c>
      <c r="C1050" s="3189">
        <v>32.61</v>
      </c>
      <c r="D1050" s="3187" t="s">
        <v>4007</v>
      </c>
      <c r="E1050">
        <f t="shared" si="22"/>
        <v>4981</v>
      </c>
      <c r="F1050" s="3206">
        <f t="shared" si="21"/>
        <v>162430.41</v>
      </c>
      <c r="G1050">
        <f t="shared" si="23"/>
        <v>16.381909547738694</v>
      </c>
    </row>
    <row r="1051" spans="1:7">
      <c r="A1051" s="3184">
        <v>1048</v>
      </c>
      <c r="B1051" s="3192">
        <v>-1376</v>
      </c>
      <c r="C1051" s="3189">
        <v>32.61</v>
      </c>
      <c r="D1051" s="3187" t="s">
        <v>4007</v>
      </c>
      <c r="E1051">
        <f t="shared" si="22"/>
        <v>4981</v>
      </c>
      <c r="F1051" s="3206">
        <f t="shared" si="21"/>
        <v>162430.41</v>
      </c>
      <c r="G1051">
        <f t="shared" si="23"/>
        <v>16.381909547738694</v>
      </c>
    </row>
    <row r="1052" spans="1:7">
      <c r="A1052" s="3184">
        <v>1049</v>
      </c>
      <c r="B1052" s="3192">
        <v>-1377</v>
      </c>
      <c r="C1052" s="3189">
        <v>32.61</v>
      </c>
      <c r="D1052" s="3187" t="s">
        <v>4007</v>
      </c>
      <c r="E1052">
        <f t="shared" si="22"/>
        <v>4981</v>
      </c>
      <c r="F1052" s="3206">
        <f t="shared" si="21"/>
        <v>162430.41</v>
      </c>
      <c r="G1052">
        <f t="shared" si="23"/>
        <v>16.381909547738694</v>
      </c>
    </row>
    <row r="1053" spans="1:7">
      <c r="A1053" s="3184">
        <v>1050</v>
      </c>
      <c r="B1053" s="3192">
        <v>-1378</v>
      </c>
      <c r="C1053" s="3189">
        <v>32.61</v>
      </c>
      <c r="D1053" s="3187" t="s">
        <v>4007</v>
      </c>
      <c r="E1053">
        <f t="shared" si="22"/>
        <v>4981</v>
      </c>
      <c r="F1053" s="3206">
        <f t="shared" si="21"/>
        <v>162430.41</v>
      </c>
      <c r="G1053">
        <f t="shared" si="23"/>
        <v>16.381909547738694</v>
      </c>
    </row>
    <row r="1054" spans="1:7">
      <c r="A1054" s="3184">
        <v>1051</v>
      </c>
      <c r="B1054" s="3192">
        <v>-1379</v>
      </c>
      <c r="C1054" s="3189">
        <v>32.61</v>
      </c>
      <c r="D1054" s="3187" t="s">
        <v>4007</v>
      </c>
      <c r="E1054">
        <f t="shared" si="22"/>
        <v>4981</v>
      </c>
      <c r="F1054" s="3206">
        <f t="shared" si="21"/>
        <v>162430.41</v>
      </c>
      <c r="G1054">
        <f t="shared" si="23"/>
        <v>16.381909547738694</v>
      </c>
    </row>
    <row r="1055" spans="1:7">
      <c r="A1055" s="3184">
        <v>1052</v>
      </c>
      <c r="B1055" s="3192">
        <v>-1380</v>
      </c>
      <c r="C1055" s="3189">
        <v>32.61</v>
      </c>
      <c r="D1055" s="3187" t="s">
        <v>4007</v>
      </c>
      <c r="E1055">
        <f t="shared" si="22"/>
        <v>4981</v>
      </c>
      <c r="F1055" s="3206">
        <f t="shared" si="21"/>
        <v>162430.41</v>
      </c>
      <c r="G1055">
        <f t="shared" si="23"/>
        <v>16.381909547738694</v>
      </c>
    </row>
    <row r="1056" spans="1:7">
      <c r="A1056" s="3184">
        <v>1053</v>
      </c>
      <c r="B1056" s="3192">
        <v>-1381</v>
      </c>
      <c r="C1056" s="3189">
        <v>32.61</v>
      </c>
      <c r="D1056" s="3187" t="s">
        <v>4007</v>
      </c>
      <c r="E1056">
        <f t="shared" si="22"/>
        <v>4981</v>
      </c>
      <c r="F1056" s="3206">
        <f t="shared" si="21"/>
        <v>162430.41</v>
      </c>
      <c r="G1056">
        <f t="shared" si="23"/>
        <v>16.381909547738694</v>
      </c>
    </row>
    <row r="1057" spans="1:7">
      <c r="A1057" s="3184">
        <v>1054</v>
      </c>
      <c r="B1057" s="3192">
        <v>-1382</v>
      </c>
      <c r="C1057" s="3189">
        <v>32.61</v>
      </c>
      <c r="D1057" s="3187" t="s">
        <v>4007</v>
      </c>
      <c r="E1057">
        <f t="shared" si="22"/>
        <v>4981</v>
      </c>
      <c r="F1057" s="3206">
        <f t="shared" si="21"/>
        <v>162430.41</v>
      </c>
      <c r="G1057">
        <f t="shared" si="23"/>
        <v>16.381909547738694</v>
      </c>
    </row>
    <row r="1058" spans="1:7">
      <c r="A1058" s="3184">
        <v>1055</v>
      </c>
      <c r="B1058" s="3192">
        <v>-1383</v>
      </c>
      <c r="C1058" s="3189">
        <v>32.61</v>
      </c>
      <c r="D1058" s="3187" t="s">
        <v>4007</v>
      </c>
      <c r="E1058">
        <f t="shared" si="22"/>
        <v>4981</v>
      </c>
      <c r="F1058" s="3206">
        <f t="shared" si="21"/>
        <v>162430.41</v>
      </c>
      <c r="G1058">
        <f t="shared" si="23"/>
        <v>16.381909547738694</v>
      </c>
    </row>
    <row r="1059" spans="1:7">
      <c r="A1059" s="3184">
        <v>1056</v>
      </c>
      <c r="B1059" s="3192">
        <v>-1384</v>
      </c>
      <c r="C1059" s="3189">
        <v>32.61</v>
      </c>
      <c r="D1059" s="3187" t="s">
        <v>4007</v>
      </c>
      <c r="E1059">
        <f t="shared" si="22"/>
        <v>4981</v>
      </c>
      <c r="F1059" s="3206">
        <f t="shared" si="21"/>
        <v>162430.41</v>
      </c>
      <c r="G1059">
        <f t="shared" si="23"/>
        <v>16.381909547738694</v>
      </c>
    </row>
    <row r="1060" spans="1:7">
      <c r="A1060" s="3184">
        <v>1057</v>
      </c>
      <c r="B1060" s="3192">
        <v>-1385</v>
      </c>
      <c r="C1060" s="3189">
        <v>32.61</v>
      </c>
      <c r="D1060" s="3187" t="s">
        <v>4007</v>
      </c>
      <c r="E1060">
        <f t="shared" si="22"/>
        <v>4981</v>
      </c>
      <c r="F1060" s="3206">
        <f t="shared" si="21"/>
        <v>162430.41</v>
      </c>
      <c r="G1060">
        <f t="shared" si="23"/>
        <v>16.381909547738694</v>
      </c>
    </row>
    <row r="1061" spans="1:7">
      <c r="A1061" s="3184">
        <v>1058</v>
      </c>
      <c r="B1061" s="3192">
        <v>-1386</v>
      </c>
      <c r="C1061" s="3189">
        <v>32.61</v>
      </c>
      <c r="D1061" s="3187" t="s">
        <v>4007</v>
      </c>
      <c r="E1061">
        <f t="shared" si="22"/>
        <v>4981</v>
      </c>
      <c r="F1061" s="3206">
        <f t="shared" si="21"/>
        <v>162430.41</v>
      </c>
      <c r="G1061">
        <f t="shared" si="23"/>
        <v>16.381909547738694</v>
      </c>
    </row>
    <row r="1062" spans="1:7">
      <c r="A1062" s="3184">
        <v>1059</v>
      </c>
      <c r="B1062" s="3192">
        <v>-1387</v>
      </c>
      <c r="C1062" s="3189">
        <v>32.61</v>
      </c>
      <c r="D1062" s="3187" t="s">
        <v>4007</v>
      </c>
      <c r="E1062">
        <f t="shared" si="22"/>
        <v>4981</v>
      </c>
      <c r="F1062" s="3206">
        <f t="shared" si="21"/>
        <v>162430.41</v>
      </c>
      <c r="G1062">
        <f t="shared" si="23"/>
        <v>16.381909547738694</v>
      </c>
    </row>
    <row r="1063" spans="1:7">
      <c r="A1063" s="3184">
        <v>1060</v>
      </c>
      <c r="B1063" s="3192">
        <v>-1388</v>
      </c>
      <c r="C1063" s="3189">
        <v>32.61</v>
      </c>
      <c r="D1063" s="3187" t="s">
        <v>4007</v>
      </c>
      <c r="E1063">
        <f t="shared" si="22"/>
        <v>4981</v>
      </c>
      <c r="F1063" s="3206">
        <f t="shared" si="21"/>
        <v>162430.41</v>
      </c>
      <c r="G1063">
        <f t="shared" si="23"/>
        <v>16.381909547738694</v>
      </c>
    </row>
    <row r="1064" spans="1:7">
      <c r="A1064" s="3184">
        <v>1061</v>
      </c>
      <c r="B1064" s="3192">
        <v>-1389</v>
      </c>
      <c r="C1064" s="3189">
        <v>32.61</v>
      </c>
      <c r="D1064" s="3187" t="s">
        <v>4007</v>
      </c>
      <c r="E1064">
        <f t="shared" si="22"/>
        <v>4981</v>
      </c>
      <c r="F1064" s="3206">
        <f t="shared" ref="F1064:F1127" si="24">E1064*C1064</f>
        <v>162430.41</v>
      </c>
      <c r="G1064">
        <f t="shared" si="23"/>
        <v>16.381909547738694</v>
      </c>
    </row>
    <row r="1065" spans="1:7">
      <c r="A1065" s="3184">
        <v>1062</v>
      </c>
      <c r="B1065" s="3192">
        <v>-1390</v>
      </c>
      <c r="C1065" s="3189">
        <v>32.61</v>
      </c>
      <c r="D1065" s="3187" t="s">
        <v>4007</v>
      </c>
      <c r="E1065">
        <f t="shared" ref="E1065:E1128" si="25">E1064</f>
        <v>4981</v>
      </c>
      <c r="F1065" s="3206">
        <f t="shared" si="24"/>
        <v>162430.41</v>
      </c>
      <c r="G1065">
        <f t="shared" ref="G1065:G1128" si="26">G1064</f>
        <v>16.381909547738694</v>
      </c>
    </row>
    <row r="1066" spans="1:7">
      <c r="A1066" s="3184">
        <v>1063</v>
      </c>
      <c r="B1066" s="3192">
        <v>-1391</v>
      </c>
      <c r="C1066" s="3189">
        <v>32.61</v>
      </c>
      <c r="D1066" s="3187" t="s">
        <v>4007</v>
      </c>
      <c r="E1066">
        <f t="shared" si="25"/>
        <v>4981</v>
      </c>
      <c r="F1066" s="3206">
        <f t="shared" si="24"/>
        <v>162430.41</v>
      </c>
      <c r="G1066">
        <f t="shared" si="26"/>
        <v>16.381909547738694</v>
      </c>
    </row>
    <row r="1067" spans="1:7">
      <c r="A1067" s="3184">
        <v>1064</v>
      </c>
      <c r="B1067" s="3192">
        <v>-1392</v>
      </c>
      <c r="C1067" s="3189">
        <v>32.61</v>
      </c>
      <c r="D1067" s="3187" t="s">
        <v>4007</v>
      </c>
      <c r="E1067">
        <f t="shared" si="25"/>
        <v>4981</v>
      </c>
      <c r="F1067" s="3206">
        <f t="shared" si="24"/>
        <v>162430.41</v>
      </c>
      <c r="G1067">
        <f t="shared" si="26"/>
        <v>16.381909547738694</v>
      </c>
    </row>
    <row r="1068" spans="1:7">
      <c r="A1068" s="3184">
        <v>1065</v>
      </c>
      <c r="B1068" s="3192">
        <v>-1393</v>
      </c>
      <c r="C1068" s="3189">
        <v>32.61</v>
      </c>
      <c r="D1068" s="3187" t="s">
        <v>4007</v>
      </c>
      <c r="E1068">
        <f t="shared" si="25"/>
        <v>4981</v>
      </c>
      <c r="F1068" s="3206">
        <f t="shared" si="24"/>
        <v>162430.41</v>
      </c>
      <c r="G1068">
        <f t="shared" si="26"/>
        <v>16.381909547738694</v>
      </c>
    </row>
    <row r="1069" spans="1:7">
      <c r="A1069" s="3184">
        <v>1066</v>
      </c>
      <c r="B1069" s="3192">
        <v>-1394</v>
      </c>
      <c r="C1069" s="3189">
        <v>32.61</v>
      </c>
      <c r="D1069" s="3187" t="s">
        <v>4007</v>
      </c>
      <c r="E1069">
        <f t="shared" si="25"/>
        <v>4981</v>
      </c>
      <c r="F1069" s="3206">
        <f t="shared" si="24"/>
        <v>162430.41</v>
      </c>
      <c r="G1069">
        <f t="shared" si="26"/>
        <v>16.381909547738694</v>
      </c>
    </row>
    <row r="1070" spans="1:7">
      <c r="A1070" s="3184">
        <v>1067</v>
      </c>
      <c r="B1070" s="3192">
        <v>-1395</v>
      </c>
      <c r="C1070" s="3189">
        <v>32.61</v>
      </c>
      <c r="D1070" s="3187" t="s">
        <v>4007</v>
      </c>
      <c r="E1070">
        <f t="shared" si="25"/>
        <v>4981</v>
      </c>
      <c r="F1070" s="3206">
        <f t="shared" si="24"/>
        <v>162430.41</v>
      </c>
      <c r="G1070">
        <f t="shared" si="26"/>
        <v>16.381909547738694</v>
      </c>
    </row>
    <row r="1071" spans="1:7">
      <c r="A1071" s="3184">
        <v>1068</v>
      </c>
      <c r="B1071" s="3192">
        <v>-1396</v>
      </c>
      <c r="C1071" s="3189">
        <v>32.61</v>
      </c>
      <c r="D1071" s="3187" t="s">
        <v>4007</v>
      </c>
      <c r="E1071">
        <f t="shared" si="25"/>
        <v>4981</v>
      </c>
      <c r="F1071" s="3206">
        <f t="shared" si="24"/>
        <v>162430.41</v>
      </c>
      <c r="G1071">
        <f t="shared" si="26"/>
        <v>16.381909547738694</v>
      </c>
    </row>
    <row r="1072" spans="1:7">
      <c r="A1072" s="3184">
        <v>1069</v>
      </c>
      <c r="B1072" s="3192">
        <v>-1397</v>
      </c>
      <c r="C1072" s="3189">
        <v>32.61</v>
      </c>
      <c r="D1072" s="3187" t="s">
        <v>4007</v>
      </c>
      <c r="E1072">
        <f t="shared" si="25"/>
        <v>4981</v>
      </c>
      <c r="F1072" s="3206">
        <f t="shared" si="24"/>
        <v>162430.41</v>
      </c>
      <c r="G1072">
        <f t="shared" si="26"/>
        <v>16.381909547738694</v>
      </c>
    </row>
    <row r="1073" spans="1:7">
      <c r="A1073" s="3184">
        <v>1070</v>
      </c>
      <c r="B1073" s="3192">
        <v>-1398</v>
      </c>
      <c r="C1073" s="3189">
        <v>32.61</v>
      </c>
      <c r="D1073" s="3187" t="s">
        <v>4007</v>
      </c>
      <c r="E1073">
        <f t="shared" si="25"/>
        <v>4981</v>
      </c>
      <c r="F1073" s="3206">
        <f t="shared" si="24"/>
        <v>162430.41</v>
      </c>
      <c r="G1073">
        <f t="shared" si="26"/>
        <v>16.381909547738694</v>
      </c>
    </row>
    <row r="1074" spans="1:7">
      <c r="A1074" s="3184">
        <v>1071</v>
      </c>
      <c r="B1074" s="3192">
        <v>-1399</v>
      </c>
      <c r="C1074" s="3189">
        <v>32.61</v>
      </c>
      <c r="D1074" s="3187" t="s">
        <v>4007</v>
      </c>
      <c r="E1074">
        <f t="shared" si="25"/>
        <v>4981</v>
      </c>
      <c r="F1074" s="3206">
        <f t="shared" si="24"/>
        <v>162430.41</v>
      </c>
      <c r="G1074">
        <f t="shared" si="26"/>
        <v>16.381909547738694</v>
      </c>
    </row>
    <row r="1075" spans="1:7">
      <c r="A1075" s="3184">
        <v>1072</v>
      </c>
      <c r="B1075" s="3192">
        <v>-1400</v>
      </c>
      <c r="C1075" s="3189">
        <v>32.61</v>
      </c>
      <c r="D1075" s="3187" t="s">
        <v>4007</v>
      </c>
      <c r="E1075">
        <f t="shared" si="25"/>
        <v>4981</v>
      </c>
      <c r="F1075" s="3206">
        <f t="shared" si="24"/>
        <v>162430.41</v>
      </c>
      <c r="G1075">
        <f t="shared" si="26"/>
        <v>16.381909547738694</v>
      </c>
    </row>
    <row r="1076" spans="1:7">
      <c r="A1076" s="3184">
        <v>1073</v>
      </c>
      <c r="B1076" s="3192">
        <v>-1401</v>
      </c>
      <c r="C1076" s="3189">
        <v>32.61</v>
      </c>
      <c r="D1076" s="3187" t="s">
        <v>4007</v>
      </c>
      <c r="E1076">
        <f t="shared" si="25"/>
        <v>4981</v>
      </c>
      <c r="F1076" s="3206">
        <f t="shared" si="24"/>
        <v>162430.41</v>
      </c>
      <c r="G1076">
        <f t="shared" si="26"/>
        <v>16.381909547738694</v>
      </c>
    </row>
    <row r="1077" spans="1:7">
      <c r="A1077" s="3184">
        <v>1074</v>
      </c>
      <c r="B1077" s="3192">
        <v>-1402</v>
      </c>
      <c r="C1077" s="3189">
        <v>32.61</v>
      </c>
      <c r="D1077" s="3187" t="s">
        <v>4007</v>
      </c>
      <c r="E1077">
        <f t="shared" si="25"/>
        <v>4981</v>
      </c>
      <c r="F1077" s="3206">
        <f t="shared" si="24"/>
        <v>162430.41</v>
      </c>
      <c r="G1077">
        <f t="shared" si="26"/>
        <v>16.381909547738694</v>
      </c>
    </row>
    <row r="1078" spans="1:7">
      <c r="A1078" s="3184">
        <v>1075</v>
      </c>
      <c r="B1078" s="3192">
        <v>-1403</v>
      </c>
      <c r="C1078" s="3189">
        <v>32.61</v>
      </c>
      <c r="D1078" s="3187" t="s">
        <v>4007</v>
      </c>
      <c r="E1078">
        <f t="shared" si="25"/>
        <v>4981</v>
      </c>
      <c r="F1078" s="3206">
        <f t="shared" si="24"/>
        <v>162430.41</v>
      </c>
      <c r="G1078">
        <f t="shared" si="26"/>
        <v>16.381909547738694</v>
      </c>
    </row>
    <row r="1079" spans="1:7">
      <c r="A1079" s="3184">
        <v>1076</v>
      </c>
      <c r="B1079" s="3192">
        <v>-1404</v>
      </c>
      <c r="C1079" s="3189">
        <v>32.61</v>
      </c>
      <c r="D1079" s="3187" t="s">
        <v>4007</v>
      </c>
      <c r="E1079">
        <f t="shared" si="25"/>
        <v>4981</v>
      </c>
      <c r="F1079" s="3206">
        <f t="shared" si="24"/>
        <v>162430.41</v>
      </c>
      <c r="G1079">
        <f t="shared" si="26"/>
        <v>16.381909547738694</v>
      </c>
    </row>
    <row r="1080" spans="1:7">
      <c r="A1080" s="3184">
        <v>1077</v>
      </c>
      <c r="B1080" s="3192">
        <v>-1405</v>
      </c>
      <c r="C1080" s="3189">
        <v>32.61</v>
      </c>
      <c r="D1080" s="3187" t="s">
        <v>4007</v>
      </c>
      <c r="E1080">
        <f t="shared" si="25"/>
        <v>4981</v>
      </c>
      <c r="F1080" s="3206">
        <f t="shared" si="24"/>
        <v>162430.41</v>
      </c>
      <c r="G1080">
        <f t="shared" si="26"/>
        <v>16.381909547738694</v>
      </c>
    </row>
    <row r="1081" spans="1:7">
      <c r="A1081" s="3184">
        <v>1078</v>
      </c>
      <c r="B1081" s="3192">
        <v>-1406</v>
      </c>
      <c r="C1081" s="3189">
        <v>32.61</v>
      </c>
      <c r="D1081" s="3187" t="s">
        <v>4007</v>
      </c>
      <c r="E1081">
        <f t="shared" si="25"/>
        <v>4981</v>
      </c>
      <c r="F1081" s="3206">
        <f t="shared" si="24"/>
        <v>162430.41</v>
      </c>
      <c r="G1081">
        <f t="shared" si="26"/>
        <v>16.381909547738694</v>
      </c>
    </row>
    <row r="1082" spans="1:7">
      <c r="A1082" s="3184">
        <v>1079</v>
      </c>
      <c r="B1082" s="3192">
        <v>-1407</v>
      </c>
      <c r="C1082" s="3189">
        <v>32.61</v>
      </c>
      <c r="D1082" s="3187" t="s">
        <v>4007</v>
      </c>
      <c r="E1082">
        <f t="shared" si="25"/>
        <v>4981</v>
      </c>
      <c r="F1082" s="3206">
        <f t="shared" si="24"/>
        <v>162430.41</v>
      </c>
      <c r="G1082">
        <f t="shared" si="26"/>
        <v>16.381909547738694</v>
      </c>
    </row>
    <row r="1083" spans="1:7">
      <c r="A1083" s="3184">
        <v>1080</v>
      </c>
      <c r="B1083" s="3192">
        <v>-1408</v>
      </c>
      <c r="C1083" s="3189">
        <v>32.61</v>
      </c>
      <c r="D1083" s="3187" t="s">
        <v>4007</v>
      </c>
      <c r="E1083">
        <f t="shared" si="25"/>
        <v>4981</v>
      </c>
      <c r="F1083" s="3206">
        <f t="shared" si="24"/>
        <v>162430.41</v>
      </c>
      <c r="G1083">
        <f t="shared" si="26"/>
        <v>16.381909547738694</v>
      </c>
    </row>
    <row r="1084" spans="1:7">
      <c r="A1084" s="3184">
        <v>1081</v>
      </c>
      <c r="B1084" s="3192">
        <v>-1409</v>
      </c>
      <c r="C1084" s="3189">
        <v>32.61</v>
      </c>
      <c r="D1084" s="3187" t="s">
        <v>4007</v>
      </c>
      <c r="E1084">
        <f t="shared" si="25"/>
        <v>4981</v>
      </c>
      <c r="F1084" s="3206">
        <f t="shared" si="24"/>
        <v>162430.41</v>
      </c>
      <c r="G1084">
        <f t="shared" si="26"/>
        <v>16.381909547738694</v>
      </c>
    </row>
    <row r="1085" spans="1:7">
      <c r="A1085" s="3184">
        <v>1082</v>
      </c>
      <c r="B1085" s="3192">
        <v>-1410</v>
      </c>
      <c r="C1085" s="3189">
        <v>32.61</v>
      </c>
      <c r="D1085" s="3187" t="s">
        <v>4007</v>
      </c>
      <c r="E1085">
        <f t="shared" si="25"/>
        <v>4981</v>
      </c>
      <c r="F1085" s="3206">
        <f t="shared" si="24"/>
        <v>162430.41</v>
      </c>
      <c r="G1085">
        <f t="shared" si="26"/>
        <v>16.381909547738694</v>
      </c>
    </row>
    <row r="1086" spans="1:7">
      <c r="A1086" s="3184">
        <v>1083</v>
      </c>
      <c r="B1086" s="3192">
        <v>-1411</v>
      </c>
      <c r="C1086" s="3189">
        <v>32.61</v>
      </c>
      <c r="D1086" s="3187" t="s">
        <v>4007</v>
      </c>
      <c r="E1086">
        <f t="shared" si="25"/>
        <v>4981</v>
      </c>
      <c r="F1086" s="3206">
        <f t="shared" si="24"/>
        <v>162430.41</v>
      </c>
      <c r="G1086">
        <f t="shared" si="26"/>
        <v>16.381909547738694</v>
      </c>
    </row>
    <row r="1087" spans="1:7">
      <c r="A1087" s="3184">
        <v>1084</v>
      </c>
      <c r="B1087" s="3192">
        <v>-1412</v>
      </c>
      <c r="C1087" s="3189">
        <v>32.61</v>
      </c>
      <c r="D1087" s="3187" t="s">
        <v>4007</v>
      </c>
      <c r="E1087">
        <f t="shared" si="25"/>
        <v>4981</v>
      </c>
      <c r="F1087" s="3206">
        <f t="shared" si="24"/>
        <v>162430.41</v>
      </c>
      <c r="G1087">
        <f t="shared" si="26"/>
        <v>16.381909547738694</v>
      </c>
    </row>
    <row r="1088" spans="1:7">
      <c r="A1088" s="3184">
        <v>1085</v>
      </c>
      <c r="B1088" s="3192">
        <v>-1413</v>
      </c>
      <c r="C1088" s="3189">
        <v>32.61</v>
      </c>
      <c r="D1088" s="3187" t="s">
        <v>4007</v>
      </c>
      <c r="E1088">
        <f t="shared" si="25"/>
        <v>4981</v>
      </c>
      <c r="F1088" s="3206">
        <f t="shared" si="24"/>
        <v>162430.41</v>
      </c>
      <c r="G1088">
        <f t="shared" si="26"/>
        <v>16.381909547738694</v>
      </c>
    </row>
    <row r="1089" spans="1:7">
      <c r="A1089" s="3184">
        <v>1086</v>
      </c>
      <c r="B1089" s="3192">
        <v>-1414</v>
      </c>
      <c r="C1089" s="3189">
        <v>32.61</v>
      </c>
      <c r="D1089" s="3187" t="s">
        <v>4007</v>
      </c>
      <c r="E1089">
        <f t="shared" si="25"/>
        <v>4981</v>
      </c>
      <c r="F1089" s="3206">
        <f t="shared" si="24"/>
        <v>162430.41</v>
      </c>
      <c r="G1089">
        <f t="shared" si="26"/>
        <v>16.381909547738694</v>
      </c>
    </row>
    <row r="1090" spans="1:7">
      <c r="A1090" s="3184">
        <v>1087</v>
      </c>
      <c r="B1090" s="3192">
        <v>-1415</v>
      </c>
      <c r="C1090" s="3189">
        <v>32.61</v>
      </c>
      <c r="D1090" s="3187" t="s">
        <v>4007</v>
      </c>
      <c r="E1090">
        <f t="shared" si="25"/>
        <v>4981</v>
      </c>
      <c r="F1090" s="3206">
        <f t="shared" si="24"/>
        <v>162430.41</v>
      </c>
      <c r="G1090">
        <f t="shared" si="26"/>
        <v>16.381909547738694</v>
      </c>
    </row>
    <row r="1091" spans="1:7">
      <c r="A1091" s="3184">
        <v>1088</v>
      </c>
      <c r="B1091" s="3192">
        <v>-1416</v>
      </c>
      <c r="C1091" s="3189">
        <v>32.61</v>
      </c>
      <c r="D1091" s="3187" t="s">
        <v>4007</v>
      </c>
      <c r="E1091">
        <f t="shared" si="25"/>
        <v>4981</v>
      </c>
      <c r="F1091" s="3206">
        <f t="shared" si="24"/>
        <v>162430.41</v>
      </c>
      <c r="G1091">
        <f t="shared" si="26"/>
        <v>16.381909547738694</v>
      </c>
    </row>
    <row r="1092" spans="1:7">
      <c r="A1092" s="3184">
        <v>1089</v>
      </c>
      <c r="B1092" s="3192">
        <v>-1417</v>
      </c>
      <c r="C1092" s="3189">
        <v>32.61</v>
      </c>
      <c r="D1092" s="3187" t="s">
        <v>4007</v>
      </c>
      <c r="E1092">
        <f t="shared" si="25"/>
        <v>4981</v>
      </c>
      <c r="F1092" s="3206">
        <f t="shared" si="24"/>
        <v>162430.41</v>
      </c>
      <c r="G1092">
        <f t="shared" si="26"/>
        <v>16.381909547738694</v>
      </c>
    </row>
    <row r="1093" spans="1:7">
      <c r="A1093" s="3184">
        <v>1090</v>
      </c>
      <c r="B1093" s="3192">
        <v>-1418</v>
      </c>
      <c r="C1093" s="3189">
        <v>32.61</v>
      </c>
      <c r="D1093" s="3187" t="s">
        <v>4007</v>
      </c>
      <c r="E1093">
        <f t="shared" si="25"/>
        <v>4981</v>
      </c>
      <c r="F1093" s="3206">
        <f t="shared" si="24"/>
        <v>162430.41</v>
      </c>
      <c r="G1093">
        <f t="shared" si="26"/>
        <v>16.381909547738694</v>
      </c>
    </row>
    <row r="1094" spans="1:7">
      <c r="A1094" s="3184">
        <v>1091</v>
      </c>
      <c r="B1094" s="3192">
        <v>-1419</v>
      </c>
      <c r="C1094" s="3189">
        <v>32.61</v>
      </c>
      <c r="D1094" s="3187" t="s">
        <v>4007</v>
      </c>
      <c r="E1094">
        <f t="shared" si="25"/>
        <v>4981</v>
      </c>
      <c r="F1094" s="3206">
        <f t="shared" si="24"/>
        <v>162430.41</v>
      </c>
      <c r="G1094">
        <f t="shared" si="26"/>
        <v>16.381909547738694</v>
      </c>
    </row>
    <row r="1095" spans="1:7">
      <c r="A1095" s="3184">
        <v>1092</v>
      </c>
      <c r="B1095" s="3192">
        <v>-1420</v>
      </c>
      <c r="C1095" s="3189">
        <v>32.61</v>
      </c>
      <c r="D1095" s="3187" t="s">
        <v>4007</v>
      </c>
      <c r="E1095">
        <f t="shared" si="25"/>
        <v>4981</v>
      </c>
      <c r="F1095" s="3206">
        <f t="shared" si="24"/>
        <v>162430.41</v>
      </c>
      <c r="G1095">
        <f t="shared" si="26"/>
        <v>16.381909547738694</v>
      </c>
    </row>
    <row r="1096" spans="1:7">
      <c r="A1096" s="3184">
        <v>1093</v>
      </c>
      <c r="B1096" s="3192">
        <v>-1421</v>
      </c>
      <c r="C1096" s="3189">
        <v>32.61</v>
      </c>
      <c r="D1096" s="3187" t="s">
        <v>4007</v>
      </c>
      <c r="E1096">
        <f t="shared" si="25"/>
        <v>4981</v>
      </c>
      <c r="F1096" s="3206">
        <f t="shared" si="24"/>
        <v>162430.41</v>
      </c>
      <c r="G1096">
        <f t="shared" si="26"/>
        <v>16.381909547738694</v>
      </c>
    </row>
    <row r="1097" spans="1:7">
      <c r="A1097" s="3184">
        <v>1094</v>
      </c>
      <c r="B1097" s="3192">
        <v>-1422</v>
      </c>
      <c r="C1097" s="3189">
        <v>32.61</v>
      </c>
      <c r="D1097" s="3187" t="s">
        <v>4007</v>
      </c>
      <c r="E1097">
        <f t="shared" si="25"/>
        <v>4981</v>
      </c>
      <c r="F1097" s="3206">
        <f t="shared" si="24"/>
        <v>162430.41</v>
      </c>
      <c r="G1097">
        <f t="shared" si="26"/>
        <v>16.381909547738694</v>
      </c>
    </row>
    <row r="1098" spans="1:7">
      <c r="A1098" s="3184">
        <v>1095</v>
      </c>
      <c r="B1098" s="3192">
        <v>-1423</v>
      </c>
      <c r="C1098" s="3189">
        <v>32.61</v>
      </c>
      <c r="D1098" s="3187" t="s">
        <v>4007</v>
      </c>
      <c r="E1098">
        <f t="shared" si="25"/>
        <v>4981</v>
      </c>
      <c r="F1098" s="3206">
        <f t="shared" si="24"/>
        <v>162430.41</v>
      </c>
      <c r="G1098">
        <f t="shared" si="26"/>
        <v>16.381909547738694</v>
      </c>
    </row>
    <row r="1099" spans="1:7">
      <c r="A1099" s="3184">
        <v>1096</v>
      </c>
      <c r="B1099" s="3192">
        <v>-1424</v>
      </c>
      <c r="C1099" s="3189">
        <v>32.61</v>
      </c>
      <c r="D1099" s="3187" t="s">
        <v>4007</v>
      </c>
      <c r="E1099">
        <f t="shared" si="25"/>
        <v>4981</v>
      </c>
      <c r="F1099" s="3206">
        <f t="shared" si="24"/>
        <v>162430.41</v>
      </c>
      <c r="G1099">
        <f t="shared" si="26"/>
        <v>16.381909547738694</v>
      </c>
    </row>
    <row r="1100" spans="1:7">
      <c r="A1100" s="3184">
        <v>1097</v>
      </c>
      <c r="B1100" s="3192">
        <v>-1425</v>
      </c>
      <c r="C1100" s="3189">
        <v>32.61</v>
      </c>
      <c r="D1100" s="3187" t="s">
        <v>4007</v>
      </c>
      <c r="E1100">
        <f t="shared" si="25"/>
        <v>4981</v>
      </c>
      <c r="F1100" s="3206">
        <f t="shared" si="24"/>
        <v>162430.41</v>
      </c>
      <c r="G1100">
        <f t="shared" si="26"/>
        <v>16.381909547738694</v>
      </c>
    </row>
    <row r="1101" spans="1:7">
      <c r="A1101" s="3184">
        <v>1098</v>
      </c>
      <c r="B1101" s="3192">
        <v>-1426</v>
      </c>
      <c r="C1101" s="3189">
        <v>32.61</v>
      </c>
      <c r="D1101" s="3187" t="s">
        <v>4007</v>
      </c>
      <c r="E1101">
        <f t="shared" si="25"/>
        <v>4981</v>
      </c>
      <c r="F1101" s="3206">
        <f t="shared" si="24"/>
        <v>162430.41</v>
      </c>
      <c r="G1101">
        <f t="shared" si="26"/>
        <v>16.381909547738694</v>
      </c>
    </row>
    <row r="1102" spans="1:7">
      <c r="A1102" s="3184">
        <v>1099</v>
      </c>
      <c r="B1102" s="3192">
        <v>-1427</v>
      </c>
      <c r="C1102" s="3189">
        <v>32.61</v>
      </c>
      <c r="D1102" s="3187" t="s">
        <v>4007</v>
      </c>
      <c r="E1102">
        <f t="shared" si="25"/>
        <v>4981</v>
      </c>
      <c r="F1102" s="3206">
        <f t="shared" si="24"/>
        <v>162430.41</v>
      </c>
      <c r="G1102">
        <f t="shared" si="26"/>
        <v>16.381909547738694</v>
      </c>
    </row>
    <row r="1103" spans="1:7">
      <c r="A1103" s="3184">
        <v>1100</v>
      </c>
      <c r="B1103" s="3192">
        <v>-1428</v>
      </c>
      <c r="C1103" s="3189">
        <v>32.61</v>
      </c>
      <c r="D1103" s="3187" t="s">
        <v>4007</v>
      </c>
      <c r="E1103">
        <f t="shared" si="25"/>
        <v>4981</v>
      </c>
      <c r="F1103" s="3206">
        <f t="shared" si="24"/>
        <v>162430.41</v>
      </c>
      <c r="G1103">
        <f t="shared" si="26"/>
        <v>16.381909547738694</v>
      </c>
    </row>
    <row r="1104" spans="1:7">
      <c r="A1104" s="3184">
        <v>1101</v>
      </c>
      <c r="B1104" s="3192">
        <v>-1429</v>
      </c>
      <c r="C1104" s="3189">
        <v>32.61</v>
      </c>
      <c r="D1104" s="3187" t="s">
        <v>4007</v>
      </c>
      <c r="E1104">
        <f t="shared" si="25"/>
        <v>4981</v>
      </c>
      <c r="F1104" s="3206">
        <f t="shared" si="24"/>
        <v>162430.41</v>
      </c>
      <c r="G1104">
        <f t="shared" si="26"/>
        <v>16.381909547738694</v>
      </c>
    </row>
    <row r="1105" spans="1:7">
      <c r="A1105" s="3184">
        <v>1102</v>
      </c>
      <c r="B1105" s="3192">
        <v>-1430</v>
      </c>
      <c r="C1105" s="3189">
        <v>32.61</v>
      </c>
      <c r="D1105" s="3187" t="s">
        <v>4007</v>
      </c>
      <c r="E1105">
        <f t="shared" si="25"/>
        <v>4981</v>
      </c>
      <c r="F1105" s="3206">
        <f t="shared" si="24"/>
        <v>162430.41</v>
      </c>
      <c r="G1105">
        <f t="shared" si="26"/>
        <v>16.381909547738694</v>
      </c>
    </row>
    <row r="1106" spans="1:7">
      <c r="A1106" s="3184">
        <v>1103</v>
      </c>
      <c r="B1106" s="3192">
        <v>-1431</v>
      </c>
      <c r="C1106" s="3189">
        <v>32.61</v>
      </c>
      <c r="D1106" s="3187" t="s">
        <v>4007</v>
      </c>
      <c r="E1106">
        <f t="shared" si="25"/>
        <v>4981</v>
      </c>
      <c r="F1106" s="3206">
        <f t="shared" si="24"/>
        <v>162430.41</v>
      </c>
      <c r="G1106">
        <f t="shared" si="26"/>
        <v>16.381909547738694</v>
      </c>
    </row>
    <row r="1107" spans="1:7">
      <c r="A1107" s="3184">
        <v>1104</v>
      </c>
      <c r="B1107" s="3192">
        <v>-1432</v>
      </c>
      <c r="C1107" s="3189">
        <v>32.61</v>
      </c>
      <c r="D1107" s="3187" t="s">
        <v>4007</v>
      </c>
      <c r="E1107">
        <f t="shared" si="25"/>
        <v>4981</v>
      </c>
      <c r="F1107" s="3206">
        <f t="shared" si="24"/>
        <v>162430.41</v>
      </c>
      <c r="G1107">
        <f t="shared" si="26"/>
        <v>16.381909547738694</v>
      </c>
    </row>
    <row r="1108" spans="1:7">
      <c r="A1108" s="3184">
        <v>1105</v>
      </c>
      <c r="B1108" s="3192">
        <v>-1433</v>
      </c>
      <c r="C1108" s="3189">
        <v>32.61</v>
      </c>
      <c r="D1108" s="3187" t="s">
        <v>4007</v>
      </c>
      <c r="E1108">
        <f t="shared" si="25"/>
        <v>4981</v>
      </c>
      <c r="F1108" s="3206">
        <f t="shared" si="24"/>
        <v>162430.41</v>
      </c>
      <c r="G1108">
        <f t="shared" si="26"/>
        <v>16.381909547738694</v>
      </c>
    </row>
    <row r="1109" spans="1:7">
      <c r="A1109" s="3184">
        <v>1106</v>
      </c>
      <c r="B1109" s="3192">
        <v>-1434</v>
      </c>
      <c r="C1109" s="3189">
        <v>32.61</v>
      </c>
      <c r="D1109" s="3187" t="s">
        <v>4007</v>
      </c>
      <c r="E1109">
        <f t="shared" si="25"/>
        <v>4981</v>
      </c>
      <c r="F1109" s="3206">
        <f t="shared" si="24"/>
        <v>162430.41</v>
      </c>
      <c r="G1109">
        <f t="shared" si="26"/>
        <v>16.381909547738694</v>
      </c>
    </row>
    <row r="1110" spans="1:7">
      <c r="A1110" s="3184">
        <v>1107</v>
      </c>
      <c r="B1110" s="3192">
        <v>-1435</v>
      </c>
      <c r="C1110" s="3189">
        <v>32.61</v>
      </c>
      <c r="D1110" s="3187" t="s">
        <v>4007</v>
      </c>
      <c r="E1110">
        <f t="shared" si="25"/>
        <v>4981</v>
      </c>
      <c r="F1110" s="3206">
        <f t="shared" si="24"/>
        <v>162430.41</v>
      </c>
      <c r="G1110">
        <f t="shared" si="26"/>
        <v>16.381909547738694</v>
      </c>
    </row>
    <row r="1111" spans="1:7">
      <c r="A1111" s="3184">
        <v>1108</v>
      </c>
      <c r="B1111" s="3192">
        <v>-1436</v>
      </c>
      <c r="C1111" s="3189">
        <v>32.61</v>
      </c>
      <c r="D1111" s="3187" t="s">
        <v>4007</v>
      </c>
      <c r="E1111">
        <f t="shared" si="25"/>
        <v>4981</v>
      </c>
      <c r="F1111" s="3206">
        <f t="shared" si="24"/>
        <v>162430.41</v>
      </c>
      <c r="G1111">
        <f t="shared" si="26"/>
        <v>16.381909547738694</v>
      </c>
    </row>
    <row r="1112" spans="1:7">
      <c r="A1112" s="3184">
        <v>1109</v>
      </c>
      <c r="B1112" s="3192">
        <v>-1437</v>
      </c>
      <c r="C1112" s="3189">
        <v>32.61</v>
      </c>
      <c r="D1112" s="3187" t="s">
        <v>4007</v>
      </c>
      <c r="E1112">
        <f t="shared" si="25"/>
        <v>4981</v>
      </c>
      <c r="F1112" s="3206">
        <f t="shared" si="24"/>
        <v>162430.41</v>
      </c>
      <c r="G1112">
        <f t="shared" si="26"/>
        <v>16.381909547738694</v>
      </c>
    </row>
    <row r="1113" spans="1:7">
      <c r="A1113" s="3184">
        <v>1110</v>
      </c>
      <c r="B1113" s="3192">
        <v>-1438</v>
      </c>
      <c r="C1113" s="3189">
        <v>32.61</v>
      </c>
      <c r="D1113" s="3187" t="s">
        <v>4007</v>
      </c>
      <c r="E1113">
        <f t="shared" si="25"/>
        <v>4981</v>
      </c>
      <c r="F1113" s="3206">
        <f t="shared" si="24"/>
        <v>162430.41</v>
      </c>
      <c r="G1113">
        <f t="shared" si="26"/>
        <v>16.381909547738694</v>
      </c>
    </row>
    <row r="1114" spans="1:7">
      <c r="A1114" s="3184">
        <v>1111</v>
      </c>
      <c r="B1114" s="3192">
        <v>-1439</v>
      </c>
      <c r="C1114" s="3189">
        <v>32.61</v>
      </c>
      <c r="D1114" s="3187" t="s">
        <v>4007</v>
      </c>
      <c r="E1114">
        <f t="shared" si="25"/>
        <v>4981</v>
      </c>
      <c r="F1114" s="3206">
        <f t="shared" si="24"/>
        <v>162430.41</v>
      </c>
      <c r="G1114">
        <f t="shared" si="26"/>
        <v>16.381909547738694</v>
      </c>
    </row>
    <row r="1115" spans="1:7">
      <c r="A1115" s="3184">
        <v>1112</v>
      </c>
      <c r="B1115" s="3192">
        <v>-1440</v>
      </c>
      <c r="C1115" s="3189">
        <v>32.61</v>
      </c>
      <c r="D1115" s="3187" t="s">
        <v>4007</v>
      </c>
      <c r="E1115">
        <f t="shared" si="25"/>
        <v>4981</v>
      </c>
      <c r="F1115" s="3206">
        <f t="shared" si="24"/>
        <v>162430.41</v>
      </c>
      <c r="G1115">
        <f t="shared" si="26"/>
        <v>16.381909547738694</v>
      </c>
    </row>
    <row r="1116" spans="1:7">
      <c r="A1116" s="3184">
        <v>1113</v>
      </c>
      <c r="B1116" s="3192">
        <v>-1441</v>
      </c>
      <c r="C1116" s="3189">
        <v>32.61</v>
      </c>
      <c r="D1116" s="3187" t="s">
        <v>4007</v>
      </c>
      <c r="E1116">
        <f t="shared" si="25"/>
        <v>4981</v>
      </c>
      <c r="F1116" s="3206">
        <f t="shared" si="24"/>
        <v>162430.41</v>
      </c>
      <c r="G1116">
        <f t="shared" si="26"/>
        <v>16.381909547738694</v>
      </c>
    </row>
    <row r="1117" spans="1:7">
      <c r="A1117" s="3184">
        <v>1114</v>
      </c>
      <c r="B1117" s="3192">
        <v>-1442</v>
      </c>
      <c r="C1117" s="3189">
        <v>32.61</v>
      </c>
      <c r="D1117" s="3187" t="s">
        <v>4007</v>
      </c>
      <c r="E1117">
        <f t="shared" si="25"/>
        <v>4981</v>
      </c>
      <c r="F1117" s="3206">
        <f t="shared" si="24"/>
        <v>162430.41</v>
      </c>
      <c r="G1117">
        <f t="shared" si="26"/>
        <v>16.381909547738694</v>
      </c>
    </row>
    <row r="1118" spans="1:7">
      <c r="A1118" s="3184">
        <v>1115</v>
      </c>
      <c r="B1118" s="3192">
        <v>-1443</v>
      </c>
      <c r="C1118" s="3189">
        <v>32.61</v>
      </c>
      <c r="D1118" s="3187" t="s">
        <v>4007</v>
      </c>
      <c r="E1118">
        <f t="shared" si="25"/>
        <v>4981</v>
      </c>
      <c r="F1118" s="3206">
        <f t="shared" si="24"/>
        <v>162430.41</v>
      </c>
      <c r="G1118">
        <f t="shared" si="26"/>
        <v>16.381909547738694</v>
      </c>
    </row>
    <row r="1119" spans="1:7">
      <c r="A1119" s="3184">
        <v>1116</v>
      </c>
      <c r="B1119" s="3192">
        <v>-1444</v>
      </c>
      <c r="C1119" s="3189">
        <v>32.61</v>
      </c>
      <c r="D1119" s="3187" t="s">
        <v>4007</v>
      </c>
      <c r="E1119">
        <f t="shared" si="25"/>
        <v>4981</v>
      </c>
      <c r="F1119" s="3206">
        <f t="shared" si="24"/>
        <v>162430.41</v>
      </c>
      <c r="G1119">
        <f t="shared" si="26"/>
        <v>16.381909547738694</v>
      </c>
    </row>
    <row r="1120" spans="1:7">
      <c r="A1120" s="3184">
        <v>1117</v>
      </c>
      <c r="B1120" s="3192">
        <v>-1445</v>
      </c>
      <c r="C1120" s="3189">
        <v>32.61</v>
      </c>
      <c r="D1120" s="3187" t="s">
        <v>4007</v>
      </c>
      <c r="E1120">
        <f t="shared" si="25"/>
        <v>4981</v>
      </c>
      <c r="F1120" s="3206">
        <f t="shared" si="24"/>
        <v>162430.41</v>
      </c>
      <c r="G1120">
        <f t="shared" si="26"/>
        <v>16.381909547738694</v>
      </c>
    </row>
    <row r="1121" spans="1:7">
      <c r="A1121" s="3184">
        <v>1118</v>
      </c>
      <c r="B1121" s="3192">
        <v>-1446</v>
      </c>
      <c r="C1121" s="3189">
        <v>32.61</v>
      </c>
      <c r="D1121" s="3187" t="s">
        <v>4007</v>
      </c>
      <c r="E1121">
        <f t="shared" si="25"/>
        <v>4981</v>
      </c>
      <c r="F1121" s="3206">
        <f t="shared" si="24"/>
        <v>162430.41</v>
      </c>
      <c r="G1121">
        <f t="shared" si="26"/>
        <v>16.381909547738694</v>
      </c>
    </row>
    <row r="1122" spans="1:7">
      <c r="A1122" s="3184">
        <v>1119</v>
      </c>
      <c r="B1122" s="3192">
        <v>-1447</v>
      </c>
      <c r="C1122" s="3189">
        <v>32.61</v>
      </c>
      <c r="D1122" s="3187" t="s">
        <v>4007</v>
      </c>
      <c r="E1122">
        <f t="shared" si="25"/>
        <v>4981</v>
      </c>
      <c r="F1122" s="3206">
        <f t="shared" si="24"/>
        <v>162430.41</v>
      </c>
      <c r="G1122">
        <f t="shared" si="26"/>
        <v>16.381909547738694</v>
      </c>
    </row>
    <row r="1123" spans="1:7">
      <c r="A1123" s="3184">
        <v>1120</v>
      </c>
      <c r="B1123" s="3192">
        <v>-1448</v>
      </c>
      <c r="C1123" s="3189">
        <v>32.61</v>
      </c>
      <c r="D1123" s="3187" t="s">
        <v>4007</v>
      </c>
      <c r="E1123">
        <f t="shared" si="25"/>
        <v>4981</v>
      </c>
      <c r="F1123" s="3206">
        <f t="shared" si="24"/>
        <v>162430.41</v>
      </c>
      <c r="G1123">
        <f t="shared" si="26"/>
        <v>16.381909547738694</v>
      </c>
    </row>
    <row r="1124" spans="1:7">
      <c r="A1124" s="3184">
        <v>1121</v>
      </c>
      <c r="B1124" s="3192">
        <v>-1449</v>
      </c>
      <c r="C1124" s="3189">
        <v>32.61</v>
      </c>
      <c r="D1124" s="3187" t="s">
        <v>4007</v>
      </c>
      <c r="E1124">
        <f t="shared" si="25"/>
        <v>4981</v>
      </c>
      <c r="F1124" s="3206">
        <f t="shared" si="24"/>
        <v>162430.41</v>
      </c>
      <c r="G1124">
        <f t="shared" si="26"/>
        <v>16.381909547738694</v>
      </c>
    </row>
    <row r="1125" spans="1:7">
      <c r="A1125" s="3184">
        <v>1122</v>
      </c>
      <c r="B1125" s="3192">
        <v>-1450</v>
      </c>
      <c r="C1125" s="3189">
        <v>32.61</v>
      </c>
      <c r="D1125" s="3187" t="s">
        <v>4007</v>
      </c>
      <c r="E1125">
        <f t="shared" si="25"/>
        <v>4981</v>
      </c>
      <c r="F1125" s="3206">
        <f t="shared" si="24"/>
        <v>162430.41</v>
      </c>
      <c r="G1125">
        <f t="shared" si="26"/>
        <v>16.381909547738694</v>
      </c>
    </row>
    <row r="1126" spans="1:7">
      <c r="A1126" s="3184">
        <v>1123</v>
      </c>
      <c r="B1126" s="3192">
        <v>-1451</v>
      </c>
      <c r="C1126" s="3189">
        <v>32.61</v>
      </c>
      <c r="D1126" s="3187" t="s">
        <v>4007</v>
      </c>
      <c r="E1126">
        <f t="shared" si="25"/>
        <v>4981</v>
      </c>
      <c r="F1126" s="3206">
        <f t="shared" si="24"/>
        <v>162430.41</v>
      </c>
      <c r="G1126">
        <f t="shared" si="26"/>
        <v>16.381909547738694</v>
      </c>
    </row>
    <row r="1127" spans="1:7">
      <c r="A1127" s="3184">
        <v>1124</v>
      </c>
      <c r="B1127" s="3192">
        <v>-1452</v>
      </c>
      <c r="C1127" s="3189">
        <v>32.61</v>
      </c>
      <c r="D1127" s="3187" t="s">
        <v>4007</v>
      </c>
      <c r="E1127">
        <f t="shared" si="25"/>
        <v>4981</v>
      </c>
      <c r="F1127" s="3206">
        <f t="shared" si="24"/>
        <v>162430.41</v>
      </c>
      <c r="G1127">
        <f t="shared" si="26"/>
        <v>16.381909547738694</v>
      </c>
    </row>
    <row r="1128" spans="1:7">
      <c r="A1128" s="3184">
        <v>1125</v>
      </c>
      <c r="B1128" s="3192">
        <v>-1453</v>
      </c>
      <c r="C1128" s="3189">
        <v>32.61</v>
      </c>
      <c r="D1128" s="3187" t="s">
        <v>4007</v>
      </c>
      <c r="E1128">
        <f t="shared" si="25"/>
        <v>4981</v>
      </c>
      <c r="F1128" s="3206">
        <f t="shared" ref="F1128:F1191" si="27">E1128*C1128</f>
        <v>162430.41</v>
      </c>
      <c r="G1128">
        <f t="shared" si="26"/>
        <v>16.381909547738694</v>
      </c>
    </row>
    <row r="1129" spans="1:7">
      <c r="A1129" s="3184">
        <v>1126</v>
      </c>
      <c r="B1129" s="3192">
        <v>-1454</v>
      </c>
      <c r="C1129" s="3189">
        <v>32.61</v>
      </c>
      <c r="D1129" s="3187" t="s">
        <v>4007</v>
      </c>
      <c r="E1129">
        <f t="shared" ref="E1129:E1192" si="28">E1128</f>
        <v>4981</v>
      </c>
      <c r="F1129" s="3206">
        <f t="shared" si="27"/>
        <v>162430.41</v>
      </c>
      <c r="G1129">
        <f t="shared" ref="G1129:G1192" si="29">G1128</f>
        <v>16.381909547738694</v>
      </c>
    </row>
    <row r="1130" spans="1:7">
      <c r="A1130" s="3184">
        <v>1127</v>
      </c>
      <c r="B1130" s="3192">
        <v>-1455</v>
      </c>
      <c r="C1130" s="3189">
        <v>32.61</v>
      </c>
      <c r="D1130" s="3187" t="s">
        <v>4007</v>
      </c>
      <c r="E1130">
        <f t="shared" si="28"/>
        <v>4981</v>
      </c>
      <c r="F1130" s="3206">
        <f t="shared" si="27"/>
        <v>162430.41</v>
      </c>
      <c r="G1130">
        <f t="shared" si="29"/>
        <v>16.381909547738694</v>
      </c>
    </row>
    <row r="1131" spans="1:7">
      <c r="A1131" s="3184">
        <v>1128</v>
      </c>
      <c r="B1131" s="3192">
        <v>-1456</v>
      </c>
      <c r="C1131" s="3189">
        <v>32.61</v>
      </c>
      <c r="D1131" s="3187" t="s">
        <v>4007</v>
      </c>
      <c r="E1131">
        <f t="shared" si="28"/>
        <v>4981</v>
      </c>
      <c r="F1131" s="3206">
        <f t="shared" si="27"/>
        <v>162430.41</v>
      </c>
      <c r="G1131">
        <f t="shared" si="29"/>
        <v>16.381909547738694</v>
      </c>
    </row>
    <row r="1132" spans="1:7">
      <c r="A1132" s="3184">
        <v>1129</v>
      </c>
      <c r="B1132" s="3192">
        <v>-1457</v>
      </c>
      <c r="C1132" s="3189">
        <v>32.61</v>
      </c>
      <c r="D1132" s="3187" t="s">
        <v>4007</v>
      </c>
      <c r="E1132">
        <f t="shared" si="28"/>
        <v>4981</v>
      </c>
      <c r="F1132" s="3206">
        <f t="shared" si="27"/>
        <v>162430.41</v>
      </c>
      <c r="G1132">
        <f t="shared" si="29"/>
        <v>16.381909547738694</v>
      </c>
    </row>
    <row r="1133" spans="1:7">
      <c r="A1133" s="3184">
        <v>1130</v>
      </c>
      <c r="B1133" s="3192">
        <v>-1458</v>
      </c>
      <c r="C1133" s="3189">
        <v>32.61</v>
      </c>
      <c r="D1133" s="3187" t="s">
        <v>4007</v>
      </c>
      <c r="E1133">
        <f t="shared" si="28"/>
        <v>4981</v>
      </c>
      <c r="F1133" s="3206">
        <f t="shared" si="27"/>
        <v>162430.41</v>
      </c>
      <c r="G1133">
        <f t="shared" si="29"/>
        <v>16.381909547738694</v>
      </c>
    </row>
    <row r="1134" spans="1:7">
      <c r="A1134" s="3184">
        <v>1131</v>
      </c>
      <c r="B1134" s="3192">
        <v>-1459</v>
      </c>
      <c r="C1134" s="3189">
        <v>32.61</v>
      </c>
      <c r="D1134" s="3187" t="s">
        <v>4007</v>
      </c>
      <c r="E1134">
        <f t="shared" si="28"/>
        <v>4981</v>
      </c>
      <c r="F1134" s="3206">
        <f t="shared" si="27"/>
        <v>162430.41</v>
      </c>
      <c r="G1134">
        <f t="shared" si="29"/>
        <v>16.381909547738694</v>
      </c>
    </row>
    <row r="1135" spans="1:7">
      <c r="A1135" s="3184">
        <v>1132</v>
      </c>
      <c r="B1135" s="3192">
        <v>-1460</v>
      </c>
      <c r="C1135" s="3189">
        <v>32.61</v>
      </c>
      <c r="D1135" s="3187" t="s">
        <v>4007</v>
      </c>
      <c r="E1135">
        <f t="shared" si="28"/>
        <v>4981</v>
      </c>
      <c r="F1135" s="3206">
        <f t="shared" si="27"/>
        <v>162430.41</v>
      </c>
      <c r="G1135">
        <f t="shared" si="29"/>
        <v>16.381909547738694</v>
      </c>
    </row>
    <row r="1136" spans="1:7">
      <c r="A1136" s="3184">
        <v>1133</v>
      </c>
      <c r="B1136" s="3192">
        <v>-1461</v>
      </c>
      <c r="C1136" s="3189">
        <v>32.61</v>
      </c>
      <c r="D1136" s="3187" t="s">
        <v>4007</v>
      </c>
      <c r="E1136">
        <f t="shared" si="28"/>
        <v>4981</v>
      </c>
      <c r="F1136" s="3206">
        <f t="shared" si="27"/>
        <v>162430.41</v>
      </c>
      <c r="G1136">
        <f t="shared" si="29"/>
        <v>16.381909547738694</v>
      </c>
    </row>
    <row r="1137" spans="1:7">
      <c r="A1137" s="3184">
        <v>1134</v>
      </c>
      <c r="B1137" s="3192">
        <v>-1462</v>
      </c>
      <c r="C1137" s="3189">
        <v>32.61</v>
      </c>
      <c r="D1137" s="3187" t="s">
        <v>4007</v>
      </c>
      <c r="E1137">
        <f t="shared" si="28"/>
        <v>4981</v>
      </c>
      <c r="F1137" s="3206">
        <f t="shared" si="27"/>
        <v>162430.41</v>
      </c>
      <c r="G1137">
        <f t="shared" si="29"/>
        <v>16.381909547738694</v>
      </c>
    </row>
    <row r="1138" spans="1:7">
      <c r="A1138" s="3184">
        <v>1135</v>
      </c>
      <c r="B1138" s="3192">
        <v>-1463</v>
      </c>
      <c r="C1138" s="3189">
        <v>32.61</v>
      </c>
      <c r="D1138" s="3187" t="s">
        <v>4007</v>
      </c>
      <c r="E1138">
        <f t="shared" si="28"/>
        <v>4981</v>
      </c>
      <c r="F1138" s="3206">
        <f t="shared" si="27"/>
        <v>162430.41</v>
      </c>
      <c r="G1138">
        <f t="shared" si="29"/>
        <v>16.381909547738694</v>
      </c>
    </row>
    <row r="1139" spans="1:7">
      <c r="A1139" s="3184">
        <v>1136</v>
      </c>
      <c r="B1139" s="3192">
        <v>-1464</v>
      </c>
      <c r="C1139" s="3189">
        <v>32.61</v>
      </c>
      <c r="D1139" s="3187" t="s">
        <v>4007</v>
      </c>
      <c r="E1139">
        <f t="shared" si="28"/>
        <v>4981</v>
      </c>
      <c r="F1139" s="3206">
        <f t="shared" si="27"/>
        <v>162430.41</v>
      </c>
      <c r="G1139">
        <f t="shared" si="29"/>
        <v>16.381909547738694</v>
      </c>
    </row>
    <row r="1140" spans="1:7">
      <c r="A1140" s="3184">
        <v>1137</v>
      </c>
      <c r="B1140" s="3192">
        <v>-1465</v>
      </c>
      <c r="C1140" s="3189">
        <v>32.61</v>
      </c>
      <c r="D1140" s="3187" t="s">
        <v>4007</v>
      </c>
      <c r="E1140">
        <f t="shared" si="28"/>
        <v>4981</v>
      </c>
      <c r="F1140" s="3206">
        <f t="shared" si="27"/>
        <v>162430.41</v>
      </c>
      <c r="G1140">
        <f t="shared" si="29"/>
        <v>16.381909547738694</v>
      </c>
    </row>
    <row r="1141" spans="1:7">
      <c r="A1141" s="3184">
        <v>1138</v>
      </c>
      <c r="B1141" s="3192">
        <v>-1466</v>
      </c>
      <c r="C1141" s="3189">
        <v>32.61</v>
      </c>
      <c r="D1141" s="3187" t="s">
        <v>4007</v>
      </c>
      <c r="E1141">
        <f t="shared" si="28"/>
        <v>4981</v>
      </c>
      <c r="F1141" s="3206">
        <f t="shared" si="27"/>
        <v>162430.41</v>
      </c>
      <c r="G1141">
        <f t="shared" si="29"/>
        <v>16.381909547738694</v>
      </c>
    </row>
    <row r="1142" spans="1:7">
      <c r="A1142" s="3184">
        <v>1139</v>
      </c>
      <c r="B1142" s="3192">
        <v>-1467</v>
      </c>
      <c r="C1142" s="3189">
        <v>32.61</v>
      </c>
      <c r="D1142" s="3187" t="s">
        <v>4007</v>
      </c>
      <c r="E1142">
        <f t="shared" si="28"/>
        <v>4981</v>
      </c>
      <c r="F1142" s="3206">
        <f t="shared" si="27"/>
        <v>162430.41</v>
      </c>
      <c r="G1142">
        <f t="shared" si="29"/>
        <v>16.381909547738694</v>
      </c>
    </row>
    <row r="1143" spans="1:7">
      <c r="A1143" s="3184">
        <v>1140</v>
      </c>
      <c r="B1143" s="3192">
        <v>-1468</v>
      </c>
      <c r="C1143" s="3189">
        <v>32.61</v>
      </c>
      <c r="D1143" s="3187" t="s">
        <v>4007</v>
      </c>
      <c r="E1143">
        <f t="shared" si="28"/>
        <v>4981</v>
      </c>
      <c r="F1143" s="3206">
        <f t="shared" si="27"/>
        <v>162430.41</v>
      </c>
      <c r="G1143">
        <f t="shared" si="29"/>
        <v>16.381909547738694</v>
      </c>
    </row>
    <row r="1144" spans="1:7">
      <c r="A1144" s="3184">
        <v>1141</v>
      </c>
      <c r="B1144" s="3192">
        <v>-1469</v>
      </c>
      <c r="C1144" s="3189">
        <v>32.61</v>
      </c>
      <c r="D1144" s="3187" t="s">
        <v>4007</v>
      </c>
      <c r="E1144">
        <f t="shared" si="28"/>
        <v>4981</v>
      </c>
      <c r="F1144" s="3206">
        <f t="shared" si="27"/>
        <v>162430.41</v>
      </c>
      <c r="G1144">
        <f t="shared" si="29"/>
        <v>16.381909547738694</v>
      </c>
    </row>
    <row r="1145" spans="1:7">
      <c r="A1145" s="3184">
        <v>1142</v>
      </c>
      <c r="B1145" s="3192">
        <v>-1470</v>
      </c>
      <c r="C1145" s="3189">
        <v>32.61</v>
      </c>
      <c r="D1145" s="3187" t="s">
        <v>4007</v>
      </c>
      <c r="E1145">
        <f t="shared" si="28"/>
        <v>4981</v>
      </c>
      <c r="F1145" s="3206">
        <f t="shared" si="27"/>
        <v>162430.41</v>
      </c>
      <c r="G1145">
        <f t="shared" si="29"/>
        <v>16.381909547738694</v>
      </c>
    </row>
    <row r="1146" spans="1:7">
      <c r="A1146" s="3184">
        <v>1143</v>
      </c>
      <c r="B1146" s="3192">
        <v>-1471</v>
      </c>
      <c r="C1146" s="3189">
        <v>32.61</v>
      </c>
      <c r="D1146" s="3187" t="s">
        <v>4007</v>
      </c>
      <c r="E1146">
        <f t="shared" si="28"/>
        <v>4981</v>
      </c>
      <c r="F1146" s="3206">
        <f t="shared" si="27"/>
        <v>162430.41</v>
      </c>
      <c r="G1146">
        <f t="shared" si="29"/>
        <v>16.381909547738694</v>
      </c>
    </row>
    <row r="1147" spans="1:7">
      <c r="A1147" s="3184">
        <v>1144</v>
      </c>
      <c r="B1147" s="3192">
        <v>-1472</v>
      </c>
      <c r="C1147" s="3189">
        <v>32.61</v>
      </c>
      <c r="D1147" s="3187" t="s">
        <v>4007</v>
      </c>
      <c r="E1147">
        <f t="shared" si="28"/>
        <v>4981</v>
      </c>
      <c r="F1147" s="3206">
        <f t="shared" si="27"/>
        <v>162430.41</v>
      </c>
      <c r="G1147">
        <f t="shared" si="29"/>
        <v>16.381909547738694</v>
      </c>
    </row>
    <row r="1148" spans="1:7">
      <c r="A1148" s="3184">
        <v>1145</v>
      </c>
      <c r="B1148" s="3192">
        <v>-1473</v>
      </c>
      <c r="C1148" s="3189">
        <v>32.61</v>
      </c>
      <c r="D1148" s="3187" t="s">
        <v>4007</v>
      </c>
      <c r="E1148">
        <f t="shared" si="28"/>
        <v>4981</v>
      </c>
      <c r="F1148" s="3206">
        <f t="shared" si="27"/>
        <v>162430.41</v>
      </c>
      <c r="G1148">
        <f t="shared" si="29"/>
        <v>16.381909547738694</v>
      </c>
    </row>
    <row r="1149" spans="1:7">
      <c r="A1149" s="3184">
        <v>1146</v>
      </c>
      <c r="B1149" s="3192">
        <v>-1474</v>
      </c>
      <c r="C1149" s="3189">
        <v>32.61</v>
      </c>
      <c r="D1149" s="3187" t="s">
        <v>4007</v>
      </c>
      <c r="E1149">
        <f t="shared" si="28"/>
        <v>4981</v>
      </c>
      <c r="F1149" s="3206">
        <f t="shared" si="27"/>
        <v>162430.41</v>
      </c>
      <c r="G1149">
        <f t="shared" si="29"/>
        <v>16.381909547738694</v>
      </c>
    </row>
    <row r="1150" spans="1:7">
      <c r="A1150" s="3184">
        <v>1147</v>
      </c>
      <c r="B1150" s="3192">
        <v>-1475</v>
      </c>
      <c r="C1150" s="3189">
        <v>32.61</v>
      </c>
      <c r="D1150" s="3187" t="s">
        <v>4007</v>
      </c>
      <c r="E1150">
        <f t="shared" si="28"/>
        <v>4981</v>
      </c>
      <c r="F1150" s="3206">
        <f t="shared" si="27"/>
        <v>162430.41</v>
      </c>
      <c r="G1150">
        <f t="shared" si="29"/>
        <v>16.381909547738694</v>
      </c>
    </row>
    <row r="1151" spans="1:7">
      <c r="A1151" s="3184">
        <v>1148</v>
      </c>
      <c r="B1151" s="3192">
        <v>-1476</v>
      </c>
      <c r="C1151" s="3189">
        <v>32.61</v>
      </c>
      <c r="D1151" s="3187" t="s">
        <v>4007</v>
      </c>
      <c r="E1151">
        <f t="shared" si="28"/>
        <v>4981</v>
      </c>
      <c r="F1151" s="3206">
        <f t="shared" si="27"/>
        <v>162430.41</v>
      </c>
      <c r="G1151">
        <f t="shared" si="29"/>
        <v>16.381909547738694</v>
      </c>
    </row>
    <row r="1152" spans="1:7">
      <c r="A1152" s="3184">
        <v>1149</v>
      </c>
      <c r="B1152" s="3192">
        <v>-1477</v>
      </c>
      <c r="C1152" s="3189">
        <v>32.61</v>
      </c>
      <c r="D1152" s="3187" t="s">
        <v>4007</v>
      </c>
      <c r="E1152">
        <f t="shared" si="28"/>
        <v>4981</v>
      </c>
      <c r="F1152" s="3206">
        <f t="shared" si="27"/>
        <v>162430.41</v>
      </c>
      <c r="G1152">
        <f t="shared" si="29"/>
        <v>16.381909547738694</v>
      </c>
    </row>
    <row r="1153" spans="1:7">
      <c r="A1153" s="3184">
        <v>1150</v>
      </c>
      <c r="B1153" s="3192">
        <v>-1478</v>
      </c>
      <c r="C1153" s="3189">
        <v>32.61</v>
      </c>
      <c r="D1153" s="3187" t="s">
        <v>4007</v>
      </c>
      <c r="E1153">
        <f t="shared" si="28"/>
        <v>4981</v>
      </c>
      <c r="F1153" s="3206">
        <f t="shared" si="27"/>
        <v>162430.41</v>
      </c>
      <c r="G1153">
        <f t="shared" si="29"/>
        <v>16.381909547738694</v>
      </c>
    </row>
    <row r="1154" spans="1:7">
      <c r="A1154" s="3184">
        <v>1151</v>
      </c>
      <c r="B1154" s="3192">
        <v>-1479</v>
      </c>
      <c r="C1154" s="3189">
        <v>32.61</v>
      </c>
      <c r="D1154" s="3187" t="s">
        <v>4007</v>
      </c>
      <c r="E1154">
        <f t="shared" si="28"/>
        <v>4981</v>
      </c>
      <c r="F1154" s="3206">
        <f t="shared" si="27"/>
        <v>162430.41</v>
      </c>
      <c r="G1154">
        <f t="shared" si="29"/>
        <v>16.381909547738694</v>
      </c>
    </row>
    <row r="1155" spans="1:7">
      <c r="A1155" s="3184">
        <v>1152</v>
      </c>
      <c r="B1155" s="3192">
        <v>-1480</v>
      </c>
      <c r="C1155" s="3189">
        <v>32.61</v>
      </c>
      <c r="D1155" s="3187" t="s">
        <v>4007</v>
      </c>
      <c r="E1155">
        <f t="shared" si="28"/>
        <v>4981</v>
      </c>
      <c r="F1155" s="3206">
        <f t="shared" si="27"/>
        <v>162430.41</v>
      </c>
      <c r="G1155">
        <f t="shared" si="29"/>
        <v>16.381909547738694</v>
      </c>
    </row>
    <row r="1156" spans="1:7">
      <c r="A1156" s="3184">
        <v>1153</v>
      </c>
      <c r="B1156" s="3192">
        <v>-1481</v>
      </c>
      <c r="C1156" s="3189">
        <v>32.61</v>
      </c>
      <c r="D1156" s="3187" t="s">
        <v>4007</v>
      </c>
      <c r="E1156">
        <f t="shared" si="28"/>
        <v>4981</v>
      </c>
      <c r="F1156" s="3206">
        <f t="shared" si="27"/>
        <v>162430.41</v>
      </c>
      <c r="G1156">
        <f t="shared" si="29"/>
        <v>16.381909547738694</v>
      </c>
    </row>
    <row r="1157" spans="1:7">
      <c r="A1157" s="3184">
        <v>1154</v>
      </c>
      <c r="B1157" s="3192">
        <v>-1482</v>
      </c>
      <c r="C1157" s="3189">
        <v>32.61</v>
      </c>
      <c r="D1157" s="3187" t="s">
        <v>4007</v>
      </c>
      <c r="E1157">
        <f t="shared" si="28"/>
        <v>4981</v>
      </c>
      <c r="F1157" s="3206">
        <f t="shared" si="27"/>
        <v>162430.41</v>
      </c>
      <c r="G1157">
        <f t="shared" si="29"/>
        <v>16.381909547738694</v>
      </c>
    </row>
    <row r="1158" spans="1:7">
      <c r="A1158" s="3184">
        <v>1155</v>
      </c>
      <c r="B1158" s="3192">
        <v>-1483</v>
      </c>
      <c r="C1158" s="3189">
        <v>32.61</v>
      </c>
      <c r="D1158" s="3187" t="s">
        <v>4007</v>
      </c>
      <c r="E1158">
        <f t="shared" si="28"/>
        <v>4981</v>
      </c>
      <c r="F1158" s="3206">
        <f t="shared" si="27"/>
        <v>162430.41</v>
      </c>
      <c r="G1158">
        <f t="shared" si="29"/>
        <v>16.381909547738694</v>
      </c>
    </row>
    <row r="1159" spans="1:7">
      <c r="A1159" s="3184">
        <v>1156</v>
      </c>
      <c r="B1159" s="3192">
        <v>-1484</v>
      </c>
      <c r="C1159" s="3189">
        <v>32.61</v>
      </c>
      <c r="D1159" s="3187" t="s">
        <v>4007</v>
      </c>
      <c r="E1159">
        <f t="shared" si="28"/>
        <v>4981</v>
      </c>
      <c r="F1159" s="3206">
        <f t="shared" si="27"/>
        <v>162430.41</v>
      </c>
      <c r="G1159">
        <f t="shared" si="29"/>
        <v>16.381909547738694</v>
      </c>
    </row>
    <row r="1160" spans="1:7">
      <c r="A1160" s="3184">
        <v>1157</v>
      </c>
      <c r="B1160" s="3192">
        <v>-1485</v>
      </c>
      <c r="C1160" s="3189">
        <v>32.61</v>
      </c>
      <c r="D1160" s="3187" t="s">
        <v>4007</v>
      </c>
      <c r="E1160">
        <f t="shared" si="28"/>
        <v>4981</v>
      </c>
      <c r="F1160" s="3206">
        <f t="shared" si="27"/>
        <v>162430.41</v>
      </c>
      <c r="G1160">
        <f t="shared" si="29"/>
        <v>16.381909547738694</v>
      </c>
    </row>
    <row r="1161" spans="1:7">
      <c r="A1161" s="3184">
        <v>1158</v>
      </c>
      <c r="B1161" s="3192">
        <v>-1486</v>
      </c>
      <c r="C1161" s="3189">
        <v>32.61</v>
      </c>
      <c r="D1161" s="3187" t="s">
        <v>4007</v>
      </c>
      <c r="E1161">
        <f t="shared" si="28"/>
        <v>4981</v>
      </c>
      <c r="F1161" s="3206">
        <f t="shared" si="27"/>
        <v>162430.41</v>
      </c>
      <c r="G1161">
        <f t="shared" si="29"/>
        <v>16.381909547738694</v>
      </c>
    </row>
    <row r="1162" spans="1:7">
      <c r="A1162" s="3184">
        <v>1159</v>
      </c>
      <c r="B1162" s="3192">
        <v>-1487</v>
      </c>
      <c r="C1162" s="3189">
        <v>32.61</v>
      </c>
      <c r="D1162" s="3187" t="s">
        <v>4007</v>
      </c>
      <c r="E1162">
        <f t="shared" si="28"/>
        <v>4981</v>
      </c>
      <c r="F1162" s="3206">
        <f t="shared" si="27"/>
        <v>162430.41</v>
      </c>
      <c r="G1162">
        <f t="shared" si="29"/>
        <v>16.381909547738694</v>
      </c>
    </row>
    <row r="1163" spans="1:7">
      <c r="A1163" s="3184">
        <v>1160</v>
      </c>
      <c r="B1163" s="3192">
        <v>-1488</v>
      </c>
      <c r="C1163" s="3189">
        <v>32.61</v>
      </c>
      <c r="D1163" s="3187" t="s">
        <v>4007</v>
      </c>
      <c r="E1163">
        <f t="shared" si="28"/>
        <v>4981</v>
      </c>
      <c r="F1163" s="3206">
        <f t="shared" si="27"/>
        <v>162430.41</v>
      </c>
      <c r="G1163">
        <f t="shared" si="29"/>
        <v>16.381909547738694</v>
      </c>
    </row>
    <row r="1164" spans="1:7">
      <c r="A1164" s="3184">
        <v>1161</v>
      </c>
      <c r="B1164" s="3192">
        <v>-1489</v>
      </c>
      <c r="C1164" s="3189">
        <v>32.61</v>
      </c>
      <c r="D1164" s="3187" t="s">
        <v>4007</v>
      </c>
      <c r="E1164">
        <f t="shared" si="28"/>
        <v>4981</v>
      </c>
      <c r="F1164" s="3206">
        <f t="shared" si="27"/>
        <v>162430.41</v>
      </c>
      <c r="G1164">
        <f t="shared" si="29"/>
        <v>16.381909547738694</v>
      </c>
    </row>
    <row r="1165" spans="1:7">
      <c r="A1165" s="3184">
        <v>1162</v>
      </c>
      <c r="B1165" s="3192">
        <v>-1490</v>
      </c>
      <c r="C1165" s="3189">
        <v>32.61</v>
      </c>
      <c r="D1165" s="3187" t="s">
        <v>4007</v>
      </c>
      <c r="E1165">
        <f t="shared" si="28"/>
        <v>4981</v>
      </c>
      <c r="F1165" s="3206">
        <f t="shared" si="27"/>
        <v>162430.41</v>
      </c>
      <c r="G1165">
        <f t="shared" si="29"/>
        <v>16.381909547738694</v>
      </c>
    </row>
    <row r="1166" spans="1:7">
      <c r="A1166" s="3184">
        <v>1163</v>
      </c>
      <c r="B1166" s="3192">
        <v>-1491</v>
      </c>
      <c r="C1166" s="3189">
        <v>32.61</v>
      </c>
      <c r="D1166" s="3187" t="s">
        <v>4007</v>
      </c>
      <c r="E1166">
        <f t="shared" si="28"/>
        <v>4981</v>
      </c>
      <c r="F1166" s="3206">
        <f t="shared" si="27"/>
        <v>162430.41</v>
      </c>
      <c r="G1166">
        <f t="shared" si="29"/>
        <v>16.381909547738694</v>
      </c>
    </row>
    <row r="1167" spans="1:7">
      <c r="A1167" s="3184">
        <v>1164</v>
      </c>
      <c r="B1167" s="3192">
        <v>-1492</v>
      </c>
      <c r="C1167" s="3189">
        <v>32.61</v>
      </c>
      <c r="D1167" s="3187" t="s">
        <v>4007</v>
      </c>
      <c r="E1167">
        <f t="shared" si="28"/>
        <v>4981</v>
      </c>
      <c r="F1167" s="3206">
        <f t="shared" si="27"/>
        <v>162430.41</v>
      </c>
      <c r="G1167">
        <f t="shared" si="29"/>
        <v>16.381909547738694</v>
      </c>
    </row>
    <row r="1168" spans="1:7">
      <c r="A1168" s="3184">
        <v>1165</v>
      </c>
      <c r="B1168" s="3192">
        <v>-1493</v>
      </c>
      <c r="C1168" s="3189">
        <v>32.61</v>
      </c>
      <c r="D1168" s="3187" t="s">
        <v>4007</v>
      </c>
      <c r="E1168">
        <f t="shared" si="28"/>
        <v>4981</v>
      </c>
      <c r="F1168" s="3206">
        <f t="shared" si="27"/>
        <v>162430.41</v>
      </c>
      <c r="G1168">
        <f t="shared" si="29"/>
        <v>16.381909547738694</v>
      </c>
    </row>
    <row r="1169" spans="1:7">
      <c r="A1169" s="3184">
        <v>1166</v>
      </c>
      <c r="B1169" s="3192">
        <v>-1494</v>
      </c>
      <c r="C1169" s="3189">
        <v>32.61</v>
      </c>
      <c r="D1169" s="3187" t="s">
        <v>4007</v>
      </c>
      <c r="E1169">
        <f t="shared" si="28"/>
        <v>4981</v>
      </c>
      <c r="F1169" s="3206">
        <f t="shared" si="27"/>
        <v>162430.41</v>
      </c>
      <c r="G1169">
        <f t="shared" si="29"/>
        <v>16.381909547738694</v>
      </c>
    </row>
    <row r="1170" spans="1:7">
      <c r="A1170" s="3184">
        <v>1167</v>
      </c>
      <c r="B1170" s="3192">
        <v>-1495</v>
      </c>
      <c r="C1170" s="3189">
        <v>32.61</v>
      </c>
      <c r="D1170" s="3187" t="s">
        <v>4007</v>
      </c>
      <c r="E1170">
        <f t="shared" si="28"/>
        <v>4981</v>
      </c>
      <c r="F1170" s="3206">
        <f t="shared" si="27"/>
        <v>162430.41</v>
      </c>
      <c r="G1170">
        <f t="shared" si="29"/>
        <v>16.381909547738694</v>
      </c>
    </row>
    <row r="1171" spans="1:7">
      <c r="A1171" s="3184">
        <v>1168</v>
      </c>
      <c r="B1171" s="3192">
        <v>-1496</v>
      </c>
      <c r="C1171" s="3189">
        <v>32.61</v>
      </c>
      <c r="D1171" s="3187" t="s">
        <v>4007</v>
      </c>
      <c r="E1171">
        <f t="shared" si="28"/>
        <v>4981</v>
      </c>
      <c r="F1171" s="3206">
        <f t="shared" si="27"/>
        <v>162430.41</v>
      </c>
      <c r="G1171">
        <f t="shared" si="29"/>
        <v>16.381909547738694</v>
      </c>
    </row>
    <row r="1172" spans="1:7">
      <c r="A1172" s="3184">
        <v>1169</v>
      </c>
      <c r="B1172" s="3192">
        <v>-1497</v>
      </c>
      <c r="C1172" s="3189">
        <v>32.61</v>
      </c>
      <c r="D1172" s="3187" t="s">
        <v>4007</v>
      </c>
      <c r="E1172">
        <f t="shared" si="28"/>
        <v>4981</v>
      </c>
      <c r="F1172" s="3206">
        <f t="shared" si="27"/>
        <v>162430.41</v>
      </c>
      <c r="G1172">
        <f t="shared" si="29"/>
        <v>16.381909547738694</v>
      </c>
    </row>
    <row r="1173" spans="1:7">
      <c r="A1173" s="3184">
        <v>1170</v>
      </c>
      <c r="B1173" s="3192">
        <v>-1498</v>
      </c>
      <c r="C1173" s="3189">
        <v>32.61</v>
      </c>
      <c r="D1173" s="3187" t="s">
        <v>4007</v>
      </c>
      <c r="E1173">
        <f t="shared" si="28"/>
        <v>4981</v>
      </c>
      <c r="F1173" s="3206">
        <f t="shared" si="27"/>
        <v>162430.41</v>
      </c>
      <c r="G1173">
        <f t="shared" si="29"/>
        <v>16.381909547738694</v>
      </c>
    </row>
    <row r="1174" spans="1:7">
      <c r="A1174" s="3184">
        <v>1171</v>
      </c>
      <c r="B1174" s="3192">
        <v>-1499</v>
      </c>
      <c r="C1174" s="3189">
        <v>32.61</v>
      </c>
      <c r="D1174" s="3187" t="s">
        <v>4007</v>
      </c>
      <c r="E1174">
        <f t="shared" si="28"/>
        <v>4981</v>
      </c>
      <c r="F1174" s="3206">
        <f t="shared" si="27"/>
        <v>162430.41</v>
      </c>
      <c r="G1174">
        <f t="shared" si="29"/>
        <v>16.381909547738694</v>
      </c>
    </row>
    <row r="1175" spans="1:7">
      <c r="A1175" s="3184">
        <v>1172</v>
      </c>
      <c r="B1175" s="3192">
        <v>-1500</v>
      </c>
      <c r="C1175" s="3189">
        <v>32.61</v>
      </c>
      <c r="D1175" s="3187" t="s">
        <v>4007</v>
      </c>
      <c r="E1175">
        <f t="shared" si="28"/>
        <v>4981</v>
      </c>
      <c r="F1175" s="3206">
        <f t="shared" si="27"/>
        <v>162430.41</v>
      </c>
      <c r="G1175">
        <f t="shared" si="29"/>
        <v>16.381909547738694</v>
      </c>
    </row>
    <row r="1176" spans="1:7">
      <c r="A1176" s="3184">
        <v>1173</v>
      </c>
      <c r="B1176" s="3192">
        <v>-1501</v>
      </c>
      <c r="C1176" s="3189">
        <v>32.61</v>
      </c>
      <c r="D1176" s="3187" t="s">
        <v>4007</v>
      </c>
      <c r="E1176">
        <f t="shared" si="28"/>
        <v>4981</v>
      </c>
      <c r="F1176" s="3206">
        <f t="shared" si="27"/>
        <v>162430.41</v>
      </c>
      <c r="G1176">
        <f t="shared" si="29"/>
        <v>16.381909547738694</v>
      </c>
    </row>
    <row r="1177" spans="1:7">
      <c r="A1177" s="3184">
        <v>1174</v>
      </c>
      <c r="B1177" s="3192">
        <v>-1502</v>
      </c>
      <c r="C1177" s="3189">
        <v>32.61</v>
      </c>
      <c r="D1177" s="3187" t="s">
        <v>4007</v>
      </c>
      <c r="E1177">
        <f t="shared" si="28"/>
        <v>4981</v>
      </c>
      <c r="F1177" s="3206">
        <f t="shared" si="27"/>
        <v>162430.41</v>
      </c>
      <c r="G1177">
        <f t="shared" si="29"/>
        <v>16.381909547738694</v>
      </c>
    </row>
    <row r="1178" spans="1:7">
      <c r="A1178" s="3184">
        <v>1175</v>
      </c>
      <c r="B1178" s="3192">
        <v>-1503</v>
      </c>
      <c r="C1178" s="3189">
        <v>32.61</v>
      </c>
      <c r="D1178" s="3187" t="s">
        <v>4007</v>
      </c>
      <c r="E1178">
        <f t="shared" si="28"/>
        <v>4981</v>
      </c>
      <c r="F1178" s="3206">
        <f t="shared" si="27"/>
        <v>162430.41</v>
      </c>
      <c r="G1178">
        <f t="shared" si="29"/>
        <v>16.381909547738694</v>
      </c>
    </row>
    <row r="1179" spans="1:7">
      <c r="A1179" s="3184">
        <v>1176</v>
      </c>
      <c r="B1179" s="3192">
        <v>-1504</v>
      </c>
      <c r="C1179" s="3189">
        <v>32.61</v>
      </c>
      <c r="D1179" s="3187" t="s">
        <v>4007</v>
      </c>
      <c r="E1179">
        <f t="shared" si="28"/>
        <v>4981</v>
      </c>
      <c r="F1179" s="3206">
        <f t="shared" si="27"/>
        <v>162430.41</v>
      </c>
      <c r="G1179">
        <f t="shared" si="29"/>
        <v>16.381909547738694</v>
      </c>
    </row>
    <row r="1180" spans="1:7">
      <c r="A1180" s="3184">
        <v>1177</v>
      </c>
      <c r="B1180" s="3192">
        <v>-1505</v>
      </c>
      <c r="C1180" s="3189">
        <v>32.61</v>
      </c>
      <c r="D1180" s="3187" t="s">
        <v>4007</v>
      </c>
      <c r="E1180">
        <f t="shared" si="28"/>
        <v>4981</v>
      </c>
      <c r="F1180" s="3206">
        <f t="shared" si="27"/>
        <v>162430.41</v>
      </c>
      <c r="G1180">
        <f t="shared" si="29"/>
        <v>16.381909547738694</v>
      </c>
    </row>
    <row r="1181" spans="1:7">
      <c r="A1181" s="3184">
        <v>1178</v>
      </c>
      <c r="B1181" s="3192">
        <v>-1506</v>
      </c>
      <c r="C1181" s="3189">
        <v>32.61</v>
      </c>
      <c r="D1181" s="3187" t="s">
        <v>4007</v>
      </c>
      <c r="E1181">
        <f t="shared" si="28"/>
        <v>4981</v>
      </c>
      <c r="F1181" s="3206">
        <f t="shared" si="27"/>
        <v>162430.41</v>
      </c>
      <c r="G1181">
        <f t="shared" si="29"/>
        <v>16.381909547738694</v>
      </c>
    </row>
    <row r="1182" spans="1:7">
      <c r="A1182" s="3184">
        <v>1179</v>
      </c>
      <c r="B1182" s="3192">
        <v>-1507</v>
      </c>
      <c r="C1182" s="3189">
        <v>32.61</v>
      </c>
      <c r="D1182" s="3187" t="s">
        <v>4007</v>
      </c>
      <c r="E1182">
        <f t="shared" si="28"/>
        <v>4981</v>
      </c>
      <c r="F1182" s="3206">
        <f t="shared" si="27"/>
        <v>162430.41</v>
      </c>
      <c r="G1182">
        <f t="shared" si="29"/>
        <v>16.381909547738694</v>
      </c>
    </row>
    <row r="1183" spans="1:7">
      <c r="A1183" s="3184">
        <v>1180</v>
      </c>
      <c r="B1183" s="3192">
        <v>-1508</v>
      </c>
      <c r="C1183" s="3189">
        <v>32.61</v>
      </c>
      <c r="D1183" s="3187" t="s">
        <v>4007</v>
      </c>
      <c r="E1183">
        <f t="shared" si="28"/>
        <v>4981</v>
      </c>
      <c r="F1183" s="3206">
        <f t="shared" si="27"/>
        <v>162430.41</v>
      </c>
      <c r="G1183">
        <f t="shared" si="29"/>
        <v>16.381909547738694</v>
      </c>
    </row>
    <row r="1184" spans="1:7">
      <c r="A1184" s="3184">
        <v>1181</v>
      </c>
      <c r="B1184" s="3192">
        <v>-1510</v>
      </c>
      <c r="C1184" s="3189">
        <v>32.61</v>
      </c>
      <c r="D1184" s="3187" t="s">
        <v>4007</v>
      </c>
      <c r="E1184">
        <f t="shared" si="28"/>
        <v>4981</v>
      </c>
      <c r="F1184" s="3206">
        <f t="shared" si="27"/>
        <v>162430.41</v>
      </c>
      <c r="G1184">
        <f t="shared" si="29"/>
        <v>16.381909547738694</v>
      </c>
    </row>
    <row r="1185" spans="1:7">
      <c r="A1185" s="3184">
        <v>1182</v>
      </c>
      <c r="B1185" s="3192">
        <v>-1511</v>
      </c>
      <c r="C1185" s="3189">
        <v>32.61</v>
      </c>
      <c r="D1185" s="3187" t="s">
        <v>4007</v>
      </c>
      <c r="E1185">
        <f t="shared" si="28"/>
        <v>4981</v>
      </c>
      <c r="F1185" s="3206">
        <f t="shared" si="27"/>
        <v>162430.41</v>
      </c>
      <c r="G1185">
        <f t="shared" si="29"/>
        <v>16.381909547738694</v>
      </c>
    </row>
    <row r="1186" spans="1:7">
      <c r="A1186" s="3184">
        <v>1183</v>
      </c>
      <c r="B1186" s="3192">
        <v>-1512</v>
      </c>
      <c r="C1186" s="3189">
        <v>32.61</v>
      </c>
      <c r="D1186" s="3187" t="s">
        <v>4007</v>
      </c>
      <c r="E1186">
        <f t="shared" si="28"/>
        <v>4981</v>
      </c>
      <c r="F1186" s="3206">
        <f t="shared" si="27"/>
        <v>162430.41</v>
      </c>
      <c r="G1186">
        <f t="shared" si="29"/>
        <v>16.381909547738694</v>
      </c>
    </row>
    <row r="1187" spans="1:7">
      <c r="A1187" s="3184">
        <v>1184</v>
      </c>
      <c r="B1187" s="3192">
        <v>-1513</v>
      </c>
      <c r="C1187" s="3189">
        <v>32.61</v>
      </c>
      <c r="D1187" s="3187" t="s">
        <v>4007</v>
      </c>
      <c r="E1187">
        <f t="shared" si="28"/>
        <v>4981</v>
      </c>
      <c r="F1187" s="3206">
        <f t="shared" si="27"/>
        <v>162430.41</v>
      </c>
      <c r="G1187">
        <f t="shared" si="29"/>
        <v>16.381909547738694</v>
      </c>
    </row>
    <row r="1188" spans="1:7">
      <c r="A1188" s="3184">
        <v>1185</v>
      </c>
      <c r="B1188" s="3192">
        <v>-1514</v>
      </c>
      <c r="C1188" s="3189">
        <v>32.61</v>
      </c>
      <c r="D1188" s="3187" t="s">
        <v>4007</v>
      </c>
      <c r="E1188">
        <f t="shared" si="28"/>
        <v>4981</v>
      </c>
      <c r="F1188" s="3206">
        <f t="shared" si="27"/>
        <v>162430.41</v>
      </c>
      <c r="G1188">
        <f t="shared" si="29"/>
        <v>16.381909547738694</v>
      </c>
    </row>
    <row r="1189" spans="1:7">
      <c r="A1189" s="3184">
        <v>1186</v>
      </c>
      <c r="B1189" s="3192">
        <v>-1515</v>
      </c>
      <c r="C1189" s="3189">
        <v>32.61</v>
      </c>
      <c r="D1189" s="3187" t="s">
        <v>4007</v>
      </c>
      <c r="E1189">
        <f t="shared" si="28"/>
        <v>4981</v>
      </c>
      <c r="F1189" s="3206">
        <f t="shared" si="27"/>
        <v>162430.41</v>
      </c>
      <c r="G1189">
        <f t="shared" si="29"/>
        <v>16.381909547738694</v>
      </c>
    </row>
    <row r="1190" spans="1:7">
      <c r="A1190" s="3184">
        <v>1187</v>
      </c>
      <c r="B1190" s="3192">
        <v>-1516</v>
      </c>
      <c r="C1190" s="3189">
        <v>32.61</v>
      </c>
      <c r="D1190" s="3187" t="s">
        <v>4007</v>
      </c>
      <c r="E1190">
        <f t="shared" si="28"/>
        <v>4981</v>
      </c>
      <c r="F1190" s="3206">
        <f t="shared" si="27"/>
        <v>162430.41</v>
      </c>
      <c r="G1190">
        <f t="shared" si="29"/>
        <v>16.381909547738694</v>
      </c>
    </row>
    <row r="1191" spans="1:7">
      <c r="A1191" s="3184">
        <v>1188</v>
      </c>
      <c r="B1191" s="3192">
        <v>-1517</v>
      </c>
      <c r="C1191" s="3189">
        <v>32.61</v>
      </c>
      <c r="D1191" s="3187" t="s">
        <v>4007</v>
      </c>
      <c r="E1191">
        <f t="shared" si="28"/>
        <v>4981</v>
      </c>
      <c r="F1191" s="3206">
        <f t="shared" si="27"/>
        <v>162430.41</v>
      </c>
      <c r="G1191">
        <f t="shared" si="29"/>
        <v>16.381909547738694</v>
      </c>
    </row>
    <row r="1192" spans="1:7">
      <c r="A1192" s="3184">
        <v>1189</v>
      </c>
      <c r="B1192" s="3192">
        <v>-1518</v>
      </c>
      <c r="C1192" s="3189">
        <v>32.61</v>
      </c>
      <c r="D1192" s="3187" t="s">
        <v>4007</v>
      </c>
      <c r="E1192">
        <f t="shared" si="28"/>
        <v>4981</v>
      </c>
      <c r="F1192" s="3206">
        <f t="shared" ref="F1192:F1255" si="30">E1192*C1192</f>
        <v>162430.41</v>
      </c>
      <c r="G1192">
        <f t="shared" si="29"/>
        <v>16.381909547738694</v>
      </c>
    </row>
    <row r="1193" spans="1:7">
      <c r="A1193" s="3184">
        <v>1190</v>
      </c>
      <c r="B1193" s="3192">
        <v>-1519</v>
      </c>
      <c r="C1193" s="3189">
        <v>32.61</v>
      </c>
      <c r="D1193" s="3187" t="s">
        <v>4007</v>
      </c>
      <c r="E1193">
        <f t="shared" ref="E1193:E1256" si="31">E1192</f>
        <v>4981</v>
      </c>
      <c r="F1193" s="3206">
        <f t="shared" si="30"/>
        <v>162430.41</v>
      </c>
      <c r="G1193">
        <f t="shared" ref="G1193:G1256" si="32">G1192</f>
        <v>16.381909547738694</v>
      </c>
    </row>
    <row r="1194" spans="1:7">
      <c r="A1194" s="3184">
        <v>1191</v>
      </c>
      <c r="B1194" s="3192">
        <v>-1520</v>
      </c>
      <c r="C1194" s="3189">
        <v>32.61</v>
      </c>
      <c r="D1194" s="3187" t="s">
        <v>4007</v>
      </c>
      <c r="E1194">
        <f t="shared" si="31"/>
        <v>4981</v>
      </c>
      <c r="F1194" s="3206">
        <f t="shared" si="30"/>
        <v>162430.41</v>
      </c>
      <c r="G1194">
        <f t="shared" si="32"/>
        <v>16.381909547738694</v>
      </c>
    </row>
    <row r="1195" spans="1:7">
      <c r="A1195" s="3184">
        <v>1192</v>
      </c>
      <c r="B1195" s="3192">
        <v>-1521</v>
      </c>
      <c r="C1195" s="3189">
        <v>32.61</v>
      </c>
      <c r="D1195" s="3187" t="s">
        <v>4007</v>
      </c>
      <c r="E1195">
        <f t="shared" si="31"/>
        <v>4981</v>
      </c>
      <c r="F1195" s="3206">
        <f t="shared" si="30"/>
        <v>162430.41</v>
      </c>
      <c r="G1195">
        <f t="shared" si="32"/>
        <v>16.381909547738694</v>
      </c>
    </row>
    <row r="1196" spans="1:7">
      <c r="A1196" s="3184">
        <v>1193</v>
      </c>
      <c r="B1196" s="3192">
        <v>-1522</v>
      </c>
      <c r="C1196" s="3189">
        <v>32.61</v>
      </c>
      <c r="D1196" s="3187" t="s">
        <v>4007</v>
      </c>
      <c r="E1196">
        <f t="shared" si="31"/>
        <v>4981</v>
      </c>
      <c r="F1196" s="3206">
        <f t="shared" si="30"/>
        <v>162430.41</v>
      </c>
      <c r="G1196">
        <f t="shared" si="32"/>
        <v>16.381909547738694</v>
      </c>
    </row>
    <row r="1197" spans="1:7">
      <c r="A1197" s="3184">
        <v>1194</v>
      </c>
      <c r="B1197" s="3192">
        <v>-1523</v>
      </c>
      <c r="C1197" s="3189">
        <v>32.61</v>
      </c>
      <c r="D1197" s="3187" t="s">
        <v>4007</v>
      </c>
      <c r="E1197">
        <f t="shared" si="31"/>
        <v>4981</v>
      </c>
      <c r="F1197" s="3206">
        <f t="shared" si="30"/>
        <v>162430.41</v>
      </c>
      <c r="G1197">
        <f t="shared" si="32"/>
        <v>16.381909547738694</v>
      </c>
    </row>
    <row r="1198" spans="1:7">
      <c r="A1198" s="3184">
        <v>1195</v>
      </c>
      <c r="B1198" s="3192">
        <v>-1524</v>
      </c>
      <c r="C1198" s="3189">
        <v>32.61</v>
      </c>
      <c r="D1198" s="3187" t="s">
        <v>4007</v>
      </c>
      <c r="E1198">
        <f t="shared" si="31"/>
        <v>4981</v>
      </c>
      <c r="F1198" s="3206">
        <f t="shared" si="30"/>
        <v>162430.41</v>
      </c>
      <c r="G1198">
        <f t="shared" si="32"/>
        <v>16.381909547738694</v>
      </c>
    </row>
    <row r="1199" spans="1:7">
      <c r="A1199" s="3184">
        <v>1196</v>
      </c>
      <c r="B1199" s="3192">
        <v>-1525</v>
      </c>
      <c r="C1199" s="3189">
        <v>32.61</v>
      </c>
      <c r="D1199" s="3187" t="s">
        <v>4007</v>
      </c>
      <c r="E1199">
        <f t="shared" si="31"/>
        <v>4981</v>
      </c>
      <c r="F1199" s="3206">
        <f t="shared" si="30"/>
        <v>162430.41</v>
      </c>
      <c r="G1199">
        <f t="shared" si="32"/>
        <v>16.381909547738694</v>
      </c>
    </row>
    <row r="1200" spans="1:7">
      <c r="A1200" s="3184">
        <v>1197</v>
      </c>
      <c r="B1200" s="3192">
        <v>-1526</v>
      </c>
      <c r="C1200" s="3189">
        <v>32.61</v>
      </c>
      <c r="D1200" s="3187" t="s">
        <v>4007</v>
      </c>
      <c r="E1200">
        <f t="shared" si="31"/>
        <v>4981</v>
      </c>
      <c r="F1200" s="3206">
        <f t="shared" si="30"/>
        <v>162430.41</v>
      </c>
      <c r="G1200">
        <f t="shared" si="32"/>
        <v>16.381909547738694</v>
      </c>
    </row>
    <row r="1201" spans="1:7">
      <c r="A1201" s="3184">
        <v>1198</v>
      </c>
      <c r="B1201" s="3192">
        <v>-1527</v>
      </c>
      <c r="C1201" s="3189">
        <v>32.61</v>
      </c>
      <c r="D1201" s="3187" t="s">
        <v>4007</v>
      </c>
      <c r="E1201">
        <f t="shared" si="31"/>
        <v>4981</v>
      </c>
      <c r="F1201" s="3206">
        <f t="shared" si="30"/>
        <v>162430.41</v>
      </c>
      <c r="G1201">
        <f t="shared" si="32"/>
        <v>16.381909547738694</v>
      </c>
    </row>
    <row r="1202" spans="1:7">
      <c r="A1202" s="3184">
        <v>1199</v>
      </c>
      <c r="B1202" s="3192">
        <v>-1528</v>
      </c>
      <c r="C1202" s="3189">
        <v>32.61</v>
      </c>
      <c r="D1202" s="3187" t="s">
        <v>4007</v>
      </c>
      <c r="E1202">
        <f t="shared" si="31"/>
        <v>4981</v>
      </c>
      <c r="F1202" s="3206">
        <f t="shared" si="30"/>
        <v>162430.41</v>
      </c>
      <c r="G1202">
        <f t="shared" si="32"/>
        <v>16.381909547738694</v>
      </c>
    </row>
    <row r="1203" spans="1:7">
      <c r="A1203" s="3184">
        <v>1200</v>
      </c>
      <c r="B1203" s="3192">
        <v>-1529</v>
      </c>
      <c r="C1203" s="3189">
        <v>32.61</v>
      </c>
      <c r="D1203" s="3187" t="s">
        <v>4007</v>
      </c>
      <c r="E1203">
        <f t="shared" si="31"/>
        <v>4981</v>
      </c>
      <c r="F1203" s="3206">
        <f t="shared" si="30"/>
        <v>162430.41</v>
      </c>
      <c r="G1203">
        <f t="shared" si="32"/>
        <v>16.381909547738694</v>
      </c>
    </row>
    <row r="1204" spans="1:7">
      <c r="A1204" s="3184">
        <v>1201</v>
      </c>
      <c r="B1204" s="3192">
        <v>-1530</v>
      </c>
      <c r="C1204" s="3189">
        <v>32.61</v>
      </c>
      <c r="D1204" s="3187" t="s">
        <v>4007</v>
      </c>
      <c r="E1204">
        <f t="shared" si="31"/>
        <v>4981</v>
      </c>
      <c r="F1204" s="3206">
        <f t="shared" si="30"/>
        <v>162430.41</v>
      </c>
      <c r="G1204">
        <f t="shared" si="32"/>
        <v>16.381909547738694</v>
      </c>
    </row>
    <row r="1205" spans="1:7">
      <c r="A1205" s="3184">
        <v>1202</v>
      </c>
      <c r="B1205" s="3192">
        <v>-1531</v>
      </c>
      <c r="C1205" s="3189">
        <v>32.61</v>
      </c>
      <c r="D1205" s="3187" t="s">
        <v>4007</v>
      </c>
      <c r="E1205">
        <f t="shared" si="31"/>
        <v>4981</v>
      </c>
      <c r="F1205" s="3206">
        <f t="shared" si="30"/>
        <v>162430.41</v>
      </c>
      <c r="G1205">
        <f t="shared" si="32"/>
        <v>16.381909547738694</v>
      </c>
    </row>
    <row r="1206" spans="1:7">
      <c r="A1206" s="3184">
        <v>1203</v>
      </c>
      <c r="B1206" s="3192">
        <v>-1532</v>
      </c>
      <c r="C1206" s="3189">
        <v>32.61</v>
      </c>
      <c r="D1206" s="3187" t="s">
        <v>4007</v>
      </c>
      <c r="E1206">
        <f t="shared" si="31"/>
        <v>4981</v>
      </c>
      <c r="F1206" s="3206">
        <f t="shared" si="30"/>
        <v>162430.41</v>
      </c>
      <c r="G1206">
        <f t="shared" si="32"/>
        <v>16.381909547738694</v>
      </c>
    </row>
    <row r="1207" spans="1:7">
      <c r="A1207" s="3184">
        <v>1204</v>
      </c>
      <c r="B1207" s="3192">
        <v>-1533</v>
      </c>
      <c r="C1207" s="3189">
        <v>32.61</v>
      </c>
      <c r="D1207" s="3187" t="s">
        <v>4007</v>
      </c>
      <c r="E1207">
        <f t="shared" si="31"/>
        <v>4981</v>
      </c>
      <c r="F1207" s="3206">
        <f t="shared" si="30"/>
        <v>162430.41</v>
      </c>
      <c r="G1207">
        <f t="shared" si="32"/>
        <v>16.381909547738694</v>
      </c>
    </row>
    <row r="1208" spans="1:7">
      <c r="A1208" s="3184">
        <v>1205</v>
      </c>
      <c r="B1208" s="3192">
        <v>-1534</v>
      </c>
      <c r="C1208" s="3189">
        <v>32.61</v>
      </c>
      <c r="D1208" s="3187" t="s">
        <v>4007</v>
      </c>
      <c r="E1208">
        <f t="shared" si="31"/>
        <v>4981</v>
      </c>
      <c r="F1208" s="3206">
        <f t="shared" si="30"/>
        <v>162430.41</v>
      </c>
      <c r="G1208">
        <f t="shared" si="32"/>
        <v>16.381909547738694</v>
      </c>
    </row>
    <row r="1209" spans="1:7">
      <c r="A1209" s="3184">
        <v>1206</v>
      </c>
      <c r="B1209" s="3192">
        <v>-1535</v>
      </c>
      <c r="C1209" s="3189">
        <v>32.61</v>
      </c>
      <c r="D1209" s="3187" t="s">
        <v>4007</v>
      </c>
      <c r="E1209">
        <f t="shared" si="31"/>
        <v>4981</v>
      </c>
      <c r="F1209" s="3206">
        <f t="shared" si="30"/>
        <v>162430.41</v>
      </c>
      <c r="G1209">
        <f t="shared" si="32"/>
        <v>16.381909547738694</v>
      </c>
    </row>
    <row r="1210" spans="1:7">
      <c r="A1210" s="3184">
        <v>1207</v>
      </c>
      <c r="B1210" s="3192">
        <v>-1536</v>
      </c>
      <c r="C1210" s="3189">
        <v>32.61</v>
      </c>
      <c r="D1210" s="3187" t="s">
        <v>4007</v>
      </c>
      <c r="E1210">
        <f t="shared" si="31"/>
        <v>4981</v>
      </c>
      <c r="F1210" s="3206">
        <f t="shared" si="30"/>
        <v>162430.41</v>
      </c>
      <c r="G1210">
        <f t="shared" si="32"/>
        <v>16.381909547738694</v>
      </c>
    </row>
    <row r="1211" spans="1:7">
      <c r="A1211" s="3184">
        <v>1208</v>
      </c>
      <c r="B1211" s="3192">
        <v>-1537</v>
      </c>
      <c r="C1211" s="3189">
        <v>32.61</v>
      </c>
      <c r="D1211" s="3187" t="s">
        <v>4007</v>
      </c>
      <c r="E1211">
        <f t="shared" si="31"/>
        <v>4981</v>
      </c>
      <c r="F1211" s="3206">
        <f t="shared" si="30"/>
        <v>162430.41</v>
      </c>
      <c r="G1211">
        <f t="shared" si="32"/>
        <v>16.381909547738694</v>
      </c>
    </row>
    <row r="1212" spans="1:7">
      <c r="A1212" s="3184">
        <v>1209</v>
      </c>
      <c r="B1212" s="3192">
        <v>-1538</v>
      </c>
      <c r="C1212" s="3189">
        <v>32.61</v>
      </c>
      <c r="D1212" s="3187" t="s">
        <v>4007</v>
      </c>
      <c r="E1212">
        <f t="shared" si="31"/>
        <v>4981</v>
      </c>
      <c r="F1212" s="3206">
        <f t="shared" si="30"/>
        <v>162430.41</v>
      </c>
      <c r="G1212">
        <f t="shared" si="32"/>
        <v>16.381909547738694</v>
      </c>
    </row>
    <row r="1213" spans="1:7">
      <c r="A1213" s="3184">
        <v>1210</v>
      </c>
      <c r="B1213" s="3192">
        <v>-1539</v>
      </c>
      <c r="C1213" s="3189">
        <v>32.61</v>
      </c>
      <c r="D1213" s="3187" t="s">
        <v>4007</v>
      </c>
      <c r="E1213">
        <f t="shared" si="31"/>
        <v>4981</v>
      </c>
      <c r="F1213" s="3206">
        <f t="shared" si="30"/>
        <v>162430.41</v>
      </c>
      <c r="G1213">
        <f t="shared" si="32"/>
        <v>16.381909547738694</v>
      </c>
    </row>
    <row r="1214" spans="1:7">
      <c r="A1214" s="3184">
        <v>1211</v>
      </c>
      <c r="B1214" s="3192">
        <v>-1540</v>
      </c>
      <c r="C1214" s="3189">
        <v>32.61</v>
      </c>
      <c r="D1214" s="3187" t="s">
        <v>4007</v>
      </c>
      <c r="E1214">
        <f t="shared" si="31"/>
        <v>4981</v>
      </c>
      <c r="F1214" s="3206">
        <f t="shared" si="30"/>
        <v>162430.41</v>
      </c>
      <c r="G1214">
        <f t="shared" si="32"/>
        <v>16.381909547738694</v>
      </c>
    </row>
    <row r="1215" spans="1:7">
      <c r="A1215" s="3184">
        <v>1212</v>
      </c>
      <c r="B1215" s="3192">
        <v>-1541</v>
      </c>
      <c r="C1215" s="3189">
        <v>32.61</v>
      </c>
      <c r="D1215" s="3187" t="s">
        <v>4007</v>
      </c>
      <c r="E1215">
        <f t="shared" si="31"/>
        <v>4981</v>
      </c>
      <c r="F1215" s="3206">
        <f t="shared" si="30"/>
        <v>162430.41</v>
      </c>
      <c r="G1215">
        <f t="shared" si="32"/>
        <v>16.381909547738694</v>
      </c>
    </row>
    <row r="1216" spans="1:7">
      <c r="A1216" s="3184">
        <v>1213</v>
      </c>
      <c r="B1216" s="3192">
        <v>-1542</v>
      </c>
      <c r="C1216" s="3189">
        <v>32.61</v>
      </c>
      <c r="D1216" s="3187" t="s">
        <v>4007</v>
      </c>
      <c r="E1216">
        <f t="shared" si="31"/>
        <v>4981</v>
      </c>
      <c r="F1216" s="3206">
        <f t="shared" si="30"/>
        <v>162430.41</v>
      </c>
      <c r="G1216">
        <f t="shared" si="32"/>
        <v>16.381909547738694</v>
      </c>
    </row>
    <row r="1217" spans="1:7">
      <c r="A1217" s="3184">
        <v>1214</v>
      </c>
      <c r="B1217" s="3192">
        <v>-1543</v>
      </c>
      <c r="C1217" s="3189">
        <v>32.61</v>
      </c>
      <c r="D1217" s="3187" t="s">
        <v>4007</v>
      </c>
      <c r="E1217">
        <f t="shared" si="31"/>
        <v>4981</v>
      </c>
      <c r="F1217" s="3206">
        <f t="shared" si="30"/>
        <v>162430.41</v>
      </c>
      <c r="G1217">
        <f t="shared" si="32"/>
        <v>16.381909547738694</v>
      </c>
    </row>
    <row r="1218" spans="1:7">
      <c r="A1218" s="3184">
        <v>1215</v>
      </c>
      <c r="B1218" s="3192">
        <v>-1544</v>
      </c>
      <c r="C1218" s="3189">
        <v>32.61</v>
      </c>
      <c r="D1218" s="3187" t="s">
        <v>4007</v>
      </c>
      <c r="E1218">
        <f t="shared" si="31"/>
        <v>4981</v>
      </c>
      <c r="F1218" s="3206">
        <f t="shared" si="30"/>
        <v>162430.41</v>
      </c>
      <c r="G1218">
        <f t="shared" si="32"/>
        <v>16.381909547738694</v>
      </c>
    </row>
    <row r="1219" spans="1:7">
      <c r="A1219" s="3184">
        <v>1216</v>
      </c>
      <c r="B1219" s="3192">
        <v>-1545</v>
      </c>
      <c r="C1219" s="3189">
        <v>32.61</v>
      </c>
      <c r="D1219" s="3187" t="s">
        <v>4007</v>
      </c>
      <c r="E1219">
        <f t="shared" si="31"/>
        <v>4981</v>
      </c>
      <c r="F1219" s="3206">
        <f t="shared" si="30"/>
        <v>162430.41</v>
      </c>
      <c r="G1219">
        <f t="shared" si="32"/>
        <v>16.381909547738694</v>
      </c>
    </row>
    <row r="1220" spans="1:7">
      <c r="A1220" s="3184">
        <v>1217</v>
      </c>
      <c r="B1220" s="3192">
        <v>-1546</v>
      </c>
      <c r="C1220" s="3189">
        <v>32.61</v>
      </c>
      <c r="D1220" s="3187" t="s">
        <v>4007</v>
      </c>
      <c r="E1220">
        <f t="shared" si="31"/>
        <v>4981</v>
      </c>
      <c r="F1220" s="3206">
        <f t="shared" si="30"/>
        <v>162430.41</v>
      </c>
      <c r="G1220">
        <f t="shared" si="32"/>
        <v>16.381909547738694</v>
      </c>
    </row>
    <row r="1221" spans="1:7">
      <c r="A1221" s="3184">
        <v>1218</v>
      </c>
      <c r="B1221" s="3192">
        <v>-1548</v>
      </c>
      <c r="C1221" s="3189">
        <v>32.61</v>
      </c>
      <c r="D1221" s="3187" t="s">
        <v>4007</v>
      </c>
      <c r="E1221">
        <f t="shared" si="31"/>
        <v>4981</v>
      </c>
      <c r="F1221" s="3206">
        <f t="shared" si="30"/>
        <v>162430.41</v>
      </c>
      <c r="G1221">
        <f t="shared" si="32"/>
        <v>16.381909547738694</v>
      </c>
    </row>
    <row r="1222" spans="1:7">
      <c r="A1222" s="3184">
        <v>1219</v>
      </c>
      <c r="B1222" s="3192">
        <v>-1549</v>
      </c>
      <c r="C1222" s="3189">
        <v>32.61</v>
      </c>
      <c r="D1222" s="3187" t="s">
        <v>4007</v>
      </c>
      <c r="E1222">
        <f t="shared" si="31"/>
        <v>4981</v>
      </c>
      <c r="F1222" s="3206">
        <f t="shared" si="30"/>
        <v>162430.41</v>
      </c>
      <c r="G1222">
        <f t="shared" si="32"/>
        <v>16.381909547738694</v>
      </c>
    </row>
    <row r="1223" spans="1:7">
      <c r="A1223" s="3184">
        <v>1220</v>
      </c>
      <c r="B1223" s="3192">
        <v>-1550</v>
      </c>
      <c r="C1223" s="3189">
        <v>32.61</v>
      </c>
      <c r="D1223" s="3187" t="s">
        <v>4007</v>
      </c>
      <c r="E1223">
        <f t="shared" si="31"/>
        <v>4981</v>
      </c>
      <c r="F1223" s="3206">
        <f t="shared" si="30"/>
        <v>162430.41</v>
      </c>
      <c r="G1223">
        <f t="shared" si="32"/>
        <v>16.381909547738694</v>
      </c>
    </row>
    <row r="1224" spans="1:7">
      <c r="A1224" s="3184">
        <v>1221</v>
      </c>
      <c r="B1224" s="3192">
        <v>-1551</v>
      </c>
      <c r="C1224" s="3189">
        <v>32.61</v>
      </c>
      <c r="D1224" s="3187" t="s">
        <v>4007</v>
      </c>
      <c r="E1224">
        <f t="shared" si="31"/>
        <v>4981</v>
      </c>
      <c r="F1224" s="3206">
        <f t="shared" si="30"/>
        <v>162430.41</v>
      </c>
      <c r="G1224">
        <f t="shared" si="32"/>
        <v>16.381909547738694</v>
      </c>
    </row>
    <row r="1225" spans="1:7">
      <c r="A1225" s="3184">
        <v>1222</v>
      </c>
      <c r="B1225" s="3192">
        <v>-1552</v>
      </c>
      <c r="C1225" s="3189">
        <v>52.86</v>
      </c>
      <c r="D1225" s="3187" t="s">
        <v>4007</v>
      </c>
      <c r="E1225">
        <f t="shared" si="31"/>
        <v>4981</v>
      </c>
      <c r="F1225" s="3206">
        <f t="shared" si="30"/>
        <v>263295.65999999997</v>
      </c>
      <c r="G1225">
        <f t="shared" si="32"/>
        <v>16.381909547738694</v>
      </c>
    </row>
    <row r="1226" spans="1:7">
      <c r="A1226" s="3184">
        <v>1223</v>
      </c>
      <c r="B1226" s="3192">
        <v>-1553</v>
      </c>
      <c r="C1226" s="3189">
        <v>32.61</v>
      </c>
      <c r="D1226" s="3187" t="s">
        <v>4007</v>
      </c>
      <c r="E1226">
        <f t="shared" si="31"/>
        <v>4981</v>
      </c>
      <c r="F1226" s="3206">
        <f t="shared" si="30"/>
        <v>162430.41</v>
      </c>
      <c r="G1226">
        <f t="shared" si="32"/>
        <v>16.381909547738694</v>
      </c>
    </row>
    <row r="1227" spans="1:7">
      <c r="A1227" s="3184">
        <v>1224</v>
      </c>
      <c r="B1227" s="3192">
        <v>-1554</v>
      </c>
      <c r="C1227" s="3189">
        <v>32.61</v>
      </c>
      <c r="D1227" s="3187" t="s">
        <v>4007</v>
      </c>
      <c r="E1227">
        <f t="shared" si="31"/>
        <v>4981</v>
      </c>
      <c r="F1227" s="3206">
        <f t="shared" si="30"/>
        <v>162430.41</v>
      </c>
      <c r="G1227">
        <f t="shared" si="32"/>
        <v>16.381909547738694</v>
      </c>
    </row>
    <row r="1228" spans="1:7">
      <c r="A1228" s="3184">
        <v>1225</v>
      </c>
      <c r="B1228" s="3192">
        <v>-1555</v>
      </c>
      <c r="C1228" s="3189">
        <v>32.61</v>
      </c>
      <c r="D1228" s="3187" t="s">
        <v>4007</v>
      </c>
      <c r="E1228">
        <f t="shared" si="31"/>
        <v>4981</v>
      </c>
      <c r="F1228" s="3206">
        <f t="shared" si="30"/>
        <v>162430.41</v>
      </c>
      <c r="G1228">
        <f t="shared" si="32"/>
        <v>16.381909547738694</v>
      </c>
    </row>
    <row r="1229" spans="1:7">
      <c r="A1229" s="3184">
        <v>1226</v>
      </c>
      <c r="B1229" s="3192">
        <v>-1556</v>
      </c>
      <c r="C1229" s="3189">
        <v>32.61</v>
      </c>
      <c r="D1229" s="3187" t="s">
        <v>4007</v>
      </c>
      <c r="E1229">
        <f t="shared" si="31"/>
        <v>4981</v>
      </c>
      <c r="F1229" s="3206">
        <f t="shared" si="30"/>
        <v>162430.41</v>
      </c>
      <c r="G1229">
        <f t="shared" si="32"/>
        <v>16.381909547738694</v>
      </c>
    </row>
    <row r="1230" spans="1:7">
      <c r="A1230" s="3184">
        <v>1227</v>
      </c>
      <c r="B1230" s="3192">
        <v>-1557</v>
      </c>
      <c r="C1230" s="3189">
        <v>32.61</v>
      </c>
      <c r="D1230" s="3187" t="s">
        <v>4007</v>
      </c>
      <c r="E1230">
        <f t="shared" si="31"/>
        <v>4981</v>
      </c>
      <c r="F1230" s="3206">
        <f t="shared" si="30"/>
        <v>162430.41</v>
      </c>
      <c r="G1230">
        <f t="shared" si="32"/>
        <v>16.381909547738694</v>
      </c>
    </row>
    <row r="1231" spans="1:7">
      <c r="A1231" s="3184">
        <v>1228</v>
      </c>
      <c r="B1231" s="3192">
        <v>-1558</v>
      </c>
      <c r="C1231" s="3189">
        <v>32.61</v>
      </c>
      <c r="D1231" s="3187" t="s">
        <v>4007</v>
      </c>
      <c r="E1231">
        <f t="shared" si="31"/>
        <v>4981</v>
      </c>
      <c r="F1231" s="3206">
        <f t="shared" si="30"/>
        <v>162430.41</v>
      </c>
      <c r="G1231">
        <f t="shared" si="32"/>
        <v>16.381909547738694</v>
      </c>
    </row>
    <row r="1232" spans="1:7">
      <c r="A1232" s="3184">
        <v>1229</v>
      </c>
      <c r="B1232" s="3192">
        <v>-1559</v>
      </c>
      <c r="C1232" s="3189">
        <v>32.61</v>
      </c>
      <c r="D1232" s="3187" t="s">
        <v>4007</v>
      </c>
      <c r="E1232">
        <f t="shared" si="31"/>
        <v>4981</v>
      </c>
      <c r="F1232" s="3206">
        <f t="shared" si="30"/>
        <v>162430.41</v>
      </c>
      <c r="G1232">
        <f t="shared" si="32"/>
        <v>16.381909547738694</v>
      </c>
    </row>
    <row r="1233" spans="1:7">
      <c r="A1233" s="3184">
        <v>1230</v>
      </c>
      <c r="B1233" s="3192">
        <v>-1560</v>
      </c>
      <c r="C1233" s="3189">
        <v>32.61</v>
      </c>
      <c r="D1233" s="3187" t="s">
        <v>4007</v>
      </c>
      <c r="E1233">
        <f t="shared" si="31"/>
        <v>4981</v>
      </c>
      <c r="F1233" s="3206">
        <f t="shared" si="30"/>
        <v>162430.41</v>
      </c>
      <c r="G1233">
        <f t="shared" si="32"/>
        <v>16.381909547738694</v>
      </c>
    </row>
    <row r="1234" spans="1:7">
      <c r="A1234" s="3184">
        <v>1231</v>
      </c>
      <c r="B1234" s="3192">
        <v>-1561</v>
      </c>
      <c r="C1234" s="3189">
        <v>32.61</v>
      </c>
      <c r="D1234" s="3187" t="s">
        <v>4007</v>
      </c>
      <c r="E1234">
        <f t="shared" si="31"/>
        <v>4981</v>
      </c>
      <c r="F1234" s="3206">
        <f t="shared" si="30"/>
        <v>162430.41</v>
      </c>
      <c r="G1234">
        <f t="shared" si="32"/>
        <v>16.381909547738694</v>
      </c>
    </row>
    <row r="1235" spans="1:7">
      <c r="A1235" s="3184">
        <v>1232</v>
      </c>
      <c r="B1235" s="3192">
        <v>-1562</v>
      </c>
      <c r="C1235" s="3189">
        <v>32.61</v>
      </c>
      <c r="D1235" s="3187" t="s">
        <v>4007</v>
      </c>
      <c r="E1235">
        <f t="shared" si="31"/>
        <v>4981</v>
      </c>
      <c r="F1235" s="3206">
        <f t="shared" si="30"/>
        <v>162430.41</v>
      </c>
      <c r="G1235">
        <f t="shared" si="32"/>
        <v>16.381909547738694</v>
      </c>
    </row>
    <row r="1236" spans="1:7">
      <c r="A1236" s="3184">
        <v>1233</v>
      </c>
      <c r="B1236" s="3192">
        <v>-1563</v>
      </c>
      <c r="C1236" s="3189">
        <v>32.61</v>
      </c>
      <c r="D1236" s="3187" t="s">
        <v>4007</v>
      </c>
      <c r="E1236">
        <f t="shared" si="31"/>
        <v>4981</v>
      </c>
      <c r="F1236" s="3206">
        <f t="shared" si="30"/>
        <v>162430.41</v>
      </c>
      <c r="G1236">
        <f t="shared" si="32"/>
        <v>16.381909547738694</v>
      </c>
    </row>
    <row r="1237" spans="1:7">
      <c r="A1237" s="3184">
        <v>1234</v>
      </c>
      <c r="B1237" s="3192">
        <v>-1564</v>
      </c>
      <c r="C1237" s="3189">
        <v>52.86</v>
      </c>
      <c r="D1237" s="3187" t="s">
        <v>4007</v>
      </c>
      <c r="E1237">
        <f t="shared" si="31"/>
        <v>4981</v>
      </c>
      <c r="F1237" s="3206">
        <f t="shared" si="30"/>
        <v>263295.65999999997</v>
      </c>
      <c r="G1237">
        <f t="shared" si="32"/>
        <v>16.381909547738694</v>
      </c>
    </row>
    <row r="1238" spans="1:7">
      <c r="A1238" s="3184">
        <v>1235</v>
      </c>
      <c r="B1238" s="3192">
        <v>-1565</v>
      </c>
      <c r="C1238" s="3189">
        <v>32.61</v>
      </c>
      <c r="D1238" s="3187" t="s">
        <v>4007</v>
      </c>
      <c r="E1238">
        <f t="shared" si="31"/>
        <v>4981</v>
      </c>
      <c r="F1238" s="3206">
        <f t="shared" si="30"/>
        <v>162430.41</v>
      </c>
      <c r="G1238">
        <f t="shared" si="32"/>
        <v>16.381909547738694</v>
      </c>
    </row>
    <row r="1239" spans="1:7">
      <c r="A1239" s="3184">
        <v>1236</v>
      </c>
      <c r="B1239" s="3192">
        <v>-1566</v>
      </c>
      <c r="C1239" s="3189">
        <v>32.61</v>
      </c>
      <c r="D1239" s="3187" t="s">
        <v>4007</v>
      </c>
      <c r="E1239">
        <f t="shared" si="31"/>
        <v>4981</v>
      </c>
      <c r="F1239" s="3206">
        <f t="shared" si="30"/>
        <v>162430.41</v>
      </c>
      <c r="G1239">
        <f t="shared" si="32"/>
        <v>16.381909547738694</v>
      </c>
    </row>
    <row r="1240" spans="1:7">
      <c r="A1240" s="3184">
        <v>1237</v>
      </c>
      <c r="B1240" s="3192">
        <v>-1567</v>
      </c>
      <c r="C1240" s="3189">
        <v>32.61</v>
      </c>
      <c r="D1240" s="3187" t="s">
        <v>4007</v>
      </c>
      <c r="E1240">
        <f t="shared" si="31"/>
        <v>4981</v>
      </c>
      <c r="F1240" s="3206">
        <f t="shared" si="30"/>
        <v>162430.41</v>
      </c>
      <c r="G1240">
        <f t="shared" si="32"/>
        <v>16.381909547738694</v>
      </c>
    </row>
    <row r="1241" spans="1:7">
      <c r="A1241" s="3184">
        <v>1238</v>
      </c>
      <c r="B1241" s="3192">
        <v>-1568</v>
      </c>
      <c r="C1241" s="3189">
        <v>32.61</v>
      </c>
      <c r="D1241" s="3187" t="s">
        <v>4007</v>
      </c>
      <c r="E1241">
        <f t="shared" si="31"/>
        <v>4981</v>
      </c>
      <c r="F1241" s="3206">
        <f t="shared" si="30"/>
        <v>162430.41</v>
      </c>
      <c r="G1241">
        <f t="shared" si="32"/>
        <v>16.381909547738694</v>
      </c>
    </row>
    <row r="1242" spans="1:7">
      <c r="A1242" s="3184">
        <v>1239</v>
      </c>
      <c r="B1242" s="3192">
        <v>-1569</v>
      </c>
      <c r="C1242" s="3189">
        <v>32.61</v>
      </c>
      <c r="D1242" s="3187" t="s">
        <v>4007</v>
      </c>
      <c r="E1242">
        <f t="shared" si="31"/>
        <v>4981</v>
      </c>
      <c r="F1242" s="3206">
        <f t="shared" si="30"/>
        <v>162430.41</v>
      </c>
      <c r="G1242">
        <f t="shared" si="32"/>
        <v>16.381909547738694</v>
      </c>
    </row>
    <row r="1243" spans="1:7">
      <c r="A1243" s="3184">
        <v>1240</v>
      </c>
      <c r="B1243" s="3192">
        <v>-1570</v>
      </c>
      <c r="C1243" s="3189">
        <v>32.61</v>
      </c>
      <c r="D1243" s="3187" t="s">
        <v>4007</v>
      </c>
      <c r="E1243">
        <f t="shared" si="31"/>
        <v>4981</v>
      </c>
      <c r="F1243" s="3206">
        <f t="shared" si="30"/>
        <v>162430.41</v>
      </c>
      <c r="G1243">
        <f t="shared" si="32"/>
        <v>16.381909547738694</v>
      </c>
    </row>
    <row r="1244" spans="1:7">
      <c r="A1244" s="3184">
        <v>1241</v>
      </c>
      <c r="B1244" s="3192">
        <v>-1571</v>
      </c>
      <c r="C1244" s="3189">
        <v>32.61</v>
      </c>
      <c r="D1244" s="3187" t="s">
        <v>4007</v>
      </c>
      <c r="E1244">
        <f t="shared" si="31"/>
        <v>4981</v>
      </c>
      <c r="F1244" s="3206">
        <f t="shared" si="30"/>
        <v>162430.41</v>
      </c>
      <c r="G1244">
        <f t="shared" si="32"/>
        <v>16.381909547738694</v>
      </c>
    </row>
    <row r="1245" spans="1:7">
      <c r="A1245" s="3184">
        <v>1242</v>
      </c>
      <c r="B1245" s="3192">
        <v>-1572</v>
      </c>
      <c r="C1245" s="3189">
        <v>32.61</v>
      </c>
      <c r="D1245" s="3187" t="s">
        <v>4007</v>
      </c>
      <c r="E1245">
        <f t="shared" si="31"/>
        <v>4981</v>
      </c>
      <c r="F1245" s="3206">
        <f t="shared" si="30"/>
        <v>162430.41</v>
      </c>
      <c r="G1245">
        <f t="shared" si="32"/>
        <v>16.381909547738694</v>
      </c>
    </row>
    <row r="1246" spans="1:7">
      <c r="A1246" s="3184">
        <v>1243</v>
      </c>
      <c r="B1246" s="3192">
        <v>-1573</v>
      </c>
      <c r="C1246" s="3189">
        <v>32.61</v>
      </c>
      <c r="D1246" s="3187" t="s">
        <v>4007</v>
      </c>
      <c r="E1246">
        <f t="shared" si="31"/>
        <v>4981</v>
      </c>
      <c r="F1246" s="3206">
        <f t="shared" si="30"/>
        <v>162430.41</v>
      </c>
      <c r="G1246">
        <f t="shared" si="32"/>
        <v>16.381909547738694</v>
      </c>
    </row>
    <row r="1247" spans="1:7">
      <c r="A1247" s="3184">
        <v>1244</v>
      </c>
      <c r="B1247" s="3192">
        <v>-1574</v>
      </c>
      <c r="C1247" s="3189">
        <v>32.61</v>
      </c>
      <c r="D1247" s="3187" t="s">
        <v>4007</v>
      </c>
      <c r="E1247">
        <f t="shared" si="31"/>
        <v>4981</v>
      </c>
      <c r="F1247" s="3206">
        <f t="shared" si="30"/>
        <v>162430.41</v>
      </c>
      <c r="G1247">
        <f t="shared" si="32"/>
        <v>16.381909547738694</v>
      </c>
    </row>
    <row r="1248" spans="1:7">
      <c r="A1248" s="3184">
        <v>1245</v>
      </c>
      <c r="B1248" s="3192">
        <v>-1575</v>
      </c>
      <c r="C1248" s="3189">
        <v>32.61</v>
      </c>
      <c r="D1248" s="3187" t="s">
        <v>4007</v>
      </c>
      <c r="E1248">
        <f t="shared" si="31"/>
        <v>4981</v>
      </c>
      <c r="F1248" s="3206">
        <f t="shared" si="30"/>
        <v>162430.41</v>
      </c>
      <c r="G1248">
        <f t="shared" si="32"/>
        <v>16.381909547738694</v>
      </c>
    </row>
    <row r="1249" spans="1:7">
      <c r="A1249" s="3184">
        <v>1246</v>
      </c>
      <c r="B1249" s="3192">
        <v>-1576</v>
      </c>
      <c r="C1249" s="3189">
        <v>32.61</v>
      </c>
      <c r="D1249" s="3187" t="s">
        <v>4007</v>
      </c>
      <c r="E1249">
        <f t="shared" si="31"/>
        <v>4981</v>
      </c>
      <c r="F1249" s="3206">
        <f t="shared" si="30"/>
        <v>162430.41</v>
      </c>
      <c r="G1249">
        <f t="shared" si="32"/>
        <v>16.381909547738694</v>
      </c>
    </row>
    <row r="1250" spans="1:7">
      <c r="A1250" s="3184">
        <v>1247</v>
      </c>
      <c r="B1250" s="3192">
        <v>-1577</v>
      </c>
      <c r="C1250" s="3189">
        <v>52.86</v>
      </c>
      <c r="D1250" s="3187" t="s">
        <v>4007</v>
      </c>
      <c r="E1250">
        <f t="shared" si="31"/>
        <v>4981</v>
      </c>
      <c r="F1250" s="3206">
        <f t="shared" si="30"/>
        <v>263295.65999999997</v>
      </c>
      <c r="G1250">
        <f t="shared" si="32"/>
        <v>16.381909547738694</v>
      </c>
    </row>
    <row r="1251" spans="1:7">
      <c r="A1251" s="3184">
        <v>1248</v>
      </c>
      <c r="B1251" s="3192">
        <v>-1578</v>
      </c>
      <c r="C1251" s="3189">
        <v>32.61</v>
      </c>
      <c r="D1251" s="3187" t="s">
        <v>4007</v>
      </c>
      <c r="E1251">
        <f t="shared" si="31"/>
        <v>4981</v>
      </c>
      <c r="F1251" s="3206">
        <f t="shared" si="30"/>
        <v>162430.41</v>
      </c>
      <c r="G1251">
        <f t="shared" si="32"/>
        <v>16.381909547738694</v>
      </c>
    </row>
    <row r="1252" spans="1:7">
      <c r="A1252" s="3184">
        <v>1249</v>
      </c>
      <c r="B1252" s="3192">
        <v>-1579</v>
      </c>
      <c r="C1252" s="3189">
        <v>32.61</v>
      </c>
      <c r="D1252" s="3187" t="s">
        <v>4007</v>
      </c>
      <c r="E1252">
        <f t="shared" si="31"/>
        <v>4981</v>
      </c>
      <c r="F1252" s="3206">
        <f t="shared" si="30"/>
        <v>162430.41</v>
      </c>
      <c r="G1252">
        <f t="shared" si="32"/>
        <v>16.381909547738694</v>
      </c>
    </row>
    <row r="1253" spans="1:7">
      <c r="A1253" s="3184">
        <v>1250</v>
      </c>
      <c r="B1253" s="3192">
        <v>-1580</v>
      </c>
      <c r="C1253" s="3189">
        <v>32.61</v>
      </c>
      <c r="D1253" s="3187" t="s">
        <v>4007</v>
      </c>
      <c r="E1253">
        <f t="shared" si="31"/>
        <v>4981</v>
      </c>
      <c r="F1253" s="3206">
        <f t="shared" si="30"/>
        <v>162430.41</v>
      </c>
      <c r="G1253">
        <f t="shared" si="32"/>
        <v>16.381909547738694</v>
      </c>
    </row>
    <row r="1254" spans="1:7">
      <c r="A1254" s="3184">
        <v>1251</v>
      </c>
      <c r="B1254" s="3192">
        <v>-1581</v>
      </c>
      <c r="C1254" s="3189">
        <v>32.61</v>
      </c>
      <c r="D1254" s="3187" t="s">
        <v>4007</v>
      </c>
      <c r="E1254">
        <f t="shared" si="31"/>
        <v>4981</v>
      </c>
      <c r="F1254" s="3206">
        <f t="shared" si="30"/>
        <v>162430.41</v>
      </c>
      <c r="G1254">
        <f t="shared" si="32"/>
        <v>16.381909547738694</v>
      </c>
    </row>
    <row r="1255" spans="1:7">
      <c r="A1255" s="3184">
        <v>1252</v>
      </c>
      <c r="B1255" s="3192">
        <v>-1582</v>
      </c>
      <c r="C1255" s="3189">
        <v>32.61</v>
      </c>
      <c r="D1255" s="3187" t="s">
        <v>4007</v>
      </c>
      <c r="E1255">
        <f t="shared" si="31"/>
        <v>4981</v>
      </c>
      <c r="F1255" s="3206">
        <f t="shared" si="30"/>
        <v>162430.41</v>
      </c>
      <c r="G1255">
        <f t="shared" si="32"/>
        <v>16.381909547738694</v>
      </c>
    </row>
    <row r="1256" spans="1:7">
      <c r="A1256" s="3184">
        <v>1253</v>
      </c>
      <c r="B1256" s="3192">
        <v>-1583</v>
      </c>
      <c r="C1256" s="3189">
        <v>32.61</v>
      </c>
      <c r="D1256" s="3187" t="s">
        <v>4007</v>
      </c>
      <c r="E1256">
        <f t="shared" si="31"/>
        <v>4981</v>
      </c>
      <c r="F1256" s="3206">
        <f t="shared" ref="F1256:F1319" si="33">E1256*C1256</f>
        <v>162430.41</v>
      </c>
      <c r="G1256">
        <f t="shared" si="32"/>
        <v>16.381909547738694</v>
      </c>
    </row>
    <row r="1257" spans="1:7">
      <c r="A1257" s="3184">
        <v>1254</v>
      </c>
      <c r="B1257" s="3192">
        <v>-1584</v>
      </c>
      <c r="C1257" s="3189">
        <v>32.61</v>
      </c>
      <c r="D1257" s="3187" t="s">
        <v>4007</v>
      </c>
      <c r="E1257">
        <f t="shared" ref="E1257:E1320" si="34">E1256</f>
        <v>4981</v>
      </c>
      <c r="F1257" s="3206">
        <f t="shared" si="33"/>
        <v>162430.41</v>
      </c>
      <c r="G1257">
        <f t="shared" ref="G1257:G1320" si="35">G1256</f>
        <v>16.381909547738694</v>
      </c>
    </row>
    <row r="1258" spans="1:7">
      <c r="A1258" s="3184">
        <v>1255</v>
      </c>
      <c r="B1258" s="3192">
        <v>-1585</v>
      </c>
      <c r="C1258" s="3189">
        <v>32.61</v>
      </c>
      <c r="D1258" s="3187" t="s">
        <v>4007</v>
      </c>
      <c r="E1258">
        <f t="shared" si="34"/>
        <v>4981</v>
      </c>
      <c r="F1258" s="3206">
        <f t="shared" si="33"/>
        <v>162430.41</v>
      </c>
      <c r="G1258">
        <f t="shared" si="35"/>
        <v>16.381909547738694</v>
      </c>
    </row>
    <row r="1259" spans="1:7">
      <c r="A1259" s="3184">
        <v>1256</v>
      </c>
      <c r="B1259" s="3192">
        <v>-1586</v>
      </c>
      <c r="C1259" s="3189">
        <v>32.61</v>
      </c>
      <c r="D1259" s="3187" t="s">
        <v>4007</v>
      </c>
      <c r="E1259">
        <f t="shared" si="34"/>
        <v>4981</v>
      </c>
      <c r="F1259" s="3206">
        <f t="shared" si="33"/>
        <v>162430.41</v>
      </c>
      <c r="G1259">
        <f t="shared" si="35"/>
        <v>16.381909547738694</v>
      </c>
    </row>
    <row r="1260" spans="1:7">
      <c r="A1260" s="3184">
        <v>1257</v>
      </c>
      <c r="B1260" s="3192">
        <v>-1587</v>
      </c>
      <c r="C1260" s="3189">
        <v>32.61</v>
      </c>
      <c r="D1260" s="3187" t="s">
        <v>4007</v>
      </c>
      <c r="E1260">
        <f t="shared" si="34"/>
        <v>4981</v>
      </c>
      <c r="F1260" s="3206">
        <f t="shared" si="33"/>
        <v>162430.41</v>
      </c>
      <c r="G1260">
        <f t="shared" si="35"/>
        <v>16.381909547738694</v>
      </c>
    </row>
    <row r="1261" spans="1:7">
      <c r="A1261" s="3184">
        <v>1258</v>
      </c>
      <c r="B1261" s="3192">
        <v>-1588</v>
      </c>
      <c r="C1261" s="3189">
        <v>32.61</v>
      </c>
      <c r="D1261" s="3187" t="s">
        <v>4007</v>
      </c>
      <c r="E1261">
        <f t="shared" si="34"/>
        <v>4981</v>
      </c>
      <c r="F1261" s="3206">
        <f t="shared" si="33"/>
        <v>162430.41</v>
      </c>
      <c r="G1261">
        <f t="shared" si="35"/>
        <v>16.381909547738694</v>
      </c>
    </row>
    <row r="1262" spans="1:7">
      <c r="A1262" s="3184">
        <v>1259</v>
      </c>
      <c r="B1262" s="3192">
        <v>-1589</v>
      </c>
      <c r="C1262" s="3189">
        <v>32.61</v>
      </c>
      <c r="D1262" s="3187" t="s">
        <v>4007</v>
      </c>
      <c r="E1262">
        <f t="shared" si="34"/>
        <v>4981</v>
      </c>
      <c r="F1262" s="3206">
        <f t="shared" si="33"/>
        <v>162430.41</v>
      </c>
      <c r="G1262">
        <f t="shared" si="35"/>
        <v>16.381909547738694</v>
      </c>
    </row>
    <row r="1263" spans="1:7">
      <c r="A1263" s="3184">
        <v>1260</v>
      </c>
      <c r="B1263" s="3192">
        <v>-1590</v>
      </c>
      <c r="C1263" s="3189">
        <v>32.61</v>
      </c>
      <c r="D1263" s="3187" t="s">
        <v>4007</v>
      </c>
      <c r="E1263">
        <f t="shared" si="34"/>
        <v>4981</v>
      </c>
      <c r="F1263" s="3206">
        <f t="shared" si="33"/>
        <v>162430.41</v>
      </c>
      <c r="G1263">
        <f t="shared" si="35"/>
        <v>16.381909547738694</v>
      </c>
    </row>
    <row r="1264" spans="1:7">
      <c r="A1264" s="3184">
        <v>1261</v>
      </c>
      <c r="B1264" s="3192">
        <v>-1591</v>
      </c>
      <c r="C1264" s="3189">
        <v>32.61</v>
      </c>
      <c r="D1264" s="3187" t="s">
        <v>4007</v>
      </c>
      <c r="E1264">
        <f t="shared" si="34"/>
        <v>4981</v>
      </c>
      <c r="F1264" s="3206">
        <f t="shared" si="33"/>
        <v>162430.41</v>
      </c>
      <c r="G1264">
        <f t="shared" si="35"/>
        <v>16.381909547738694</v>
      </c>
    </row>
    <row r="1265" spans="1:7">
      <c r="A1265" s="3184">
        <v>1262</v>
      </c>
      <c r="B1265" s="3192">
        <v>-1592</v>
      </c>
      <c r="C1265" s="3189">
        <v>32.61</v>
      </c>
      <c r="D1265" s="3187" t="s">
        <v>4007</v>
      </c>
      <c r="E1265">
        <f t="shared" si="34"/>
        <v>4981</v>
      </c>
      <c r="F1265" s="3206">
        <f t="shared" si="33"/>
        <v>162430.41</v>
      </c>
      <c r="G1265">
        <f t="shared" si="35"/>
        <v>16.381909547738694</v>
      </c>
    </row>
    <row r="1266" spans="1:7">
      <c r="A1266" s="3184">
        <v>1263</v>
      </c>
      <c r="B1266" s="3192">
        <v>-1593</v>
      </c>
      <c r="C1266" s="3189">
        <v>32.61</v>
      </c>
      <c r="D1266" s="3187" t="s">
        <v>4007</v>
      </c>
      <c r="E1266">
        <f t="shared" si="34"/>
        <v>4981</v>
      </c>
      <c r="F1266" s="3206">
        <f t="shared" si="33"/>
        <v>162430.41</v>
      </c>
      <c r="G1266">
        <f t="shared" si="35"/>
        <v>16.381909547738694</v>
      </c>
    </row>
    <row r="1267" spans="1:7">
      <c r="A1267" s="3184">
        <v>1264</v>
      </c>
      <c r="B1267" s="3192">
        <v>-1594</v>
      </c>
      <c r="C1267" s="3189">
        <v>32.61</v>
      </c>
      <c r="D1267" s="3187" t="s">
        <v>4007</v>
      </c>
      <c r="E1267">
        <f t="shared" si="34"/>
        <v>4981</v>
      </c>
      <c r="F1267" s="3206">
        <f t="shared" si="33"/>
        <v>162430.41</v>
      </c>
      <c r="G1267">
        <f t="shared" si="35"/>
        <v>16.381909547738694</v>
      </c>
    </row>
    <row r="1268" spans="1:7">
      <c r="A1268" s="3184">
        <v>1265</v>
      </c>
      <c r="B1268" s="3192">
        <v>-1595</v>
      </c>
      <c r="C1268" s="3189">
        <v>32.61</v>
      </c>
      <c r="D1268" s="3187" t="s">
        <v>4007</v>
      </c>
      <c r="E1268">
        <f t="shared" si="34"/>
        <v>4981</v>
      </c>
      <c r="F1268" s="3206">
        <f t="shared" si="33"/>
        <v>162430.41</v>
      </c>
      <c r="G1268">
        <f t="shared" si="35"/>
        <v>16.381909547738694</v>
      </c>
    </row>
    <row r="1269" spans="1:7">
      <c r="A1269" s="3184">
        <v>1266</v>
      </c>
      <c r="B1269" s="3192">
        <v>-1596</v>
      </c>
      <c r="C1269" s="3189">
        <v>32.61</v>
      </c>
      <c r="D1269" s="3187" t="s">
        <v>4007</v>
      </c>
      <c r="E1269">
        <f t="shared" si="34"/>
        <v>4981</v>
      </c>
      <c r="F1269" s="3206">
        <f t="shared" si="33"/>
        <v>162430.41</v>
      </c>
      <c r="G1269">
        <f t="shared" si="35"/>
        <v>16.381909547738694</v>
      </c>
    </row>
    <row r="1270" spans="1:7">
      <c r="A1270" s="3184">
        <v>1267</v>
      </c>
      <c r="B1270" s="3192">
        <v>-1597</v>
      </c>
      <c r="C1270" s="3189">
        <v>32.61</v>
      </c>
      <c r="D1270" s="3187" t="s">
        <v>4007</v>
      </c>
      <c r="E1270">
        <f t="shared" si="34"/>
        <v>4981</v>
      </c>
      <c r="F1270" s="3206">
        <f t="shared" si="33"/>
        <v>162430.41</v>
      </c>
      <c r="G1270">
        <f t="shared" si="35"/>
        <v>16.381909547738694</v>
      </c>
    </row>
    <row r="1271" spans="1:7">
      <c r="A1271" s="3184">
        <v>1268</v>
      </c>
      <c r="B1271" s="3192">
        <v>-1598</v>
      </c>
      <c r="C1271" s="3189">
        <v>32.61</v>
      </c>
      <c r="D1271" s="3187" t="s">
        <v>4007</v>
      </c>
      <c r="E1271">
        <f t="shared" si="34"/>
        <v>4981</v>
      </c>
      <c r="F1271" s="3206">
        <f t="shared" si="33"/>
        <v>162430.41</v>
      </c>
      <c r="G1271">
        <f t="shared" si="35"/>
        <v>16.381909547738694</v>
      </c>
    </row>
    <row r="1272" spans="1:7">
      <c r="A1272" s="3184">
        <v>1269</v>
      </c>
      <c r="B1272" s="3192">
        <v>-1599</v>
      </c>
      <c r="C1272" s="3189">
        <v>32.61</v>
      </c>
      <c r="D1272" s="3187" t="s">
        <v>4007</v>
      </c>
      <c r="E1272">
        <f t="shared" si="34"/>
        <v>4981</v>
      </c>
      <c r="F1272" s="3206">
        <f t="shared" si="33"/>
        <v>162430.41</v>
      </c>
      <c r="G1272">
        <f t="shared" si="35"/>
        <v>16.381909547738694</v>
      </c>
    </row>
    <row r="1273" spans="1:7">
      <c r="A1273" s="3184">
        <v>1270</v>
      </c>
      <c r="B1273" s="3192">
        <v>-1600</v>
      </c>
      <c r="C1273" s="3189">
        <v>32.61</v>
      </c>
      <c r="D1273" s="3187" t="s">
        <v>4007</v>
      </c>
      <c r="E1273">
        <f t="shared" si="34"/>
        <v>4981</v>
      </c>
      <c r="F1273" s="3206">
        <f t="shared" si="33"/>
        <v>162430.41</v>
      </c>
      <c r="G1273">
        <f t="shared" si="35"/>
        <v>16.381909547738694</v>
      </c>
    </row>
    <row r="1274" spans="1:7">
      <c r="A1274" s="3184">
        <v>1271</v>
      </c>
      <c r="B1274" s="3192">
        <v>-1601</v>
      </c>
      <c r="C1274" s="3189">
        <v>32.61</v>
      </c>
      <c r="D1274" s="3187" t="s">
        <v>4007</v>
      </c>
      <c r="E1274">
        <f t="shared" si="34"/>
        <v>4981</v>
      </c>
      <c r="F1274" s="3206">
        <f t="shared" si="33"/>
        <v>162430.41</v>
      </c>
      <c r="G1274">
        <f t="shared" si="35"/>
        <v>16.381909547738694</v>
      </c>
    </row>
    <row r="1275" spans="1:7">
      <c r="A1275" s="3184">
        <v>1272</v>
      </c>
      <c r="B1275" s="3192">
        <v>-1602</v>
      </c>
      <c r="C1275" s="3189">
        <v>32.61</v>
      </c>
      <c r="D1275" s="3187" t="s">
        <v>4007</v>
      </c>
      <c r="E1275">
        <f t="shared" si="34"/>
        <v>4981</v>
      </c>
      <c r="F1275" s="3206">
        <f t="shared" si="33"/>
        <v>162430.41</v>
      </c>
      <c r="G1275">
        <f t="shared" si="35"/>
        <v>16.381909547738694</v>
      </c>
    </row>
    <row r="1276" spans="1:7">
      <c r="A1276" s="3184">
        <v>1273</v>
      </c>
      <c r="B1276" s="3192">
        <v>-1603</v>
      </c>
      <c r="C1276" s="3189">
        <v>32.61</v>
      </c>
      <c r="D1276" s="3187" t="s">
        <v>4007</v>
      </c>
      <c r="E1276">
        <f t="shared" si="34"/>
        <v>4981</v>
      </c>
      <c r="F1276" s="3206">
        <f t="shared" si="33"/>
        <v>162430.41</v>
      </c>
      <c r="G1276">
        <f t="shared" si="35"/>
        <v>16.381909547738694</v>
      </c>
    </row>
    <row r="1277" spans="1:7">
      <c r="A1277" s="3184">
        <v>1274</v>
      </c>
      <c r="B1277" s="3192">
        <v>-1604</v>
      </c>
      <c r="C1277" s="3189">
        <v>32.61</v>
      </c>
      <c r="D1277" s="3187" t="s">
        <v>4007</v>
      </c>
      <c r="E1277">
        <f t="shared" si="34"/>
        <v>4981</v>
      </c>
      <c r="F1277" s="3206">
        <f t="shared" si="33"/>
        <v>162430.41</v>
      </c>
      <c r="G1277">
        <f t="shared" si="35"/>
        <v>16.381909547738694</v>
      </c>
    </row>
    <row r="1278" spans="1:7">
      <c r="A1278" s="3184">
        <v>1275</v>
      </c>
      <c r="B1278" s="3192">
        <v>-1605</v>
      </c>
      <c r="C1278" s="3189">
        <v>32.61</v>
      </c>
      <c r="D1278" s="3187" t="s">
        <v>4007</v>
      </c>
      <c r="E1278">
        <f t="shared" si="34"/>
        <v>4981</v>
      </c>
      <c r="F1278" s="3206">
        <f t="shared" si="33"/>
        <v>162430.41</v>
      </c>
      <c r="G1278">
        <f t="shared" si="35"/>
        <v>16.381909547738694</v>
      </c>
    </row>
    <row r="1279" spans="1:7">
      <c r="A1279" s="3184">
        <v>1276</v>
      </c>
      <c r="B1279" s="3192">
        <v>-1606</v>
      </c>
      <c r="C1279" s="3189">
        <v>32.61</v>
      </c>
      <c r="D1279" s="3187" t="s">
        <v>4007</v>
      </c>
      <c r="E1279">
        <f t="shared" si="34"/>
        <v>4981</v>
      </c>
      <c r="F1279" s="3206">
        <f t="shared" si="33"/>
        <v>162430.41</v>
      </c>
      <c r="G1279">
        <f t="shared" si="35"/>
        <v>16.381909547738694</v>
      </c>
    </row>
    <row r="1280" spans="1:7">
      <c r="A1280" s="3184">
        <v>1277</v>
      </c>
      <c r="B1280" s="3192">
        <v>-1607</v>
      </c>
      <c r="C1280" s="3189">
        <v>32.61</v>
      </c>
      <c r="D1280" s="3187" t="s">
        <v>4007</v>
      </c>
      <c r="E1280">
        <f t="shared" si="34"/>
        <v>4981</v>
      </c>
      <c r="F1280" s="3206">
        <f t="shared" si="33"/>
        <v>162430.41</v>
      </c>
      <c r="G1280">
        <f t="shared" si="35"/>
        <v>16.381909547738694</v>
      </c>
    </row>
    <row r="1281" spans="1:7">
      <c r="A1281" s="3184">
        <v>1278</v>
      </c>
      <c r="B1281" s="3192">
        <v>-1608</v>
      </c>
      <c r="C1281" s="3189">
        <v>32.61</v>
      </c>
      <c r="D1281" s="3187" t="s">
        <v>4007</v>
      </c>
      <c r="E1281">
        <f t="shared" si="34"/>
        <v>4981</v>
      </c>
      <c r="F1281" s="3206">
        <f t="shared" si="33"/>
        <v>162430.41</v>
      </c>
      <c r="G1281">
        <f t="shared" si="35"/>
        <v>16.381909547738694</v>
      </c>
    </row>
    <row r="1282" spans="1:7">
      <c r="A1282" s="3184">
        <v>1279</v>
      </c>
      <c r="B1282" s="3192">
        <v>-1609</v>
      </c>
      <c r="C1282" s="3189">
        <v>32.61</v>
      </c>
      <c r="D1282" s="3187" t="s">
        <v>4007</v>
      </c>
      <c r="E1282">
        <f t="shared" si="34"/>
        <v>4981</v>
      </c>
      <c r="F1282" s="3206">
        <f t="shared" si="33"/>
        <v>162430.41</v>
      </c>
      <c r="G1282">
        <f t="shared" si="35"/>
        <v>16.381909547738694</v>
      </c>
    </row>
    <row r="1283" spans="1:7">
      <c r="A1283" s="3184">
        <v>1280</v>
      </c>
      <c r="B1283" s="3192">
        <v>-1610</v>
      </c>
      <c r="C1283" s="3189">
        <v>32.61</v>
      </c>
      <c r="D1283" s="3187" t="s">
        <v>4007</v>
      </c>
      <c r="E1283">
        <f t="shared" si="34"/>
        <v>4981</v>
      </c>
      <c r="F1283" s="3206">
        <f t="shared" si="33"/>
        <v>162430.41</v>
      </c>
      <c r="G1283">
        <f t="shared" si="35"/>
        <v>16.381909547738694</v>
      </c>
    </row>
    <row r="1284" spans="1:7">
      <c r="A1284" s="3184">
        <v>1281</v>
      </c>
      <c r="B1284" s="3192">
        <v>-1611</v>
      </c>
      <c r="C1284" s="3189">
        <v>32.61</v>
      </c>
      <c r="D1284" s="3187" t="s">
        <v>4007</v>
      </c>
      <c r="E1284">
        <f t="shared" si="34"/>
        <v>4981</v>
      </c>
      <c r="F1284" s="3206">
        <f t="shared" si="33"/>
        <v>162430.41</v>
      </c>
      <c r="G1284">
        <f t="shared" si="35"/>
        <v>16.381909547738694</v>
      </c>
    </row>
    <row r="1285" spans="1:7">
      <c r="A1285" s="3184">
        <v>1282</v>
      </c>
      <c r="B1285" s="3192">
        <v>-1612</v>
      </c>
      <c r="C1285" s="3189">
        <v>32.61</v>
      </c>
      <c r="D1285" s="3187" t="s">
        <v>4007</v>
      </c>
      <c r="E1285">
        <f t="shared" si="34"/>
        <v>4981</v>
      </c>
      <c r="F1285" s="3206">
        <f t="shared" si="33"/>
        <v>162430.41</v>
      </c>
      <c r="G1285">
        <f t="shared" si="35"/>
        <v>16.381909547738694</v>
      </c>
    </row>
    <row r="1286" spans="1:7">
      <c r="A1286" s="3184">
        <v>1283</v>
      </c>
      <c r="B1286" s="3192">
        <v>-1613</v>
      </c>
      <c r="C1286" s="3189">
        <v>32.61</v>
      </c>
      <c r="D1286" s="3187" t="s">
        <v>4007</v>
      </c>
      <c r="E1286">
        <f t="shared" si="34"/>
        <v>4981</v>
      </c>
      <c r="F1286" s="3206">
        <f t="shared" si="33"/>
        <v>162430.41</v>
      </c>
      <c r="G1286">
        <f t="shared" si="35"/>
        <v>16.381909547738694</v>
      </c>
    </row>
    <row r="1287" spans="1:7">
      <c r="A1287" s="3184">
        <v>1284</v>
      </c>
      <c r="B1287" s="3192">
        <v>-1614</v>
      </c>
      <c r="C1287" s="3189">
        <v>32.61</v>
      </c>
      <c r="D1287" s="3187" t="s">
        <v>4007</v>
      </c>
      <c r="E1287">
        <f t="shared" si="34"/>
        <v>4981</v>
      </c>
      <c r="F1287" s="3206">
        <f t="shared" si="33"/>
        <v>162430.41</v>
      </c>
      <c r="G1287">
        <f t="shared" si="35"/>
        <v>16.381909547738694</v>
      </c>
    </row>
    <row r="1288" spans="1:7">
      <c r="A1288" s="3184">
        <v>1285</v>
      </c>
      <c r="B1288" s="3192">
        <v>-1615</v>
      </c>
      <c r="C1288" s="3189">
        <v>32.61</v>
      </c>
      <c r="D1288" s="3187" t="s">
        <v>4007</v>
      </c>
      <c r="E1288">
        <f t="shared" si="34"/>
        <v>4981</v>
      </c>
      <c r="F1288" s="3206">
        <f t="shared" si="33"/>
        <v>162430.41</v>
      </c>
      <c r="G1288">
        <f t="shared" si="35"/>
        <v>16.381909547738694</v>
      </c>
    </row>
    <row r="1289" spans="1:7">
      <c r="A1289" s="3184">
        <v>1286</v>
      </c>
      <c r="B1289" s="3192">
        <v>-1616</v>
      </c>
      <c r="C1289" s="3189">
        <v>32.61</v>
      </c>
      <c r="D1289" s="3187" t="s">
        <v>4007</v>
      </c>
      <c r="E1289">
        <f t="shared" si="34"/>
        <v>4981</v>
      </c>
      <c r="F1289" s="3206">
        <f t="shared" si="33"/>
        <v>162430.41</v>
      </c>
      <c r="G1289">
        <f t="shared" si="35"/>
        <v>16.381909547738694</v>
      </c>
    </row>
    <row r="1290" spans="1:7">
      <c r="A1290" s="3184">
        <v>1287</v>
      </c>
      <c r="B1290" s="3192">
        <v>-1617</v>
      </c>
      <c r="C1290" s="3189">
        <v>32.61</v>
      </c>
      <c r="D1290" s="3187" t="s">
        <v>4007</v>
      </c>
      <c r="E1290">
        <f t="shared" si="34"/>
        <v>4981</v>
      </c>
      <c r="F1290" s="3206">
        <f t="shared" si="33"/>
        <v>162430.41</v>
      </c>
      <c r="G1290">
        <f t="shared" si="35"/>
        <v>16.381909547738694</v>
      </c>
    </row>
    <row r="1291" spans="1:7">
      <c r="A1291" s="3184">
        <v>1288</v>
      </c>
      <c r="B1291" s="3192">
        <v>-1618</v>
      </c>
      <c r="C1291" s="3189">
        <v>32.61</v>
      </c>
      <c r="D1291" s="3187" t="s">
        <v>4007</v>
      </c>
      <c r="E1291">
        <f t="shared" si="34"/>
        <v>4981</v>
      </c>
      <c r="F1291" s="3206">
        <f t="shared" si="33"/>
        <v>162430.41</v>
      </c>
      <c r="G1291">
        <f t="shared" si="35"/>
        <v>16.381909547738694</v>
      </c>
    </row>
    <row r="1292" spans="1:7">
      <c r="A1292" s="3184">
        <v>1289</v>
      </c>
      <c r="B1292" s="3192">
        <v>-1619</v>
      </c>
      <c r="C1292" s="3189">
        <v>32.61</v>
      </c>
      <c r="D1292" s="3187" t="s">
        <v>4007</v>
      </c>
      <c r="E1292">
        <f t="shared" si="34"/>
        <v>4981</v>
      </c>
      <c r="F1292" s="3206">
        <f t="shared" si="33"/>
        <v>162430.41</v>
      </c>
      <c r="G1292">
        <f t="shared" si="35"/>
        <v>16.381909547738694</v>
      </c>
    </row>
    <row r="1293" spans="1:7">
      <c r="A1293" s="3184">
        <v>1290</v>
      </c>
      <c r="B1293" s="3192">
        <v>-1620</v>
      </c>
      <c r="C1293" s="3189">
        <v>32.61</v>
      </c>
      <c r="D1293" s="3187" t="s">
        <v>4007</v>
      </c>
      <c r="E1293">
        <f t="shared" si="34"/>
        <v>4981</v>
      </c>
      <c r="F1293" s="3206">
        <f t="shared" si="33"/>
        <v>162430.41</v>
      </c>
      <c r="G1293">
        <f t="shared" si="35"/>
        <v>16.381909547738694</v>
      </c>
    </row>
    <row r="1294" spans="1:7">
      <c r="A1294" s="3184">
        <v>1291</v>
      </c>
      <c r="B1294" s="3192">
        <v>-1621</v>
      </c>
      <c r="C1294" s="3189">
        <v>32.61</v>
      </c>
      <c r="D1294" s="3187" t="s">
        <v>4007</v>
      </c>
      <c r="E1294">
        <f t="shared" si="34"/>
        <v>4981</v>
      </c>
      <c r="F1294" s="3206">
        <f t="shared" si="33"/>
        <v>162430.41</v>
      </c>
      <c r="G1294">
        <f t="shared" si="35"/>
        <v>16.381909547738694</v>
      </c>
    </row>
    <row r="1295" spans="1:7">
      <c r="A1295" s="3184">
        <v>1292</v>
      </c>
      <c r="B1295" s="3192">
        <v>-1622</v>
      </c>
      <c r="C1295" s="3189">
        <v>32.61</v>
      </c>
      <c r="D1295" s="3187" t="s">
        <v>4007</v>
      </c>
      <c r="E1295">
        <f t="shared" si="34"/>
        <v>4981</v>
      </c>
      <c r="F1295" s="3206">
        <f t="shared" si="33"/>
        <v>162430.41</v>
      </c>
      <c r="G1295">
        <f t="shared" si="35"/>
        <v>16.381909547738694</v>
      </c>
    </row>
    <row r="1296" spans="1:7">
      <c r="A1296" s="3184">
        <v>1293</v>
      </c>
      <c r="B1296" s="3192">
        <v>-1623</v>
      </c>
      <c r="C1296" s="3189">
        <v>32.61</v>
      </c>
      <c r="D1296" s="3187" t="s">
        <v>4007</v>
      </c>
      <c r="E1296">
        <f t="shared" si="34"/>
        <v>4981</v>
      </c>
      <c r="F1296" s="3206">
        <f t="shared" si="33"/>
        <v>162430.41</v>
      </c>
      <c r="G1296">
        <f t="shared" si="35"/>
        <v>16.381909547738694</v>
      </c>
    </row>
    <row r="1297" spans="1:7">
      <c r="A1297" s="3184">
        <v>1294</v>
      </c>
      <c r="B1297" s="3192">
        <v>-1624</v>
      </c>
      <c r="C1297" s="3189">
        <v>32.61</v>
      </c>
      <c r="D1297" s="3187" t="s">
        <v>4007</v>
      </c>
      <c r="E1297">
        <f t="shared" si="34"/>
        <v>4981</v>
      </c>
      <c r="F1297" s="3206">
        <f t="shared" si="33"/>
        <v>162430.41</v>
      </c>
      <c r="G1297">
        <f t="shared" si="35"/>
        <v>16.381909547738694</v>
      </c>
    </row>
    <row r="1298" spans="1:7">
      <c r="A1298" s="3184">
        <v>1295</v>
      </c>
      <c r="B1298" s="3192">
        <v>-1625</v>
      </c>
      <c r="C1298" s="3189">
        <v>32.61</v>
      </c>
      <c r="D1298" s="3187" t="s">
        <v>4007</v>
      </c>
      <c r="E1298">
        <f t="shared" si="34"/>
        <v>4981</v>
      </c>
      <c r="F1298" s="3206">
        <f t="shared" si="33"/>
        <v>162430.41</v>
      </c>
      <c r="G1298">
        <f t="shared" si="35"/>
        <v>16.381909547738694</v>
      </c>
    </row>
    <row r="1299" spans="1:7">
      <c r="A1299" s="3184">
        <v>1296</v>
      </c>
      <c r="B1299" s="3192">
        <v>-1626</v>
      </c>
      <c r="C1299" s="3189">
        <v>32.61</v>
      </c>
      <c r="D1299" s="3187" t="s">
        <v>4007</v>
      </c>
      <c r="E1299">
        <f t="shared" si="34"/>
        <v>4981</v>
      </c>
      <c r="F1299" s="3206">
        <f t="shared" si="33"/>
        <v>162430.41</v>
      </c>
      <c r="G1299">
        <f t="shared" si="35"/>
        <v>16.381909547738694</v>
      </c>
    </row>
    <row r="1300" spans="1:7">
      <c r="A1300" s="3184">
        <v>1297</v>
      </c>
      <c r="B1300" s="3192">
        <v>-1627</v>
      </c>
      <c r="C1300" s="3189">
        <v>32.61</v>
      </c>
      <c r="D1300" s="3187" t="s">
        <v>4007</v>
      </c>
      <c r="E1300">
        <f t="shared" si="34"/>
        <v>4981</v>
      </c>
      <c r="F1300" s="3206">
        <f t="shared" si="33"/>
        <v>162430.41</v>
      </c>
      <c r="G1300">
        <f t="shared" si="35"/>
        <v>16.381909547738694</v>
      </c>
    </row>
    <row r="1301" spans="1:7">
      <c r="A1301" s="3184">
        <v>1298</v>
      </c>
      <c r="B1301" s="3192">
        <v>-1628</v>
      </c>
      <c r="C1301" s="3189">
        <v>32.61</v>
      </c>
      <c r="D1301" s="3187" t="s">
        <v>4007</v>
      </c>
      <c r="E1301">
        <f t="shared" si="34"/>
        <v>4981</v>
      </c>
      <c r="F1301" s="3206">
        <f t="shared" si="33"/>
        <v>162430.41</v>
      </c>
      <c r="G1301">
        <f t="shared" si="35"/>
        <v>16.381909547738694</v>
      </c>
    </row>
    <row r="1302" spans="1:7">
      <c r="A1302" s="3184">
        <v>1299</v>
      </c>
      <c r="B1302" s="3192">
        <v>-1629</v>
      </c>
      <c r="C1302" s="3189">
        <v>32.61</v>
      </c>
      <c r="D1302" s="3187" t="s">
        <v>4007</v>
      </c>
      <c r="E1302">
        <f t="shared" si="34"/>
        <v>4981</v>
      </c>
      <c r="F1302" s="3206">
        <f t="shared" si="33"/>
        <v>162430.41</v>
      </c>
      <c r="G1302">
        <f t="shared" si="35"/>
        <v>16.381909547738694</v>
      </c>
    </row>
    <row r="1303" spans="1:7">
      <c r="A1303" s="3184">
        <v>1300</v>
      </c>
      <c r="B1303" s="3192">
        <v>-1630</v>
      </c>
      <c r="C1303" s="3189">
        <v>32.61</v>
      </c>
      <c r="D1303" s="3187" t="s">
        <v>4007</v>
      </c>
      <c r="E1303">
        <f t="shared" si="34"/>
        <v>4981</v>
      </c>
      <c r="F1303" s="3206">
        <f t="shared" si="33"/>
        <v>162430.41</v>
      </c>
      <c r="G1303">
        <f t="shared" si="35"/>
        <v>16.381909547738694</v>
      </c>
    </row>
    <row r="1304" spans="1:7">
      <c r="A1304" s="3184">
        <v>1301</v>
      </c>
      <c r="B1304" s="3192">
        <v>-1631</v>
      </c>
      <c r="C1304" s="3189">
        <v>32.61</v>
      </c>
      <c r="D1304" s="3187" t="s">
        <v>4007</v>
      </c>
      <c r="E1304">
        <f t="shared" si="34"/>
        <v>4981</v>
      </c>
      <c r="F1304" s="3206">
        <f t="shared" si="33"/>
        <v>162430.41</v>
      </c>
      <c r="G1304">
        <f t="shared" si="35"/>
        <v>16.381909547738694</v>
      </c>
    </row>
    <row r="1305" spans="1:7">
      <c r="A1305" s="3184">
        <v>1302</v>
      </c>
      <c r="B1305" s="3192">
        <v>-1632</v>
      </c>
      <c r="C1305" s="3189">
        <v>32.61</v>
      </c>
      <c r="D1305" s="3187" t="s">
        <v>4007</v>
      </c>
      <c r="E1305">
        <f t="shared" si="34"/>
        <v>4981</v>
      </c>
      <c r="F1305" s="3206">
        <f t="shared" si="33"/>
        <v>162430.41</v>
      </c>
      <c r="G1305">
        <f t="shared" si="35"/>
        <v>16.381909547738694</v>
      </c>
    </row>
    <row r="1306" spans="1:7">
      <c r="A1306" s="3184">
        <v>1303</v>
      </c>
      <c r="B1306" s="3192">
        <v>-1633</v>
      </c>
      <c r="C1306" s="3189">
        <v>32.61</v>
      </c>
      <c r="D1306" s="3187" t="s">
        <v>4007</v>
      </c>
      <c r="E1306">
        <f t="shared" si="34"/>
        <v>4981</v>
      </c>
      <c r="F1306" s="3206">
        <f t="shared" si="33"/>
        <v>162430.41</v>
      </c>
      <c r="G1306">
        <f t="shared" si="35"/>
        <v>16.381909547738694</v>
      </c>
    </row>
    <row r="1307" spans="1:7">
      <c r="A1307" s="3184">
        <v>1304</v>
      </c>
      <c r="B1307" s="3192">
        <v>-1634</v>
      </c>
      <c r="C1307" s="3189">
        <v>32.61</v>
      </c>
      <c r="D1307" s="3187" t="s">
        <v>4007</v>
      </c>
      <c r="E1307">
        <f t="shared" si="34"/>
        <v>4981</v>
      </c>
      <c r="F1307" s="3206">
        <f t="shared" si="33"/>
        <v>162430.41</v>
      </c>
      <c r="G1307">
        <f t="shared" si="35"/>
        <v>16.381909547738694</v>
      </c>
    </row>
    <row r="1308" spans="1:7">
      <c r="A1308" s="3184">
        <v>1305</v>
      </c>
      <c r="B1308" s="3192">
        <v>-1635</v>
      </c>
      <c r="C1308" s="3189">
        <v>32.61</v>
      </c>
      <c r="D1308" s="3187" t="s">
        <v>4007</v>
      </c>
      <c r="E1308">
        <f t="shared" si="34"/>
        <v>4981</v>
      </c>
      <c r="F1308" s="3206">
        <f t="shared" si="33"/>
        <v>162430.41</v>
      </c>
      <c r="G1308">
        <f t="shared" si="35"/>
        <v>16.381909547738694</v>
      </c>
    </row>
    <row r="1309" spans="1:7">
      <c r="A1309" s="3184">
        <v>1306</v>
      </c>
      <c r="B1309" s="3192">
        <v>-1636</v>
      </c>
      <c r="C1309" s="3189">
        <v>32.61</v>
      </c>
      <c r="D1309" s="3187" t="s">
        <v>4007</v>
      </c>
      <c r="E1309">
        <f t="shared" si="34"/>
        <v>4981</v>
      </c>
      <c r="F1309" s="3206">
        <f t="shared" si="33"/>
        <v>162430.41</v>
      </c>
      <c r="G1309">
        <f t="shared" si="35"/>
        <v>16.381909547738694</v>
      </c>
    </row>
    <row r="1310" spans="1:7">
      <c r="A1310" s="3184">
        <v>1307</v>
      </c>
      <c r="B1310" s="3192">
        <v>-1637</v>
      </c>
      <c r="C1310" s="3189">
        <v>32.61</v>
      </c>
      <c r="D1310" s="3187" t="s">
        <v>4007</v>
      </c>
      <c r="E1310">
        <f t="shared" si="34"/>
        <v>4981</v>
      </c>
      <c r="F1310" s="3206">
        <f t="shared" si="33"/>
        <v>162430.41</v>
      </c>
      <c r="G1310">
        <f t="shared" si="35"/>
        <v>16.381909547738694</v>
      </c>
    </row>
    <row r="1311" spans="1:7">
      <c r="A1311" s="3184">
        <v>1308</v>
      </c>
      <c r="B1311" s="3192">
        <v>-1638</v>
      </c>
      <c r="C1311" s="3189">
        <v>32.61</v>
      </c>
      <c r="D1311" s="3187" t="s">
        <v>4007</v>
      </c>
      <c r="E1311">
        <f t="shared" si="34"/>
        <v>4981</v>
      </c>
      <c r="F1311" s="3206">
        <f t="shared" si="33"/>
        <v>162430.41</v>
      </c>
      <c r="G1311">
        <f t="shared" si="35"/>
        <v>16.381909547738694</v>
      </c>
    </row>
    <row r="1312" spans="1:7">
      <c r="A1312" s="3184">
        <v>1309</v>
      </c>
      <c r="B1312" s="3192">
        <v>-1639</v>
      </c>
      <c r="C1312" s="3189">
        <v>32.61</v>
      </c>
      <c r="D1312" s="3187" t="s">
        <v>4007</v>
      </c>
      <c r="E1312">
        <f t="shared" si="34"/>
        <v>4981</v>
      </c>
      <c r="F1312" s="3206">
        <f t="shared" si="33"/>
        <v>162430.41</v>
      </c>
      <c r="G1312">
        <f t="shared" si="35"/>
        <v>16.381909547738694</v>
      </c>
    </row>
    <row r="1313" spans="1:7">
      <c r="A1313" s="3184">
        <v>1310</v>
      </c>
      <c r="B1313" s="3192">
        <v>-1640</v>
      </c>
      <c r="C1313" s="3189">
        <v>32.61</v>
      </c>
      <c r="D1313" s="3187" t="s">
        <v>4007</v>
      </c>
      <c r="E1313">
        <f t="shared" si="34"/>
        <v>4981</v>
      </c>
      <c r="F1313" s="3206">
        <f t="shared" si="33"/>
        <v>162430.41</v>
      </c>
      <c r="G1313">
        <f t="shared" si="35"/>
        <v>16.381909547738694</v>
      </c>
    </row>
    <row r="1314" spans="1:7">
      <c r="A1314" s="3184">
        <v>1311</v>
      </c>
      <c r="B1314" s="3192">
        <v>-1641</v>
      </c>
      <c r="C1314" s="3189">
        <v>32.61</v>
      </c>
      <c r="D1314" s="3187" t="s">
        <v>4007</v>
      </c>
      <c r="E1314">
        <f t="shared" si="34"/>
        <v>4981</v>
      </c>
      <c r="F1314" s="3206">
        <f t="shared" si="33"/>
        <v>162430.41</v>
      </c>
      <c r="G1314">
        <f t="shared" si="35"/>
        <v>16.381909547738694</v>
      </c>
    </row>
    <row r="1315" spans="1:7">
      <c r="A1315" s="3184">
        <v>1312</v>
      </c>
      <c r="B1315" s="3192">
        <v>-1642</v>
      </c>
      <c r="C1315" s="3189">
        <v>32.61</v>
      </c>
      <c r="D1315" s="3187" t="s">
        <v>4007</v>
      </c>
      <c r="E1315">
        <f t="shared" si="34"/>
        <v>4981</v>
      </c>
      <c r="F1315" s="3206">
        <f t="shared" si="33"/>
        <v>162430.41</v>
      </c>
      <c r="G1315">
        <f t="shared" si="35"/>
        <v>16.381909547738694</v>
      </c>
    </row>
    <row r="1316" spans="1:7">
      <c r="A1316" s="3184">
        <v>1313</v>
      </c>
      <c r="B1316" s="3192">
        <v>-1643</v>
      </c>
      <c r="C1316" s="3189">
        <v>32.61</v>
      </c>
      <c r="D1316" s="3187" t="s">
        <v>4007</v>
      </c>
      <c r="E1316">
        <f t="shared" si="34"/>
        <v>4981</v>
      </c>
      <c r="F1316" s="3206">
        <f t="shared" si="33"/>
        <v>162430.41</v>
      </c>
      <c r="G1316">
        <f t="shared" si="35"/>
        <v>16.381909547738694</v>
      </c>
    </row>
    <row r="1317" spans="1:7">
      <c r="A1317" s="3184">
        <v>1314</v>
      </c>
      <c r="B1317" s="3192">
        <v>-1644</v>
      </c>
      <c r="C1317" s="3189">
        <v>32.61</v>
      </c>
      <c r="D1317" s="3187" t="s">
        <v>4007</v>
      </c>
      <c r="E1317">
        <f t="shared" si="34"/>
        <v>4981</v>
      </c>
      <c r="F1317" s="3206">
        <f t="shared" si="33"/>
        <v>162430.41</v>
      </c>
      <c r="G1317">
        <f t="shared" si="35"/>
        <v>16.381909547738694</v>
      </c>
    </row>
    <row r="1318" spans="1:7">
      <c r="A1318" s="3184">
        <v>1315</v>
      </c>
      <c r="B1318" s="3192">
        <v>-1645</v>
      </c>
      <c r="C1318" s="3189">
        <v>32.61</v>
      </c>
      <c r="D1318" s="3187" t="s">
        <v>4007</v>
      </c>
      <c r="E1318">
        <f t="shared" si="34"/>
        <v>4981</v>
      </c>
      <c r="F1318" s="3206">
        <f t="shared" si="33"/>
        <v>162430.41</v>
      </c>
      <c r="G1318">
        <f t="shared" si="35"/>
        <v>16.381909547738694</v>
      </c>
    </row>
    <row r="1319" spans="1:7">
      <c r="A1319" s="3184">
        <v>1316</v>
      </c>
      <c r="B1319" s="3192">
        <v>-1646</v>
      </c>
      <c r="C1319" s="3189">
        <v>32.61</v>
      </c>
      <c r="D1319" s="3187" t="s">
        <v>4007</v>
      </c>
      <c r="E1319">
        <f t="shared" si="34"/>
        <v>4981</v>
      </c>
      <c r="F1319" s="3206">
        <f t="shared" si="33"/>
        <v>162430.41</v>
      </c>
      <c r="G1319">
        <f t="shared" si="35"/>
        <v>16.381909547738694</v>
      </c>
    </row>
    <row r="1320" spans="1:7">
      <c r="A1320" s="3184">
        <v>1317</v>
      </c>
      <c r="B1320" s="3192">
        <v>-1647</v>
      </c>
      <c r="C1320" s="3189">
        <v>32.61</v>
      </c>
      <c r="D1320" s="3187" t="s">
        <v>4007</v>
      </c>
      <c r="E1320">
        <f t="shared" si="34"/>
        <v>4981</v>
      </c>
      <c r="F1320" s="3206">
        <f t="shared" ref="F1320:F1383" si="36">E1320*C1320</f>
        <v>162430.41</v>
      </c>
      <c r="G1320">
        <f t="shared" si="35"/>
        <v>16.381909547738694</v>
      </c>
    </row>
    <row r="1321" spans="1:7">
      <c r="A1321" s="3184">
        <v>1318</v>
      </c>
      <c r="B1321" s="3192">
        <v>-1648</v>
      </c>
      <c r="C1321" s="3189">
        <v>32.61</v>
      </c>
      <c r="D1321" s="3187" t="s">
        <v>4007</v>
      </c>
      <c r="E1321">
        <f t="shared" ref="E1321:E1384" si="37">E1320</f>
        <v>4981</v>
      </c>
      <c r="F1321" s="3206">
        <f t="shared" si="36"/>
        <v>162430.41</v>
      </c>
      <c r="G1321">
        <f t="shared" ref="G1321:G1384" si="38">G1320</f>
        <v>16.381909547738694</v>
      </c>
    </row>
    <row r="1322" spans="1:7">
      <c r="A1322" s="3184">
        <v>1319</v>
      </c>
      <c r="B1322" s="3192">
        <v>-1649</v>
      </c>
      <c r="C1322" s="3189">
        <v>32.61</v>
      </c>
      <c r="D1322" s="3187" t="s">
        <v>4007</v>
      </c>
      <c r="E1322">
        <f t="shared" si="37"/>
        <v>4981</v>
      </c>
      <c r="F1322" s="3206">
        <f t="shared" si="36"/>
        <v>162430.41</v>
      </c>
      <c r="G1322">
        <f t="shared" si="38"/>
        <v>16.381909547738694</v>
      </c>
    </row>
    <row r="1323" spans="1:7">
      <c r="A1323" s="3184">
        <v>1320</v>
      </c>
      <c r="B1323" s="3192">
        <v>-1650</v>
      </c>
      <c r="C1323" s="3189">
        <v>32.61</v>
      </c>
      <c r="D1323" s="3187" t="s">
        <v>4007</v>
      </c>
      <c r="E1323">
        <f t="shared" si="37"/>
        <v>4981</v>
      </c>
      <c r="F1323" s="3206">
        <f t="shared" si="36"/>
        <v>162430.41</v>
      </c>
      <c r="G1323">
        <f t="shared" si="38"/>
        <v>16.381909547738694</v>
      </c>
    </row>
    <row r="1324" spans="1:7">
      <c r="A1324" s="3184">
        <v>1321</v>
      </c>
      <c r="B1324" s="3192">
        <v>-1651</v>
      </c>
      <c r="C1324" s="3189">
        <v>32.61</v>
      </c>
      <c r="D1324" s="3187" t="s">
        <v>4007</v>
      </c>
      <c r="E1324">
        <f t="shared" si="37"/>
        <v>4981</v>
      </c>
      <c r="F1324" s="3206">
        <f t="shared" si="36"/>
        <v>162430.41</v>
      </c>
      <c r="G1324">
        <f t="shared" si="38"/>
        <v>16.381909547738694</v>
      </c>
    </row>
    <row r="1325" spans="1:7">
      <c r="A1325" s="3184">
        <v>1322</v>
      </c>
      <c r="B1325" s="3192">
        <v>-1652</v>
      </c>
      <c r="C1325" s="3189">
        <v>32.61</v>
      </c>
      <c r="D1325" s="3187" t="s">
        <v>4007</v>
      </c>
      <c r="E1325">
        <f t="shared" si="37"/>
        <v>4981</v>
      </c>
      <c r="F1325" s="3206">
        <f t="shared" si="36"/>
        <v>162430.41</v>
      </c>
      <c r="G1325">
        <f t="shared" si="38"/>
        <v>16.381909547738694</v>
      </c>
    </row>
    <row r="1326" spans="1:7">
      <c r="A1326" s="3184">
        <v>1323</v>
      </c>
      <c r="B1326" s="3192">
        <v>-1653</v>
      </c>
      <c r="C1326" s="3189">
        <v>32.61</v>
      </c>
      <c r="D1326" s="3187" t="s">
        <v>4007</v>
      </c>
      <c r="E1326">
        <f t="shared" si="37"/>
        <v>4981</v>
      </c>
      <c r="F1326" s="3206">
        <f t="shared" si="36"/>
        <v>162430.41</v>
      </c>
      <c r="G1326">
        <f t="shared" si="38"/>
        <v>16.381909547738694</v>
      </c>
    </row>
    <row r="1327" spans="1:7">
      <c r="A1327" s="3184">
        <v>1324</v>
      </c>
      <c r="B1327" s="3192">
        <v>-1654</v>
      </c>
      <c r="C1327" s="3189">
        <v>32.61</v>
      </c>
      <c r="D1327" s="3187" t="s">
        <v>4007</v>
      </c>
      <c r="E1327">
        <f t="shared" si="37"/>
        <v>4981</v>
      </c>
      <c r="F1327" s="3206">
        <f t="shared" si="36"/>
        <v>162430.41</v>
      </c>
      <c r="G1327">
        <f t="shared" si="38"/>
        <v>16.381909547738694</v>
      </c>
    </row>
    <row r="1328" spans="1:7">
      <c r="A1328" s="3184">
        <v>1325</v>
      </c>
      <c r="B1328" s="3192">
        <v>-1655</v>
      </c>
      <c r="C1328" s="3189">
        <v>32.61</v>
      </c>
      <c r="D1328" s="3187" t="s">
        <v>4007</v>
      </c>
      <c r="E1328">
        <f t="shared" si="37"/>
        <v>4981</v>
      </c>
      <c r="F1328" s="3206">
        <f t="shared" si="36"/>
        <v>162430.41</v>
      </c>
      <c r="G1328">
        <f t="shared" si="38"/>
        <v>16.381909547738694</v>
      </c>
    </row>
    <row r="1329" spans="1:7">
      <c r="A1329" s="3184">
        <v>1326</v>
      </c>
      <c r="B1329" s="3192">
        <v>-1656</v>
      </c>
      <c r="C1329" s="3189">
        <v>32.61</v>
      </c>
      <c r="D1329" s="3187" t="s">
        <v>4007</v>
      </c>
      <c r="E1329">
        <f t="shared" si="37"/>
        <v>4981</v>
      </c>
      <c r="F1329" s="3206">
        <f t="shared" si="36"/>
        <v>162430.41</v>
      </c>
      <c r="G1329">
        <f t="shared" si="38"/>
        <v>16.381909547738694</v>
      </c>
    </row>
    <row r="1330" spans="1:7">
      <c r="A1330" s="3184">
        <v>1327</v>
      </c>
      <c r="B1330" s="3192">
        <v>-1657</v>
      </c>
      <c r="C1330" s="3189">
        <v>32.61</v>
      </c>
      <c r="D1330" s="3187" t="s">
        <v>4007</v>
      </c>
      <c r="E1330">
        <f t="shared" si="37"/>
        <v>4981</v>
      </c>
      <c r="F1330" s="3206">
        <f t="shared" si="36"/>
        <v>162430.41</v>
      </c>
      <c r="G1330">
        <f t="shared" si="38"/>
        <v>16.381909547738694</v>
      </c>
    </row>
    <row r="1331" spans="1:7">
      <c r="A1331" s="3184">
        <v>1328</v>
      </c>
      <c r="B1331" s="3192">
        <v>-1658</v>
      </c>
      <c r="C1331" s="3189">
        <v>32.61</v>
      </c>
      <c r="D1331" s="3187" t="s">
        <v>4007</v>
      </c>
      <c r="E1331">
        <f t="shared" si="37"/>
        <v>4981</v>
      </c>
      <c r="F1331" s="3206">
        <f t="shared" si="36"/>
        <v>162430.41</v>
      </c>
      <c r="G1331">
        <f t="shared" si="38"/>
        <v>16.381909547738694</v>
      </c>
    </row>
    <row r="1332" spans="1:7">
      <c r="A1332" s="3184">
        <v>1329</v>
      </c>
      <c r="B1332" s="3192">
        <v>-1659</v>
      </c>
      <c r="C1332" s="3189">
        <v>32.61</v>
      </c>
      <c r="D1332" s="3187" t="s">
        <v>4007</v>
      </c>
      <c r="E1332">
        <f t="shared" si="37"/>
        <v>4981</v>
      </c>
      <c r="F1332" s="3206">
        <f t="shared" si="36"/>
        <v>162430.41</v>
      </c>
      <c r="G1332">
        <f t="shared" si="38"/>
        <v>16.381909547738694</v>
      </c>
    </row>
    <row r="1333" spans="1:7">
      <c r="A1333" s="3184">
        <v>1330</v>
      </c>
      <c r="B1333" s="3192">
        <v>-1660</v>
      </c>
      <c r="C1333" s="3189">
        <v>32.61</v>
      </c>
      <c r="D1333" s="3187" t="s">
        <v>4007</v>
      </c>
      <c r="E1333">
        <f t="shared" si="37"/>
        <v>4981</v>
      </c>
      <c r="F1333" s="3206">
        <f t="shared" si="36"/>
        <v>162430.41</v>
      </c>
      <c r="G1333">
        <f t="shared" si="38"/>
        <v>16.381909547738694</v>
      </c>
    </row>
    <row r="1334" spans="1:7">
      <c r="A1334" s="3184">
        <v>1331</v>
      </c>
      <c r="B1334" s="3192">
        <v>-1661</v>
      </c>
      <c r="C1334" s="3189">
        <v>32.61</v>
      </c>
      <c r="D1334" s="3187" t="s">
        <v>4007</v>
      </c>
      <c r="E1334">
        <f t="shared" si="37"/>
        <v>4981</v>
      </c>
      <c r="F1334" s="3206">
        <f t="shared" si="36"/>
        <v>162430.41</v>
      </c>
      <c r="G1334">
        <f t="shared" si="38"/>
        <v>16.381909547738694</v>
      </c>
    </row>
    <row r="1335" spans="1:7">
      <c r="A1335" s="3184">
        <v>1332</v>
      </c>
      <c r="B1335" s="3192">
        <v>-1662</v>
      </c>
      <c r="C1335" s="3189">
        <v>32.61</v>
      </c>
      <c r="D1335" s="3187" t="s">
        <v>4007</v>
      </c>
      <c r="E1335">
        <f t="shared" si="37"/>
        <v>4981</v>
      </c>
      <c r="F1335" s="3206">
        <f t="shared" si="36"/>
        <v>162430.41</v>
      </c>
      <c r="G1335">
        <f t="shared" si="38"/>
        <v>16.381909547738694</v>
      </c>
    </row>
    <row r="1336" spans="1:7">
      <c r="A1336" s="3184">
        <v>1333</v>
      </c>
      <c r="B1336" s="3192">
        <v>-1663</v>
      </c>
      <c r="C1336" s="3189">
        <v>32.61</v>
      </c>
      <c r="D1336" s="3187" t="s">
        <v>4007</v>
      </c>
      <c r="E1336">
        <f t="shared" si="37"/>
        <v>4981</v>
      </c>
      <c r="F1336" s="3206">
        <f t="shared" si="36"/>
        <v>162430.41</v>
      </c>
      <c r="G1336">
        <f t="shared" si="38"/>
        <v>16.381909547738694</v>
      </c>
    </row>
    <row r="1337" spans="1:7">
      <c r="A1337" s="3184">
        <v>1334</v>
      </c>
      <c r="B1337" s="3192">
        <v>-1664</v>
      </c>
      <c r="C1337" s="3189">
        <v>32.61</v>
      </c>
      <c r="D1337" s="3187" t="s">
        <v>4007</v>
      </c>
      <c r="E1337">
        <f t="shared" si="37"/>
        <v>4981</v>
      </c>
      <c r="F1337" s="3206">
        <f t="shared" si="36"/>
        <v>162430.41</v>
      </c>
      <c r="G1337">
        <f t="shared" si="38"/>
        <v>16.381909547738694</v>
      </c>
    </row>
    <row r="1338" spans="1:7">
      <c r="A1338" s="3184">
        <v>1335</v>
      </c>
      <c r="B1338" s="3192">
        <v>-1665</v>
      </c>
      <c r="C1338" s="3189">
        <v>32.61</v>
      </c>
      <c r="D1338" s="3187" t="s">
        <v>4007</v>
      </c>
      <c r="E1338">
        <f t="shared" si="37"/>
        <v>4981</v>
      </c>
      <c r="F1338" s="3206">
        <f t="shared" si="36"/>
        <v>162430.41</v>
      </c>
      <c r="G1338">
        <f t="shared" si="38"/>
        <v>16.381909547738694</v>
      </c>
    </row>
    <row r="1339" spans="1:7">
      <c r="A1339" s="3184">
        <v>1336</v>
      </c>
      <c r="B1339" s="3192">
        <v>-1666</v>
      </c>
      <c r="C1339" s="3189">
        <v>32.61</v>
      </c>
      <c r="D1339" s="3187" t="s">
        <v>4007</v>
      </c>
      <c r="E1339">
        <f t="shared" si="37"/>
        <v>4981</v>
      </c>
      <c r="F1339" s="3206">
        <f t="shared" si="36"/>
        <v>162430.41</v>
      </c>
      <c r="G1339">
        <f t="shared" si="38"/>
        <v>16.381909547738694</v>
      </c>
    </row>
    <row r="1340" spans="1:7">
      <c r="A1340" s="3184">
        <v>1337</v>
      </c>
      <c r="B1340" s="3192">
        <v>-1667</v>
      </c>
      <c r="C1340" s="3189">
        <v>32.61</v>
      </c>
      <c r="D1340" s="3187" t="s">
        <v>4007</v>
      </c>
      <c r="E1340">
        <f t="shared" si="37"/>
        <v>4981</v>
      </c>
      <c r="F1340" s="3206">
        <f t="shared" si="36"/>
        <v>162430.41</v>
      </c>
      <c r="G1340">
        <f t="shared" si="38"/>
        <v>16.381909547738694</v>
      </c>
    </row>
    <row r="1341" spans="1:7">
      <c r="A1341" s="3184">
        <v>1338</v>
      </c>
      <c r="B1341" s="3192">
        <v>-1668</v>
      </c>
      <c r="C1341" s="3189">
        <v>32.61</v>
      </c>
      <c r="D1341" s="3187" t="s">
        <v>4007</v>
      </c>
      <c r="E1341">
        <f t="shared" si="37"/>
        <v>4981</v>
      </c>
      <c r="F1341" s="3206">
        <f t="shared" si="36"/>
        <v>162430.41</v>
      </c>
      <c r="G1341">
        <f t="shared" si="38"/>
        <v>16.381909547738694</v>
      </c>
    </row>
    <row r="1342" spans="1:7">
      <c r="A1342" s="3184">
        <v>1339</v>
      </c>
      <c r="B1342" s="3192">
        <v>-1669</v>
      </c>
      <c r="C1342" s="3189">
        <v>32.61</v>
      </c>
      <c r="D1342" s="3187" t="s">
        <v>4007</v>
      </c>
      <c r="E1342">
        <f t="shared" si="37"/>
        <v>4981</v>
      </c>
      <c r="F1342" s="3206">
        <f t="shared" si="36"/>
        <v>162430.41</v>
      </c>
      <c r="G1342">
        <f t="shared" si="38"/>
        <v>16.381909547738694</v>
      </c>
    </row>
    <row r="1343" spans="1:7">
      <c r="A1343" s="3184">
        <v>1340</v>
      </c>
      <c r="B1343" s="3192">
        <v>-1670</v>
      </c>
      <c r="C1343" s="3189">
        <v>32.61</v>
      </c>
      <c r="D1343" s="3187" t="s">
        <v>4007</v>
      </c>
      <c r="E1343">
        <f t="shared" si="37"/>
        <v>4981</v>
      </c>
      <c r="F1343" s="3206">
        <f t="shared" si="36"/>
        <v>162430.41</v>
      </c>
      <c r="G1343">
        <f t="shared" si="38"/>
        <v>16.381909547738694</v>
      </c>
    </row>
    <row r="1344" spans="1:7">
      <c r="A1344" s="3184">
        <v>1341</v>
      </c>
      <c r="B1344" s="3192">
        <v>-1671</v>
      </c>
      <c r="C1344" s="3189">
        <v>32.61</v>
      </c>
      <c r="D1344" s="3187" t="s">
        <v>4007</v>
      </c>
      <c r="E1344">
        <f t="shared" si="37"/>
        <v>4981</v>
      </c>
      <c r="F1344" s="3206">
        <f t="shared" si="36"/>
        <v>162430.41</v>
      </c>
      <c r="G1344">
        <f t="shared" si="38"/>
        <v>16.381909547738694</v>
      </c>
    </row>
    <row r="1345" spans="1:7">
      <c r="A1345" s="3184">
        <v>1342</v>
      </c>
      <c r="B1345" s="3192">
        <v>-1672</v>
      </c>
      <c r="C1345" s="3189">
        <v>32.61</v>
      </c>
      <c r="D1345" s="3187" t="s">
        <v>4007</v>
      </c>
      <c r="E1345">
        <f t="shared" si="37"/>
        <v>4981</v>
      </c>
      <c r="F1345" s="3206">
        <f t="shared" si="36"/>
        <v>162430.41</v>
      </c>
      <c r="G1345">
        <f t="shared" si="38"/>
        <v>16.381909547738694</v>
      </c>
    </row>
    <row r="1346" spans="1:7">
      <c r="A1346" s="3184">
        <v>1343</v>
      </c>
      <c r="B1346" s="3192">
        <v>-1673</v>
      </c>
      <c r="C1346" s="3189">
        <v>32.61</v>
      </c>
      <c r="D1346" s="3187" t="s">
        <v>4007</v>
      </c>
      <c r="E1346">
        <f t="shared" si="37"/>
        <v>4981</v>
      </c>
      <c r="F1346" s="3206">
        <f t="shared" si="36"/>
        <v>162430.41</v>
      </c>
      <c r="G1346">
        <f t="shared" si="38"/>
        <v>16.381909547738694</v>
      </c>
    </row>
    <row r="1347" spans="1:7">
      <c r="A1347" s="3184">
        <v>1344</v>
      </c>
      <c r="B1347" s="3192">
        <v>-1674</v>
      </c>
      <c r="C1347" s="3189">
        <v>32.61</v>
      </c>
      <c r="D1347" s="3187" t="s">
        <v>4007</v>
      </c>
      <c r="E1347">
        <f t="shared" si="37"/>
        <v>4981</v>
      </c>
      <c r="F1347" s="3206">
        <f t="shared" si="36"/>
        <v>162430.41</v>
      </c>
      <c r="G1347">
        <f t="shared" si="38"/>
        <v>16.381909547738694</v>
      </c>
    </row>
    <row r="1348" spans="1:7">
      <c r="A1348" s="3184">
        <v>1345</v>
      </c>
      <c r="B1348" s="3192">
        <v>-1675</v>
      </c>
      <c r="C1348" s="3189">
        <v>32.61</v>
      </c>
      <c r="D1348" s="3187" t="s">
        <v>4007</v>
      </c>
      <c r="E1348">
        <f t="shared" si="37"/>
        <v>4981</v>
      </c>
      <c r="F1348" s="3206">
        <f t="shared" si="36"/>
        <v>162430.41</v>
      </c>
      <c r="G1348">
        <f t="shared" si="38"/>
        <v>16.381909547738694</v>
      </c>
    </row>
    <row r="1349" spans="1:7">
      <c r="A1349" s="3184">
        <v>1346</v>
      </c>
      <c r="B1349" s="3192">
        <v>-1676</v>
      </c>
      <c r="C1349" s="3189">
        <v>32.61</v>
      </c>
      <c r="D1349" s="3187" t="s">
        <v>4007</v>
      </c>
      <c r="E1349">
        <f t="shared" si="37"/>
        <v>4981</v>
      </c>
      <c r="F1349" s="3206">
        <f t="shared" si="36"/>
        <v>162430.41</v>
      </c>
      <c r="G1349">
        <f t="shared" si="38"/>
        <v>16.381909547738694</v>
      </c>
    </row>
    <row r="1350" spans="1:7">
      <c r="A1350" s="3184">
        <v>1347</v>
      </c>
      <c r="B1350" s="3192">
        <v>-1677</v>
      </c>
      <c r="C1350" s="3189">
        <v>32.61</v>
      </c>
      <c r="D1350" s="3187" t="s">
        <v>4007</v>
      </c>
      <c r="E1350">
        <f t="shared" si="37"/>
        <v>4981</v>
      </c>
      <c r="F1350" s="3206">
        <f t="shared" si="36"/>
        <v>162430.41</v>
      </c>
      <c r="G1350">
        <f t="shared" si="38"/>
        <v>16.381909547738694</v>
      </c>
    </row>
    <row r="1351" spans="1:7">
      <c r="A1351" s="3184">
        <v>1348</v>
      </c>
      <c r="B1351" s="3192">
        <v>-1678</v>
      </c>
      <c r="C1351" s="3189">
        <v>32.61</v>
      </c>
      <c r="D1351" s="3187" t="s">
        <v>4007</v>
      </c>
      <c r="E1351">
        <f t="shared" si="37"/>
        <v>4981</v>
      </c>
      <c r="F1351" s="3206">
        <f t="shared" si="36"/>
        <v>162430.41</v>
      </c>
      <c r="G1351">
        <f t="shared" si="38"/>
        <v>16.381909547738694</v>
      </c>
    </row>
    <row r="1352" spans="1:7">
      <c r="A1352" s="3184">
        <v>1349</v>
      </c>
      <c r="B1352" s="3192">
        <v>-1679</v>
      </c>
      <c r="C1352" s="3189">
        <v>32.61</v>
      </c>
      <c r="D1352" s="3187" t="s">
        <v>4007</v>
      </c>
      <c r="E1352">
        <f t="shared" si="37"/>
        <v>4981</v>
      </c>
      <c r="F1352" s="3206">
        <f t="shared" si="36"/>
        <v>162430.41</v>
      </c>
      <c r="G1352">
        <f t="shared" si="38"/>
        <v>16.381909547738694</v>
      </c>
    </row>
    <row r="1353" spans="1:7">
      <c r="A1353" s="3184">
        <v>1350</v>
      </c>
      <c r="B1353" s="3192">
        <v>-1680</v>
      </c>
      <c r="C1353" s="3189">
        <v>32.61</v>
      </c>
      <c r="D1353" s="3187" t="s">
        <v>4007</v>
      </c>
      <c r="E1353">
        <f t="shared" si="37"/>
        <v>4981</v>
      </c>
      <c r="F1353" s="3206">
        <f t="shared" si="36"/>
        <v>162430.41</v>
      </c>
      <c r="G1353">
        <f t="shared" si="38"/>
        <v>16.381909547738694</v>
      </c>
    </row>
    <row r="1354" spans="1:7">
      <c r="A1354" s="3184">
        <v>1351</v>
      </c>
      <c r="B1354" s="3192">
        <v>-1681</v>
      </c>
      <c r="C1354" s="3189">
        <v>32.61</v>
      </c>
      <c r="D1354" s="3187" t="s">
        <v>4007</v>
      </c>
      <c r="E1354">
        <f t="shared" si="37"/>
        <v>4981</v>
      </c>
      <c r="F1354" s="3206">
        <f t="shared" si="36"/>
        <v>162430.41</v>
      </c>
      <c r="G1354">
        <f t="shared" si="38"/>
        <v>16.381909547738694</v>
      </c>
    </row>
    <row r="1355" spans="1:7">
      <c r="A1355" s="3184">
        <v>1352</v>
      </c>
      <c r="B1355" s="3192">
        <v>-1682</v>
      </c>
      <c r="C1355" s="3189">
        <v>32.61</v>
      </c>
      <c r="D1355" s="3187" t="s">
        <v>4007</v>
      </c>
      <c r="E1355">
        <f t="shared" si="37"/>
        <v>4981</v>
      </c>
      <c r="F1355" s="3206">
        <f t="shared" si="36"/>
        <v>162430.41</v>
      </c>
      <c r="G1355">
        <f t="shared" si="38"/>
        <v>16.381909547738694</v>
      </c>
    </row>
    <row r="1356" spans="1:7">
      <c r="A1356" s="3184">
        <v>1353</v>
      </c>
      <c r="B1356" s="3192">
        <v>-1683</v>
      </c>
      <c r="C1356" s="3189">
        <v>32.61</v>
      </c>
      <c r="D1356" s="3187" t="s">
        <v>4007</v>
      </c>
      <c r="E1356">
        <f t="shared" si="37"/>
        <v>4981</v>
      </c>
      <c r="F1356" s="3206">
        <f t="shared" si="36"/>
        <v>162430.41</v>
      </c>
      <c r="G1356">
        <f t="shared" si="38"/>
        <v>16.381909547738694</v>
      </c>
    </row>
    <row r="1357" spans="1:7">
      <c r="A1357" s="3184">
        <v>1354</v>
      </c>
      <c r="B1357" s="3192">
        <v>-1684</v>
      </c>
      <c r="C1357" s="3189">
        <v>32.61</v>
      </c>
      <c r="D1357" s="3187" t="s">
        <v>4007</v>
      </c>
      <c r="E1357">
        <f t="shared" si="37"/>
        <v>4981</v>
      </c>
      <c r="F1357" s="3206">
        <f t="shared" si="36"/>
        <v>162430.41</v>
      </c>
      <c r="G1357">
        <f t="shared" si="38"/>
        <v>16.381909547738694</v>
      </c>
    </row>
    <row r="1358" spans="1:7">
      <c r="A1358" s="3184">
        <v>1355</v>
      </c>
      <c r="B1358" s="3192">
        <v>-1685</v>
      </c>
      <c r="C1358" s="3189">
        <v>32.61</v>
      </c>
      <c r="D1358" s="3187" t="s">
        <v>4007</v>
      </c>
      <c r="E1358">
        <f t="shared" si="37"/>
        <v>4981</v>
      </c>
      <c r="F1358" s="3206">
        <f t="shared" si="36"/>
        <v>162430.41</v>
      </c>
      <c r="G1358">
        <f t="shared" si="38"/>
        <v>16.381909547738694</v>
      </c>
    </row>
    <row r="1359" spans="1:7">
      <c r="A1359" s="3184">
        <v>1356</v>
      </c>
      <c r="B1359" s="3192">
        <v>-1686</v>
      </c>
      <c r="C1359" s="3189">
        <v>32.61</v>
      </c>
      <c r="D1359" s="3187" t="s">
        <v>4007</v>
      </c>
      <c r="E1359">
        <f t="shared" si="37"/>
        <v>4981</v>
      </c>
      <c r="F1359" s="3206">
        <f t="shared" si="36"/>
        <v>162430.41</v>
      </c>
      <c r="G1359">
        <f t="shared" si="38"/>
        <v>16.381909547738694</v>
      </c>
    </row>
    <row r="1360" spans="1:7">
      <c r="A1360" s="3184">
        <v>1357</v>
      </c>
      <c r="B1360" s="3192">
        <v>-1687</v>
      </c>
      <c r="C1360" s="3189">
        <v>32.61</v>
      </c>
      <c r="D1360" s="3187" t="s">
        <v>4007</v>
      </c>
      <c r="E1360">
        <f t="shared" si="37"/>
        <v>4981</v>
      </c>
      <c r="F1360" s="3206">
        <f t="shared" si="36"/>
        <v>162430.41</v>
      </c>
      <c r="G1360">
        <f t="shared" si="38"/>
        <v>16.381909547738694</v>
      </c>
    </row>
    <row r="1361" spans="1:7">
      <c r="A1361" s="3184">
        <v>1358</v>
      </c>
      <c r="B1361" s="3192">
        <v>-1688</v>
      </c>
      <c r="C1361" s="3189">
        <v>32.61</v>
      </c>
      <c r="D1361" s="3187" t="s">
        <v>4007</v>
      </c>
      <c r="E1361">
        <f t="shared" si="37"/>
        <v>4981</v>
      </c>
      <c r="F1361" s="3206">
        <f t="shared" si="36"/>
        <v>162430.41</v>
      </c>
      <c r="G1361">
        <f t="shared" si="38"/>
        <v>16.381909547738694</v>
      </c>
    </row>
    <row r="1362" spans="1:7">
      <c r="A1362" s="3184">
        <v>1359</v>
      </c>
      <c r="B1362" s="3192">
        <v>-1689</v>
      </c>
      <c r="C1362" s="3189">
        <v>32.61</v>
      </c>
      <c r="D1362" s="3187" t="s">
        <v>4007</v>
      </c>
      <c r="E1362">
        <f t="shared" si="37"/>
        <v>4981</v>
      </c>
      <c r="F1362" s="3206">
        <f t="shared" si="36"/>
        <v>162430.41</v>
      </c>
      <c r="G1362">
        <f t="shared" si="38"/>
        <v>16.381909547738694</v>
      </c>
    </row>
    <row r="1363" spans="1:7">
      <c r="A1363" s="3184">
        <v>1360</v>
      </c>
      <c r="B1363" s="3192">
        <v>-1690</v>
      </c>
      <c r="C1363" s="3189">
        <v>32.61</v>
      </c>
      <c r="D1363" s="3187" t="s">
        <v>4007</v>
      </c>
      <c r="E1363">
        <f t="shared" si="37"/>
        <v>4981</v>
      </c>
      <c r="F1363" s="3206">
        <f t="shared" si="36"/>
        <v>162430.41</v>
      </c>
      <c r="G1363">
        <f t="shared" si="38"/>
        <v>16.381909547738694</v>
      </c>
    </row>
    <row r="1364" spans="1:7">
      <c r="A1364" s="3184">
        <v>1361</v>
      </c>
      <c r="B1364" s="3192">
        <v>-1691</v>
      </c>
      <c r="C1364" s="3189">
        <v>32.61</v>
      </c>
      <c r="D1364" s="3187" t="s">
        <v>4007</v>
      </c>
      <c r="E1364">
        <f t="shared" si="37"/>
        <v>4981</v>
      </c>
      <c r="F1364" s="3206">
        <f t="shared" si="36"/>
        <v>162430.41</v>
      </c>
      <c r="G1364">
        <f t="shared" si="38"/>
        <v>16.381909547738694</v>
      </c>
    </row>
    <row r="1365" spans="1:7">
      <c r="A1365" s="3184">
        <v>1362</v>
      </c>
      <c r="B1365" s="3192">
        <v>-1692</v>
      </c>
      <c r="C1365" s="3189">
        <v>32.61</v>
      </c>
      <c r="D1365" s="3187" t="s">
        <v>4007</v>
      </c>
      <c r="E1365">
        <f t="shared" si="37"/>
        <v>4981</v>
      </c>
      <c r="F1365" s="3206">
        <f t="shared" si="36"/>
        <v>162430.41</v>
      </c>
      <c r="G1365">
        <f t="shared" si="38"/>
        <v>16.381909547738694</v>
      </c>
    </row>
    <row r="1366" spans="1:7">
      <c r="A1366" s="3184">
        <v>1363</v>
      </c>
      <c r="B1366" s="3192">
        <v>-1693</v>
      </c>
      <c r="C1366" s="3189">
        <v>32.61</v>
      </c>
      <c r="D1366" s="3187" t="s">
        <v>4007</v>
      </c>
      <c r="E1366">
        <f t="shared" si="37"/>
        <v>4981</v>
      </c>
      <c r="F1366" s="3206">
        <f t="shared" si="36"/>
        <v>162430.41</v>
      </c>
      <c r="G1366">
        <f t="shared" si="38"/>
        <v>16.381909547738694</v>
      </c>
    </row>
    <row r="1367" spans="1:7">
      <c r="A1367" s="3184">
        <v>1364</v>
      </c>
      <c r="B1367" s="3192">
        <v>-1694</v>
      </c>
      <c r="C1367" s="3189">
        <v>32.61</v>
      </c>
      <c r="D1367" s="3187" t="s">
        <v>4007</v>
      </c>
      <c r="E1367">
        <f t="shared" si="37"/>
        <v>4981</v>
      </c>
      <c r="F1367" s="3206">
        <f t="shared" si="36"/>
        <v>162430.41</v>
      </c>
      <c r="G1367">
        <f t="shared" si="38"/>
        <v>16.381909547738694</v>
      </c>
    </row>
    <row r="1368" spans="1:7">
      <c r="A1368" s="3184">
        <v>1365</v>
      </c>
      <c r="B1368" s="3192">
        <v>-1695</v>
      </c>
      <c r="C1368" s="3189">
        <v>32.61</v>
      </c>
      <c r="D1368" s="3187" t="s">
        <v>4007</v>
      </c>
      <c r="E1368">
        <f t="shared" si="37"/>
        <v>4981</v>
      </c>
      <c r="F1368" s="3206">
        <f t="shared" si="36"/>
        <v>162430.41</v>
      </c>
      <c r="G1368">
        <f t="shared" si="38"/>
        <v>16.381909547738694</v>
      </c>
    </row>
    <row r="1369" spans="1:7">
      <c r="A1369" s="3184">
        <v>1366</v>
      </c>
      <c r="B1369" s="3192">
        <v>-1696</v>
      </c>
      <c r="C1369" s="3189">
        <v>32.61</v>
      </c>
      <c r="D1369" s="3187" t="s">
        <v>4007</v>
      </c>
      <c r="E1369">
        <f t="shared" si="37"/>
        <v>4981</v>
      </c>
      <c r="F1369" s="3206">
        <f t="shared" si="36"/>
        <v>162430.41</v>
      </c>
      <c r="G1369">
        <f t="shared" si="38"/>
        <v>16.381909547738694</v>
      </c>
    </row>
    <row r="1370" spans="1:7">
      <c r="A1370" s="3184">
        <v>1367</v>
      </c>
      <c r="B1370" s="3192">
        <v>-1697</v>
      </c>
      <c r="C1370" s="3189">
        <v>32.61</v>
      </c>
      <c r="D1370" s="3187" t="s">
        <v>4007</v>
      </c>
      <c r="E1370">
        <f t="shared" si="37"/>
        <v>4981</v>
      </c>
      <c r="F1370" s="3206">
        <f t="shared" si="36"/>
        <v>162430.41</v>
      </c>
      <c r="G1370">
        <f t="shared" si="38"/>
        <v>16.381909547738694</v>
      </c>
    </row>
    <row r="1371" spans="1:7">
      <c r="A1371" s="3184">
        <v>1368</v>
      </c>
      <c r="B1371" s="3192">
        <v>-1698</v>
      </c>
      <c r="C1371" s="3189">
        <v>32.61</v>
      </c>
      <c r="D1371" s="3187" t="s">
        <v>4007</v>
      </c>
      <c r="E1371">
        <f t="shared" si="37"/>
        <v>4981</v>
      </c>
      <c r="F1371" s="3206">
        <f t="shared" si="36"/>
        <v>162430.41</v>
      </c>
      <c r="G1371">
        <f t="shared" si="38"/>
        <v>16.381909547738694</v>
      </c>
    </row>
    <row r="1372" spans="1:7">
      <c r="A1372" s="3184">
        <v>1369</v>
      </c>
      <c r="B1372" s="3192">
        <v>-1699</v>
      </c>
      <c r="C1372" s="3189">
        <v>32.61</v>
      </c>
      <c r="D1372" s="3187" t="s">
        <v>4007</v>
      </c>
      <c r="E1372">
        <f t="shared" si="37"/>
        <v>4981</v>
      </c>
      <c r="F1372" s="3206">
        <f t="shared" si="36"/>
        <v>162430.41</v>
      </c>
      <c r="G1372">
        <f t="shared" si="38"/>
        <v>16.381909547738694</v>
      </c>
    </row>
    <row r="1373" spans="1:7">
      <c r="A1373" s="3184">
        <v>1370</v>
      </c>
      <c r="B1373" s="3192">
        <v>-1700</v>
      </c>
      <c r="C1373" s="3189">
        <v>32.61</v>
      </c>
      <c r="D1373" s="3187" t="s">
        <v>4007</v>
      </c>
      <c r="E1373">
        <f t="shared" si="37"/>
        <v>4981</v>
      </c>
      <c r="F1373" s="3206">
        <f t="shared" si="36"/>
        <v>162430.41</v>
      </c>
      <c r="G1373">
        <f t="shared" si="38"/>
        <v>16.381909547738694</v>
      </c>
    </row>
    <row r="1374" spans="1:7">
      <c r="A1374" s="3184">
        <v>1371</v>
      </c>
      <c r="B1374" s="3192">
        <v>-1701</v>
      </c>
      <c r="C1374" s="3189">
        <v>32.61</v>
      </c>
      <c r="D1374" s="3187" t="s">
        <v>4007</v>
      </c>
      <c r="E1374">
        <f t="shared" si="37"/>
        <v>4981</v>
      </c>
      <c r="F1374" s="3206">
        <f t="shared" si="36"/>
        <v>162430.41</v>
      </c>
      <c r="G1374">
        <f t="shared" si="38"/>
        <v>16.381909547738694</v>
      </c>
    </row>
    <row r="1375" spans="1:7">
      <c r="A1375" s="3184">
        <v>1372</v>
      </c>
      <c r="B1375" s="3192">
        <v>-1702</v>
      </c>
      <c r="C1375" s="3189">
        <v>32.61</v>
      </c>
      <c r="D1375" s="3187" t="s">
        <v>4007</v>
      </c>
      <c r="E1375">
        <f t="shared" si="37"/>
        <v>4981</v>
      </c>
      <c r="F1375" s="3206">
        <f t="shared" si="36"/>
        <v>162430.41</v>
      </c>
      <c r="G1375">
        <f t="shared" si="38"/>
        <v>16.381909547738694</v>
      </c>
    </row>
    <row r="1376" spans="1:7">
      <c r="A1376" s="3184">
        <v>1373</v>
      </c>
      <c r="B1376" s="3192">
        <v>-1703</v>
      </c>
      <c r="C1376" s="3189">
        <v>32.61</v>
      </c>
      <c r="D1376" s="3187" t="s">
        <v>4007</v>
      </c>
      <c r="E1376">
        <f t="shared" si="37"/>
        <v>4981</v>
      </c>
      <c r="F1376" s="3206">
        <f t="shared" si="36"/>
        <v>162430.41</v>
      </c>
      <c r="G1376">
        <f t="shared" si="38"/>
        <v>16.381909547738694</v>
      </c>
    </row>
    <row r="1377" spans="1:7">
      <c r="A1377" s="3184">
        <v>1374</v>
      </c>
      <c r="B1377" s="3192">
        <v>-1704</v>
      </c>
      <c r="C1377" s="3189">
        <v>32.61</v>
      </c>
      <c r="D1377" s="3187" t="s">
        <v>4007</v>
      </c>
      <c r="E1377">
        <f t="shared" si="37"/>
        <v>4981</v>
      </c>
      <c r="F1377" s="3206">
        <f t="shared" si="36"/>
        <v>162430.41</v>
      </c>
      <c r="G1377">
        <f t="shared" si="38"/>
        <v>16.381909547738694</v>
      </c>
    </row>
    <row r="1378" spans="1:7">
      <c r="A1378" s="3184">
        <v>1375</v>
      </c>
      <c r="B1378" s="3192">
        <v>-1705</v>
      </c>
      <c r="C1378" s="3189">
        <v>32.61</v>
      </c>
      <c r="D1378" s="3187" t="s">
        <v>4007</v>
      </c>
      <c r="E1378">
        <f t="shared" si="37"/>
        <v>4981</v>
      </c>
      <c r="F1378" s="3206">
        <f t="shared" si="36"/>
        <v>162430.41</v>
      </c>
      <c r="G1378">
        <f t="shared" si="38"/>
        <v>16.381909547738694</v>
      </c>
    </row>
    <row r="1379" spans="1:7">
      <c r="A1379" s="3184">
        <v>1376</v>
      </c>
      <c r="B1379" s="3192">
        <v>-1706</v>
      </c>
      <c r="C1379" s="3189">
        <v>32.61</v>
      </c>
      <c r="D1379" s="3187" t="s">
        <v>4007</v>
      </c>
      <c r="E1379">
        <f t="shared" si="37"/>
        <v>4981</v>
      </c>
      <c r="F1379" s="3206">
        <f t="shared" si="36"/>
        <v>162430.41</v>
      </c>
      <c r="G1379">
        <f t="shared" si="38"/>
        <v>16.381909547738694</v>
      </c>
    </row>
    <row r="1380" spans="1:7">
      <c r="A1380" s="3184">
        <v>1377</v>
      </c>
      <c r="B1380" s="3192">
        <v>-1707</v>
      </c>
      <c r="C1380" s="3189">
        <v>32.61</v>
      </c>
      <c r="D1380" s="3187" t="s">
        <v>4007</v>
      </c>
      <c r="E1380">
        <f t="shared" si="37"/>
        <v>4981</v>
      </c>
      <c r="F1380" s="3206">
        <f t="shared" si="36"/>
        <v>162430.41</v>
      </c>
      <c r="G1380">
        <f t="shared" si="38"/>
        <v>16.381909547738694</v>
      </c>
    </row>
    <row r="1381" spans="1:7">
      <c r="A1381" s="3184">
        <v>1378</v>
      </c>
      <c r="B1381" s="3192">
        <v>-1708</v>
      </c>
      <c r="C1381" s="3189">
        <v>32.61</v>
      </c>
      <c r="D1381" s="3187" t="s">
        <v>4007</v>
      </c>
      <c r="E1381">
        <f t="shared" si="37"/>
        <v>4981</v>
      </c>
      <c r="F1381" s="3206">
        <f t="shared" si="36"/>
        <v>162430.41</v>
      </c>
      <c r="G1381">
        <f t="shared" si="38"/>
        <v>16.381909547738694</v>
      </c>
    </row>
    <row r="1382" spans="1:7">
      <c r="A1382" s="3184">
        <v>1379</v>
      </c>
      <c r="B1382" s="3192">
        <v>-1709</v>
      </c>
      <c r="C1382" s="3189">
        <v>32.61</v>
      </c>
      <c r="D1382" s="3187" t="s">
        <v>4007</v>
      </c>
      <c r="E1382">
        <f t="shared" si="37"/>
        <v>4981</v>
      </c>
      <c r="F1382" s="3206">
        <f t="shared" si="36"/>
        <v>162430.41</v>
      </c>
      <c r="G1382">
        <f t="shared" si="38"/>
        <v>16.381909547738694</v>
      </c>
    </row>
    <row r="1383" spans="1:7">
      <c r="A1383" s="3184">
        <v>1380</v>
      </c>
      <c r="B1383" s="3192">
        <v>-1710</v>
      </c>
      <c r="C1383" s="3189">
        <v>32.61</v>
      </c>
      <c r="D1383" s="3187" t="s">
        <v>4007</v>
      </c>
      <c r="E1383">
        <f t="shared" si="37"/>
        <v>4981</v>
      </c>
      <c r="F1383" s="3206">
        <f t="shared" si="36"/>
        <v>162430.41</v>
      </c>
      <c r="G1383">
        <f t="shared" si="38"/>
        <v>16.381909547738694</v>
      </c>
    </row>
    <row r="1384" spans="1:7">
      <c r="A1384" s="3184">
        <v>1381</v>
      </c>
      <c r="B1384" s="3192">
        <v>-1711</v>
      </c>
      <c r="C1384" s="3189">
        <v>32.61</v>
      </c>
      <c r="D1384" s="3187" t="s">
        <v>4007</v>
      </c>
      <c r="E1384">
        <f t="shared" si="37"/>
        <v>4981</v>
      </c>
      <c r="F1384" s="3206">
        <f t="shared" ref="F1384:F1447" si="39">E1384*C1384</f>
        <v>162430.41</v>
      </c>
      <c r="G1384">
        <f t="shared" si="38"/>
        <v>16.381909547738694</v>
      </c>
    </row>
    <row r="1385" spans="1:7">
      <c r="A1385" s="3184">
        <v>1382</v>
      </c>
      <c r="B1385" s="3192">
        <v>-1712</v>
      </c>
      <c r="C1385" s="3189">
        <v>32.61</v>
      </c>
      <c r="D1385" s="3187" t="s">
        <v>4007</v>
      </c>
      <c r="E1385">
        <f t="shared" ref="E1385:E1448" si="40">E1384</f>
        <v>4981</v>
      </c>
      <c r="F1385" s="3206">
        <f t="shared" si="39"/>
        <v>162430.41</v>
      </c>
      <c r="G1385">
        <f t="shared" ref="G1385:G1448" si="41">G1384</f>
        <v>16.381909547738694</v>
      </c>
    </row>
    <row r="1386" spans="1:7">
      <c r="A1386" s="3184">
        <v>1383</v>
      </c>
      <c r="B1386" s="3192">
        <v>-1713</v>
      </c>
      <c r="C1386" s="3189">
        <v>32.61</v>
      </c>
      <c r="D1386" s="3187" t="s">
        <v>4007</v>
      </c>
      <c r="E1386">
        <f t="shared" si="40"/>
        <v>4981</v>
      </c>
      <c r="F1386" s="3206">
        <f t="shared" si="39"/>
        <v>162430.41</v>
      </c>
      <c r="G1386">
        <f t="shared" si="41"/>
        <v>16.381909547738694</v>
      </c>
    </row>
    <row r="1387" spans="1:7">
      <c r="A1387" s="3184">
        <v>1384</v>
      </c>
      <c r="B1387" s="3192">
        <v>-1714</v>
      </c>
      <c r="C1387" s="3189">
        <v>32.61</v>
      </c>
      <c r="D1387" s="3187" t="s">
        <v>4007</v>
      </c>
      <c r="E1387">
        <f t="shared" si="40"/>
        <v>4981</v>
      </c>
      <c r="F1387" s="3206">
        <f t="shared" si="39"/>
        <v>162430.41</v>
      </c>
      <c r="G1387">
        <f t="shared" si="41"/>
        <v>16.381909547738694</v>
      </c>
    </row>
    <row r="1388" spans="1:7">
      <c r="A1388" s="3184">
        <v>1385</v>
      </c>
      <c r="B1388" s="3192">
        <v>-1715</v>
      </c>
      <c r="C1388" s="3189">
        <v>32.61</v>
      </c>
      <c r="D1388" s="3187" t="s">
        <v>4007</v>
      </c>
      <c r="E1388">
        <f t="shared" si="40"/>
        <v>4981</v>
      </c>
      <c r="F1388" s="3206">
        <f t="shared" si="39"/>
        <v>162430.41</v>
      </c>
      <c r="G1388">
        <f t="shared" si="41"/>
        <v>16.381909547738694</v>
      </c>
    </row>
    <row r="1389" spans="1:7">
      <c r="A1389" s="3184">
        <v>1386</v>
      </c>
      <c r="B1389" s="3192">
        <v>-1716</v>
      </c>
      <c r="C1389" s="3189">
        <v>32.61</v>
      </c>
      <c r="D1389" s="3187" t="s">
        <v>4007</v>
      </c>
      <c r="E1389">
        <f t="shared" si="40"/>
        <v>4981</v>
      </c>
      <c r="F1389" s="3206">
        <f t="shared" si="39"/>
        <v>162430.41</v>
      </c>
      <c r="G1389">
        <f t="shared" si="41"/>
        <v>16.381909547738694</v>
      </c>
    </row>
    <row r="1390" spans="1:7">
      <c r="A1390" s="3184">
        <v>1387</v>
      </c>
      <c r="B1390" s="3192">
        <v>-1717</v>
      </c>
      <c r="C1390" s="3189">
        <v>32.61</v>
      </c>
      <c r="D1390" s="3187" t="s">
        <v>4007</v>
      </c>
      <c r="E1390">
        <f t="shared" si="40"/>
        <v>4981</v>
      </c>
      <c r="F1390" s="3206">
        <f t="shared" si="39"/>
        <v>162430.41</v>
      </c>
      <c r="G1390">
        <f t="shared" si="41"/>
        <v>16.381909547738694</v>
      </c>
    </row>
    <row r="1391" spans="1:7">
      <c r="A1391" s="3184">
        <v>1388</v>
      </c>
      <c r="B1391" s="3192">
        <v>-1718</v>
      </c>
      <c r="C1391" s="3189">
        <v>32.61</v>
      </c>
      <c r="D1391" s="3187" t="s">
        <v>4007</v>
      </c>
      <c r="E1391">
        <f t="shared" si="40"/>
        <v>4981</v>
      </c>
      <c r="F1391" s="3206">
        <f t="shared" si="39"/>
        <v>162430.41</v>
      </c>
      <c r="G1391">
        <f t="shared" si="41"/>
        <v>16.381909547738694</v>
      </c>
    </row>
    <row r="1392" spans="1:7">
      <c r="A1392" s="3184">
        <v>1389</v>
      </c>
      <c r="B1392" s="3192">
        <v>-1719</v>
      </c>
      <c r="C1392" s="3189">
        <v>32.61</v>
      </c>
      <c r="D1392" s="3187" t="s">
        <v>4007</v>
      </c>
      <c r="E1392">
        <f t="shared" si="40"/>
        <v>4981</v>
      </c>
      <c r="F1392" s="3206">
        <f t="shared" si="39"/>
        <v>162430.41</v>
      </c>
      <c r="G1392">
        <f t="shared" si="41"/>
        <v>16.381909547738694</v>
      </c>
    </row>
    <row r="1393" spans="1:7">
      <c r="A1393" s="3184">
        <v>1390</v>
      </c>
      <c r="B1393" s="3192">
        <v>-1720</v>
      </c>
      <c r="C1393" s="3189">
        <v>32.61</v>
      </c>
      <c r="D1393" s="3187" t="s">
        <v>4007</v>
      </c>
      <c r="E1393">
        <f t="shared" si="40"/>
        <v>4981</v>
      </c>
      <c r="F1393" s="3206">
        <f t="shared" si="39"/>
        <v>162430.41</v>
      </c>
      <c r="G1393">
        <f t="shared" si="41"/>
        <v>16.381909547738694</v>
      </c>
    </row>
    <row r="1394" spans="1:7">
      <c r="A1394" s="3184">
        <v>1391</v>
      </c>
      <c r="B1394" s="3192">
        <v>-1721</v>
      </c>
      <c r="C1394" s="3189">
        <v>32.61</v>
      </c>
      <c r="D1394" s="3187" t="s">
        <v>4007</v>
      </c>
      <c r="E1394">
        <f t="shared" si="40"/>
        <v>4981</v>
      </c>
      <c r="F1394" s="3206">
        <f t="shared" si="39"/>
        <v>162430.41</v>
      </c>
      <c r="G1394">
        <f t="shared" si="41"/>
        <v>16.381909547738694</v>
      </c>
    </row>
    <row r="1395" spans="1:7">
      <c r="A1395" s="3184">
        <v>1392</v>
      </c>
      <c r="B1395" s="3192">
        <v>-1722</v>
      </c>
      <c r="C1395" s="3189">
        <v>32.61</v>
      </c>
      <c r="D1395" s="3187" t="s">
        <v>4007</v>
      </c>
      <c r="E1395">
        <f t="shared" si="40"/>
        <v>4981</v>
      </c>
      <c r="F1395" s="3206">
        <f t="shared" si="39"/>
        <v>162430.41</v>
      </c>
      <c r="G1395">
        <f t="shared" si="41"/>
        <v>16.381909547738694</v>
      </c>
    </row>
    <row r="1396" spans="1:7">
      <c r="A1396" s="3184">
        <v>1393</v>
      </c>
      <c r="B1396" s="3192">
        <v>-1723</v>
      </c>
      <c r="C1396" s="3189">
        <v>32.61</v>
      </c>
      <c r="D1396" s="3187" t="s">
        <v>4007</v>
      </c>
      <c r="E1396">
        <f t="shared" si="40"/>
        <v>4981</v>
      </c>
      <c r="F1396" s="3206">
        <f t="shared" si="39"/>
        <v>162430.41</v>
      </c>
      <c r="G1396">
        <f t="shared" si="41"/>
        <v>16.381909547738694</v>
      </c>
    </row>
    <row r="1397" spans="1:7">
      <c r="A1397" s="3184">
        <v>1394</v>
      </c>
      <c r="B1397" s="3192">
        <v>-1724</v>
      </c>
      <c r="C1397" s="3189">
        <v>32.61</v>
      </c>
      <c r="D1397" s="3187" t="s">
        <v>4007</v>
      </c>
      <c r="E1397">
        <f t="shared" si="40"/>
        <v>4981</v>
      </c>
      <c r="F1397" s="3206">
        <f t="shared" si="39"/>
        <v>162430.41</v>
      </c>
      <c r="G1397">
        <f t="shared" si="41"/>
        <v>16.381909547738694</v>
      </c>
    </row>
    <row r="1398" spans="1:7">
      <c r="A1398" s="3184">
        <v>1395</v>
      </c>
      <c r="B1398" s="3192">
        <v>-1725</v>
      </c>
      <c r="C1398" s="3189">
        <v>32.61</v>
      </c>
      <c r="D1398" s="3187" t="s">
        <v>4007</v>
      </c>
      <c r="E1398">
        <f t="shared" si="40"/>
        <v>4981</v>
      </c>
      <c r="F1398" s="3206">
        <f t="shared" si="39"/>
        <v>162430.41</v>
      </c>
      <c r="G1398">
        <f t="shared" si="41"/>
        <v>16.381909547738694</v>
      </c>
    </row>
    <row r="1399" spans="1:7">
      <c r="A1399" s="3184">
        <v>1396</v>
      </c>
      <c r="B1399" s="3192">
        <v>-1726</v>
      </c>
      <c r="C1399" s="3189">
        <v>32.61</v>
      </c>
      <c r="D1399" s="3187" t="s">
        <v>4007</v>
      </c>
      <c r="E1399">
        <f t="shared" si="40"/>
        <v>4981</v>
      </c>
      <c r="F1399" s="3206">
        <f t="shared" si="39"/>
        <v>162430.41</v>
      </c>
      <c r="G1399">
        <f t="shared" si="41"/>
        <v>16.381909547738694</v>
      </c>
    </row>
    <row r="1400" spans="1:7">
      <c r="A1400" s="3184">
        <v>1397</v>
      </c>
      <c r="B1400" s="3192">
        <v>-1727</v>
      </c>
      <c r="C1400" s="3189">
        <v>32.61</v>
      </c>
      <c r="D1400" s="3187" t="s">
        <v>4007</v>
      </c>
      <c r="E1400">
        <f t="shared" si="40"/>
        <v>4981</v>
      </c>
      <c r="F1400" s="3206">
        <f t="shared" si="39"/>
        <v>162430.41</v>
      </c>
      <c r="G1400">
        <f t="shared" si="41"/>
        <v>16.381909547738694</v>
      </c>
    </row>
    <row r="1401" spans="1:7">
      <c r="A1401" s="3184">
        <v>1398</v>
      </c>
      <c r="B1401" s="3192">
        <v>-1728</v>
      </c>
      <c r="C1401" s="3189">
        <v>32.61</v>
      </c>
      <c r="D1401" s="3187" t="s">
        <v>4007</v>
      </c>
      <c r="E1401">
        <f t="shared" si="40"/>
        <v>4981</v>
      </c>
      <c r="F1401" s="3206">
        <f t="shared" si="39"/>
        <v>162430.41</v>
      </c>
      <c r="G1401">
        <f t="shared" si="41"/>
        <v>16.381909547738694</v>
      </c>
    </row>
    <row r="1402" spans="1:7">
      <c r="A1402" s="3184">
        <v>1399</v>
      </c>
      <c r="B1402" s="3192">
        <v>-1729</v>
      </c>
      <c r="C1402" s="3189">
        <v>32.61</v>
      </c>
      <c r="D1402" s="3187" t="s">
        <v>4007</v>
      </c>
      <c r="E1402">
        <f t="shared" si="40"/>
        <v>4981</v>
      </c>
      <c r="F1402" s="3206">
        <f t="shared" si="39"/>
        <v>162430.41</v>
      </c>
      <c r="G1402">
        <f t="shared" si="41"/>
        <v>16.381909547738694</v>
      </c>
    </row>
    <row r="1403" spans="1:7">
      <c r="A1403" s="3184">
        <v>1400</v>
      </c>
      <c r="B1403" s="3192">
        <v>-1730</v>
      </c>
      <c r="C1403" s="3189">
        <v>32.61</v>
      </c>
      <c r="D1403" s="3187" t="s">
        <v>4007</v>
      </c>
      <c r="E1403">
        <f t="shared" si="40"/>
        <v>4981</v>
      </c>
      <c r="F1403" s="3206">
        <f t="shared" si="39"/>
        <v>162430.41</v>
      </c>
      <c r="G1403">
        <f t="shared" si="41"/>
        <v>16.381909547738694</v>
      </c>
    </row>
    <row r="1404" spans="1:7">
      <c r="A1404" s="3184">
        <v>1401</v>
      </c>
      <c r="B1404" s="3192">
        <v>-1731</v>
      </c>
      <c r="C1404" s="3189">
        <v>32.61</v>
      </c>
      <c r="D1404" s="3187" t="s">
        <v>4007</v>
      </c>
      <c r="E1404">
        <f t="shared" si="40"/>
        <v>4981</v>
      </c>
      <c r="F1404" s="3206">
        <f t="shared" si="39"/>
        <v>162430.41</v>
      </c>
      <c r="G1404">
        <f t="shared" si="41"/>
        <v>16.381909547738694</v>
      </c>
    </row>
    <row r="1405" spans="1:7">
      <c r="A1405" s="3184">
        <v>1402</v>
      </c>
      <c r="B1405" s="3192">
        <v>-1732</v>
      </c>
      <c r="C1405" s="3189">
        <v>32.61</v>
      </c>
      <c r="D1405" s="3187" t="s">
        <v>4007</v>
      </c>
      <c r="E1405">
        <f t="shared" si="40"/>
        <v>4981</v>
      </c>
      <c r="F1405" s="3206">
        <f t="shared" si="39"/>
        <v>162430.41</v>
      </c>
      <c r="G1405">
        <f t="shared" si="41"/>
        <v>16.381909547738694</v>
      </c>
    </row>
    <row r="1406" spans="1:7">
      <c r="A1406" s="3184">
        <v>1403</v>
      </c>
      <c r="B1406" s="3192">
        <v>-1733</v>
      </c>
      <c r="C1406" s="3189">
        <v>32.61</v>
      </c>
      <c r="D1406" s="3187" t="s">
        <v>4007</v>
      </c>
      <c r="E1406">
        <f t="shared" si="40"/>
        <v>4981</v>
      </c>
      <c r="F1406" s="3206">
        <f t="shared" si="39"/>
        <v>162430.41</v>
      </c>
      <c r="G1406">
        <f t="shared" si="41"/>
        <v>16.381909547738694</v>
      </c>
    </row>
    <row r="1407" spans="1:7">
      <c r="A1407" s="3184">
        <v>1404</v>
      </c>
      <c r="B1407" s="3192">
        <v>-1734</v>
      </c>
      <c r="C1407" s="3189">
        <v>32.61</v>
      </c>
      <c r="D1407" s="3187" t="s">
        <v>4007</v>
      </c>
      <c r="E1407">
        <f t="shared" si="40"/>
        <v>4981</v>
      </c>
      <c r="F1407" s="3206">
        <f t="shared" si="39"/>
        <v>162430.41</v>
      </c>
      <c r="G1407">
        <f t="shared" si="41"/>
        <v>16.381909547738694</v>
      </c>
    </row>
    <row r="1408" spans="1:7">
      <c r="A1408" s="3184">
        <v>1405</v>
      </c>
      <c r="B1408" s="3192">
        <v>-1735</v>
      </c>
      <c r="C1408" s="3189">
        <v>32.61</v>
      </c>
      <c r="D1408" s="3187" t="s">
        <v>4007</v>
      </c>
      <c r="E1408">
        <f t="shared" si="40"/>
        <v>4981</v>
      </c>
      <c r="F1408" s="3206">
        <f t="shared" si="39"/>
        <v>162430.41</v>
      </c>
      <c r="G1408">
        <f t="shared" si="41"/>
        <v>16.381909547738694</v>
      </c>
    </row>
    <row r="1409" spans="1:7">
      <c r="A1409" s="3184">
        <v>1406</v>
      </c>
      <c r="B1409" s="3192">
        <v>-1736</v>
      </c>
      <c r="C1409" s="3189">
        <v>32.61</v>
      </c>
      <c r="D1409" s="3187" t="s">
        <v>4007</v>
      </c>
      <c r="E1409">
        <f t="shared" si="40"/>
        <v>4981</v>
      </c>
      <c r="F1409" s="3206">
        <f t="shared" si="39"/>
        <v>162430.41</v>
      </c>
      <c r="G1409">
        <f t="shared" si="41"/>
        <v>16.381909547738694</v>
      </c>
    </row>
    <row r="1410" spans="1:7">
      <c r="A1410" s="3184">
        <v>1407</v>
      </c>
      <c r="B1410" s="3192">
        <v>-1737</v>
      </c>
      <c r="C1410" s="3189">
        <v>32.61</v>
      </c>
      <c r="D1410" s="3187" t="s">
        <v>4007</v>
      </c>
      <c r="E1410">
        <f t="shared" si="40"/>
        <v>4981</v>
      </c>
      <c r="F1410" s="3206">
        <f t="shared" si="39"/>
        <v>162430.41</v>
      </c>
      <c r="G1410">
        <f t="shared" si="41"/>
        <v>16.381909547738694</v>
      </c>
    </row>
    <row r="1411" spans="1:7">
      <c r="A1411" s="3184">
        <v>1408</v>
      </c>
      <c r="B1411" s="3192">
        <v>-1738</v>
      </c>
      <c r="C1411" s="3189">
        <v>32.61</v>
      </c>
      <c r="D1411" s="3187" t="s">
        <v>4007</v>
      </c>
      <c r="E1411">
        <f t="shared" si="40"/>
        <v>4981</v>
      </c>
      <c r="F1411" s="3206">
        <f t="shared" si="39"/>
        <v>162430.41</v>
      </c>
      <c r="G1411">
        <f t="shared" si="41"/>
        <v>16.381909547738694</v>
      </c>
    </row>
    <row r="1412" spans="1:7">
      <c r="A1412" s="3184">
        <v>1409</v>
      </c>
      <c r="B1412" s="3192">
        <v>-1739</v>
      </c>
      <c r="C1412" s="3189">
        <v>32.61</v>
      </c>
      <c r="D1412" s="3187" t="s">
        <v>4007</v>
      </c>
      <c r="E1412">
        <f t="shared" si="40"/>
        <v>4981</v>
      </c>
      <c r="F1412" s="3206">
        <f t="shared" si="39"/>
        <v>162430.41</v>
      </c>
      <c r="G1412">
        <f t="shared" si="41"/>
        <v>16.381909547738694</v>
      </c>
    </row>
    <row r="1413" spans="1:7">
      <c r="A1413" s="3184">
        <v>1410</v>
      </c>
      <c r="B1413" s="3192">
        <v>-1740</v>
      </c>
      <c r="C1413" s="3189">
        <v>32.61</v>
      </c>
      <c r="D1413" s="3187" t="s">
        <v>4007</v>
      </c>
      <c r="E1413">
        <f t="shared" si="40"/>
        <v>4981</v>
      </c>
      <c r="F1413" s="3206">
        <f t="shared" si="39"/>
        <v>162430.41</v>
      </c>
      <c r="G1413">
        <f t="shared" si="41"/>
        <v>16.381909547738694</v>
      </c>
    </row>
    <row r="1414" spans="1:7">
      <c r="A1414" s="3184">
        <v>1411</v>
      </c>
      <c r="B1414" s="3192">
        <v>-1741</v>
      </c>
      <c r="C1414" s="3189">
        <v>32.61</v>
      </c>
      <c r="D1414" s="3187" t="s">
        <v>4007</v>
      </c>
      <c r="E1414">
        <f t="shared" si="40"/>
        <v>4981</v>
      </c>
      <c r="F1414" s="3206">
        <f t="shared" si="39"/>
        <v>162430.41</v>
      </c>
      <c r="G1414">
        <f t="shared" si="41"/>
        <v>16.381909547738694</v>
      </c>
    </row>
    <row r="1415" spans="1:7">
      <c r="A1415" s="3184">
        <v>1412</v>
      </c>
      <c r="B1415" s="3192">
        <v>-1742</v>
      </c>
      <c r="C1415" s="3189">
        <v>32.61</v>
      </c>
      <c r="D1415" s="3187" t="s">
        <v>4007</v>
      </c>
      <c r="E1415">
        <f t="shared" si="40"/>
        <v>4981</v>
      </c>
      <c r="F1415" s="3206">
        <f t="shared" si="39"/>
        <v>162430.41</v>
      </c>
      <c r="G1415">
        <f t="shared" si="41"/>
        <v>16.381909547738694</v>
      </c>
    </row>
    <row r="1416" spans="1:7">
      <c r="A1416" s="3184">
        <v>1413</v>
      </c>
      <c r="B1416" s="3192">
        <v>-1743</v>
      </c>
      <c r="C1416" s="3189">
        <v>32.61</v>
      </c>
      <c r="D1416" s="3187" t="s">
        <v>4007</v>
      </c>
      <c r="E1416">
        <f t="shared" si="40"/>
        <v>4981</v>
      </c>
      <c r="F1416" s="3206">
        <f t="shared" si="39"/>
        <v>162430.41</v>
      </c>
      <c r="G1416">
        <f t="shared" si="41"/>
        <v>16.381909547738694</v>
      </c>
    </row>
    <row r="1417" spans="1:7">
      <c r="A1417" s="3184">
        <v>1414</v>
      </c>
      <c r="B1417" s="3192">
        <v>-1744</v>
      </c>
      <c r="C1417" s="3189">
        <v>32.61</v>
      </c>
      <c r="D1417" s="3187" t="s">
        <v>4007</v>
      </c>
      <c r="E1417">
        <f t="shared" si="40"/>
        <v>4981</v>
      </c>
      <c r="F1417" s="3206">
        <f t="shared" si="39"/>
        <v>162430.41</v>
      </c>
      <c r="G1417">
        <f t="shared" si="41"/>
        <v>16.381909547738694</v>
      </c>
    </row>
    <row r="1418" spans="1:7">
      <c r="A1418" s="3184">
        <v>1415</v>
      </c>
      <c r="B1418" s="3192">
        <v>-1745</v>
      </c>
      <c r="C1418" s="3189">
        <v>32.61</v>
      </c>
      <c r="D1418" s="3187" t="s">
        <v>4007</v>
      </c>
      <c r="E1418">
        <f t="shared" si="40"/>
        <v>4981</v>
      </c>
      <c r="F1418" s="3206">
        <f t="shared" si="39"/>
        <v>162430.41</v>
      </c>
      <c r="G1418">
        <f t="shared" si="41"/>
        <v>16.381909547738694</v>
      </c>
    </row>
    <row r="1419" spans="1:7">
      <c r="A1419" s="3184">
        <v>1416</v>
      </c>
      <c r="B1419" s="3192">
        <v>-1746</v>
      </c>
      <c r="C1419" s="3189">
        <v>32.61</v>
      </c>
      <c r="D1419" s="3187" t="s">
        <v>4007</v>
      </c>
      <c r="E1419">
        <f t="shared" si="40"/>
        <v>4981</v>
      </c>
      <c r="F1419" s="3206">
        <f t="shared" si="39"/>
        <v>162430.41</v>
      </c>
      <c r="G1419">
        <f t="shared" si="41"/>
        <v>16.381909547738694</v>
      </c>
    </row>
    <row r="1420" spans="1:7">
      <c r="A1420" s="3184">
        <v>1417</v>
      </c>
      <c r="B1420" s="3192">
        <v>-1747</v>
      </c>
      <c r="C1420" s="3189">
        <v>32.61</v>
      </c>
      <c r="D1420" s="3187" t="s">
        <v>4007</v>
      </c>
      <c r="E1420">
        <f t="shared" si="40"/>
        <v>4981</v>
      </c>
      <c r="F1420" s="3206">
        <f t="shared" si="39"/>
        <v>162430.41</v>
      </c>
      <c r="G1420">
        <f t="shared" si="41"/>
        <v>16.381909547738694</v>
      </c>
    </row>
    <row r="1421" spans="1:7">
      <c r="A1421" s="3184">
        <v>1418</v>
      </c>
      <c r="B1421" s="3192">
        <v>-1748</v>
      </c>
      <c r="C1421" s="3189">
        <v>32.61</v>
      </c>
      <c r="D1421" s="3187" t="s">
        <v>4007</v>
      </c>
      <c r="E1421">
        <f t="shared" si="40"/>
        <v>4981</v>
      </c>
      <c r="F1421" s="3206">
        <f t="shared" si="39"/>
        <v>162430.41</v>
      </c>
      <c r="G1421">
        <f t="shared" si="41"/>
        <v>16.381909547738694</v>
      </c>
    </row>
    <row r="1422" spans="1:7">
      <c r="A1422" s="3184">
        <v>1419</v>
      </c>
      <c r="B1422" s="3192">
        <v>-1749</v>
      </c>
      <c r="C1422" s="3189">
        <v>32.61</v>
      </c>
      <c r="D1422" s="3187" t="s">
        <v>4007</v>
      </c>
      <c r="E1422">
        <f t="shared" si="40"/>
        <v>4981</v>
      </c>
      <c r="F1422" s="3206">
        <f t="shared" si="39"/>
        <v>162430.41</v>
      </c>
      <c r="G1422">
        <f t="shared" si="41"/>
        <v>16.381909547738694</v>
      </c>
    </row>
    <row r="1423" spans="1:7">
      <c r="A1423" s="3184">
        <v>1420</v>
      </c>
      <c r="B1423" s="3192">
        <v>-1750</v>
      </c>
      <c r="C1423" s="3189">
        <v>32.61</v>
      </c>
      <c r="D1423" s="3187" t="s">
        <v>4007</v>
      </c>
      <c r="E1423">
        <f t="shared" si="40"/>
        <v>4981</v>
      </c>
      <c r="F1423" s="3206">
        <f t="shared" si="39"/>
        <v>162430.41</v>
      </c>
      <c r="G1423">
        <f t="shared" si="41"/>
        <v>16.381909547738694</v>
      </c>
    </row>
    <row r="1424" spans="1:7">
      <c r="A1424" s="3184">
        <v>1421</v>
      </c>
      <c r="B1424" s="3192">
        <v>-1751</v>
      </c>
      <c r="C1424" s="3189">
        <v>32.61</v>
      </c>
      <c r="D1424" s="3187" t="s">
        <v>4007</v>
      </c>
      <c r="E1424">
        <f t="shared" si="40"/>
        <v>4981</v>
      </c>
      <c r="F1424" s="3206">
        <f t="shared" si="39"/>
        <v>162430.41</v>
      </c>
      <c r="G1424">
        <f t="shared" si="41"/>
        <v>16.381909547738694</v>
      </c>
    </row>
    <row r="1425" spans="1:7">
      <c r="A1425" s="3184">
        <v>1422</v>
      </c>
      <c r="B1425" s="3192">
        <v>-1752</v>
      </c>
      <c r="C1425" s="3189">
        <v>32.61</v>
      </c>
      <c r="D1425" s="3187" t="s">
        <v>4007</v>
      </c>
      <c r="E1425">
        <f t="shared" si="40"/>
        <v>4981</v>
      </c>
      <c r="F1425" s="3206">
        <f t="shared" si="39"/>
        <v>162430.41</v>
      </c>
      <c r="G1425">
        <f t="shared" si="41"/>
        <v>16.381909547738694</v>
      </c>
    </row>
    <row r="1426" spans="1:7">
      <c r="A1426" s="3184">
        <v>1423</v>
      </c>
      <c r="B1426" s="3192">
        <v>-1753</v>
      </c>
      <c r="C1426" s="3189">
        <v>32.61</v>
      </c>
      <c r="D1426" s="3187" t="s">
        <v>4007</v>
      </c>
      <c r="E1426">
        <f t="shared" si="40"/>
        <v>4981</v>
      </c>
      <c r="F1426" s="3206">
        <f t="shared" si="39"/>
        <v>162430.41</v>
      </c>
      <c r="G1426">
        <f t="shared" si="41"/>
        <v>16.381909547738694</v>
      </c>
    </row>
    <row r="1427" spans="1:7">
      <c r="A1427" s="3184">
        <v>1424</v>
      </c>
      <c r="B1427" s="3192">
        <v>-1754</v>
      </c>
      <c r="C1427" s="3189">
        <v>32.61</v>
      </c>
      <c r="D1427" s="3187" t="s">
        <v>4007</v>
      </c>
      <c r="E1427">
        <f t="shared" si="40"/>
        <v>4981</v>
      </c>
      <c r="F1427" s="3206">
        <f t="shared" si="39"/>
        <v>162430.41</v>
      </c>
      <c r="G1427">
        <f t="shared" si="41"/>
        <v>16.381909547738694</v>
      </c>
    </row>
    <row r="1428" spans="1:7">
      <c r="A1428" s="3184">
        <v>1425</v>
      </c>
      <c r="B1428" s="3192">
        <v>-1755</v>
      </c>
      <c r="C1428" s="3189">
        <v>32.61</v>
      </c>
      <c r="D1428" s="3187" t="s">
        <v>4007</v>
      </c>
      <c r="E1428">
        <f t="shared" si="40"/>
        <v>4981</v>
      </c>
      <c r="F1428" s="3206">
        <f t="shared" si="39"/>
        <v>162430.41</v>
      </c>
      <c r="G1428">
        <f t="shared" si="41"/>
        <v>16.381909547738694</v>
      </c>
    </row>
    <row r="1429" spans="1:7">
      <c r="A1429" s="3184">
        <v>1426</v>
      </c>
      <c r="B1429" s="3192">
        <v>-1756</v>
      </c>
      <c r="C1429" s="3189">
        <v>32.61</v>
      </c>
      <c r="D1429" s="3187" t="s">
        <v>4007</v>
      </c>
      <c r="E1429">
        <f t="shared" si="40"/>
        <v>4981</v>
      </c>
      <c r="F1429" s="3206">
        <f t="shared" si="39"/>
        <v>162430.41</v>
      </c>
      <c r="G1429">
        <f t="shared" si="41"/>
        <v>16.381909547738694</v>
      </c>
    </row>
    <row r="1430" spans="1:7">
      <c r="A1430" s="3184">
        <v>1427</v>
      </c>
      <c r="B1430" s="3192">
        <v>-1757</v>
      </c>
      <c r="C1430" s="3189">
        <v>32.61</v>
      </c>
      <c r="D1430" s="3187" t="s">
        <v>4007</v>
      </c>
      <c r="E1430">
        <f t="shared" si="40"/>
        <v>4981</v>
      </c>
      <c r="F1430" s="3206">
        <f t="shared" si="39"/>
        <v>162430.41</v>
      </c>
      <c r="G1430">
        <f t="shared" si="41"/>
        <v>16.381909547738694</v>
      </c>
    </row>
    <row r="1431" spans="1:7">
      <c r="A1431" s="3184">
        <v>1428</v>
      </c>
      <c r="B1431" s="3192">
        <v>-1758</v>
      </c>
      <c r="C1431" s="3189">
        <v>52.86</v>
      </c>
      <c r="D1431" s="3187" t="s">
        <v>4007</v>
      </c>
      <c r="E1431">
        <f t="shared" si="40"/>
        <v>4981</v>
      </c>
      <c r="F1431" s="3206">
        <f t="shared" si="39"/>
        <v>263295.65999999997</v>
      </c>
      <c r="G1431">
        <f t="shared" si="41"/>
        <v>16.381909547738694</v>
      </c>
    </row>
    <row r="1432" spans="1:7">
      <c r="A1432" s="3184">
        <v>1429</v>
      </c>
      <c r="B1432" s="3192">
        <v>-1759</v>
      </c>
      <c r="C1432" s="3189">
        <v>32.61</v>
      </c>
      <c r="D1432" s="3187" t="s">
        <v>4007</v>
      </c>
      <c r="E1432">
        <f t="shared" si="40"/>
        <v>4981</v>
      </c>
      <c r="F1432" s="3206">
        <f t="shared" si="39"/>
        <v>162430.41</v>
      </c>
      <c r="G1432">
        <f t="shared" si="41"/>
        <v>16.381909547738694</v>
      </c>
    </row>
    <row r="1433" spans="1:7">
      <c r="A1433" s="3184">
        <v>1430</v>
      </c>
      <c r="B1433" s="3192">
        <v>-1760</v>
      </c>
      <c r="C1433" s="3189">
        <v>32.61</v>
      </c>
      <c r="D1433" s="3187" t="s">
        <v>4007</v>
      </c>
      <c r="E1433">
        <f t="shared" si="40"/>
        <v>4981</v>
      </c>
      <c r="F1433" s="3206">
        <f t="shared" si="39"/>
        <v>162430.41</v>
      </c>
      <c r="G1433">
        <f t="shared" si="41"/>
        <v>16.381909547738694</v>
      </c>
    </row>
    <row r="1434" spans="1:7">
      <c r="A1434" s="3184">
        <v>1431</v>
      </c>
      <c r="B1434" s="3192">
        <v>-1761</v>
      </c>
      <c r="C1434" s="3189">
        <v>32.61</v>
      </c>
      <c r="D1434" s="3187" t="s">
        <v>4007</v>
      </c>
      <c r="E1434">
        <f t="shared" si="40"/>
        <v>4981</v>
      </c>
      <c r="F1434" s="3206">
        <f t="shared" si="39"/>
        <v>162430.41</v>
      </c>
      <c r="G1434">
        <f t="shared" si="41"/>
        <v>16.381909547738694</v>
      </c>
    </row>
    <row r="1435" spans="1:7">
      <c r="A1435" s="3184">
        <v>1432</v>
      </c>
      <c r="B1435" s="3192">
        <v>-1762</v>
      </c>
      <c r="C1435" s="3189">
        <v>32.61</v>
      </c>
      <c r="D1435" s="3187" t="s">
        <v>4007</v>
      </c>
      <c r="E1435">
        <f t="shared" si="40"/>
        <v>4981</v>
      </c>
      <c r="F1435" s="3206">
        <f t="shared" si="39"/>
        <v>162430.41</v>
      </c>
      <c r="G1435">
        <f t="shared" si="41"/>
        <v>16.381909547738694</v>
      </c>
    </row>
    <row r="1436" spans="1:7">
      <c r="A1436" s="3184">
        <v>1433</v>
      </c>
      <c r="B1436" s="3192">
        <v>-1763</v>
      </c>
      <c r="C1436" s="3189">
        <v>32.61</v>
      </c>
      <c r="D1436" s="3187" t="s">
        <v>4007</v>
      </c>
      <c r="E1436">
        <f t="shared" si="40"/>
        <v>4981</v>
      </c>
      <c r="F1436" s="3206">
        <f t="shared" si="39"/>
        <v>162430.41</v>
      </c>
      <c r="G1436">
        <f t="shared" si="41"/>
        <v>16.381909547738694</v>
      </c>
    </row>
    <row r="1437" spans="1:7">
      <c r="A1437" s="3184">
        <v>1434</v>
      </c>
      <c r="B1437" s="3192">
        <v>-1764</v>
      </c>
      <c r="C1437" s="3189">
        <v>32.61</v>
      </c>
      <c r="D1437" s="3187" t="s">
        <v>4007</v>
      </c>
      <c r="E1437">
        <f t="shared" si="40"/>
        <v>4981</v>
      </c>
      <c r="F1437" s="3206">
        <f t="shared" si="39"/>
        <v>162430.41</v>
      </c>
      <c r="G1437">
        <f t="shared" si="41"/>
        <v>16.381909547738694</v>
      </c>
    </row>
    <row r="1438" spans="1:7">
      <c r="A1438" s="3184">
        <v>1435</v>
      </c>
      <c r="B1438" s="3192">
        <v>-1765</v>
      </c>
      <c r="C1438" s="3189">
        <v>32.61</v>
      </c>
      <c r="D1438" s="3187" t="s">
        <v>4007</v>
      </c>
      <c r="E1438">
        <f t="shared" si="40"/>
        <v>4981</v>
      </c>
      <c r="F1438" s="3206">
        <f t="shared" si="39"/>
        <v>162430.41</v>
      </c>
      <c r="G1438">
        <f t="shared" si="41"/>
        <v>16.381909547738694</v>
      </c>
    </row>
    <row r="1439" spans="1:7">
      <c r="A1439" s="3184">
        <v>1436</v>
      </c>
      <c r="B1439" s="3192">
        <v>-1766</v>
      </c>
      <c r="C1439" s="3189">
        <v>32.61</v>
      </c>
      <c r="D1439" s="3187" t="s">
        <v>4007</v>
      </c>
      <c r="E1439">
        <f t="shared" si="40"/>
        <v>4981</v>
      </c>
      <c r="F1439" s="3206">
        <f t="shared" si="39"/>
        <v>162430.41</v>
      </c>
      <c r="G1439">
        <f t="shared" si="41"/>
        <v>16.381909547738694</v>
      </c>
    </row>
    <row r="1440" spans="1:7">
      <c r="A1440" s="3184">
        <v>1437</v>
      </c>
      <c r="B1440" s="3192">
        <v>-1767</v>
      </c>
      <c r="C1440" s="3189">
        <v>32.61</v>
      </c>
      <c r="D1440" s="3187" t="s">
        <v>4007</v>
      </c>
      <c r="E1440">
        <f t="shared" si="40"/>
        <v>4981</v>
      </c>
      <c r="F1440" s="3206">
        <f t="shared" si="39"/>
        <v>162430.41</v>
      </c>
      <c r="G1440">
        <f t="shared" si="41"/>
        <v>16.381909547738694</v>
      </c>
    </row>
    <row r="1441" spans="1:7">
      <c r="A1441" s="3184">
        <v>1438</v>
      </c>
      <c r="B1441" s="3192">
        <v>-1768</v>
      </c>
      <c r="C1441" s="3189">
        <v>32.61</v>
      </c>
      <c r="D1441" s="3187" t="s">
        <v>4007</v>
      </c>
      <c r="E1441">
        <f t="shared" si="40"/>
        <v>4981</v>
      </c>
      <c r="F1441" s="3206">
        <f t="shared" si="39"/>
        <v>162430.41</v>
      </c>
      <c r="G1441">
        <f t="shared" si="41"/>
        <v>16.381909547738694</v>
      </c>
    </row>
    <row r="1442" spans="1:7">
      <c r="A1442" s="3184">
        <v>1439</v>
      </c>
      <c r="B1442" s="3192">
        <v>-1769</v>
      </c>
      <c r="C1442" s="3189">
        <v>32.61</v>
      </c>
      <c r="D1442" s="3187" t="s">
        <v>4007</v>
      </c>
      <c r="E1442">
        <f t="shared" si="40"/>
        <v>4981</v>
      </c>
      <c r="F1442" s="3206">
        <f t="shared" si="39"/>
        <v>162430.41</v>
      </c>
      <c r="G1442">
        <f t="shared" si="41"/>
        <v>16.381909547738694</v>
      </c>
    </row>
    <row r="1443" spans="1:7">
      <c r="A1443" s="3184">
        <v>1440</v>
      </c>
      <c r="B1443" s="3192">
        <v>-1770</v>
      </c>
      <c r="C1443" s="3189">
        <v>32.61</v>
      </c>
      <c r="D1443" s="3187" t="s">
        <v>4007</v>
      </c>
      <c r="E1443">
        <f t="shared" si="40"/>
        <v>4981</v>
      </c>
      <c r="F1443" s="3206">
        <f t="shared" si="39"/>
        <v>162430.41</v>
      </c>
      <c r="G1443">
        <f t="shared" si="41"/>
        <v>16.381909547738694</v>
      </c>
    </row>
    <row r="1444" spans="1:7">
      <c r="A1444" s="3184">
        <v>1441</v>
      </c>
      <c r="B1444" s="3192">
        <v>-1771</v>
      </c>
      <c r="C1444" s="3189">
        <v>32.61</v>
      </c>
      <c r="D1444" s="3187" t="s">
        <v>4007</v>
      </c>
      <c r="E1444">
        <f t="shared" si="40"/>
        <v>4981</v>
      </c>
      <c r="F1444" s="3206">
        <f t="shared" si="39"/>
        <v>162430.41</v>
      </c>
      <c r="G1444">
        <f t="shared" si="41"/>
        <v>16.381909547738694</v>
      </c>
    </row>
    <row r="1445" spans="1:7">
      <c r="A1445" s="3184">
        <v>1442</v>
      </c>
      <c r="B1445" s="3192">
        <v>-1772</v>
      </c>
      <c r="C1445" s="3189">
        <v>32.61</v>
      </c>
      <c r="D1445" s="3187" t="s">
        <v>4007</v>
      </c>
      <c r="E1445">
        <f t="shared" si="40"/>
        <v>4981</v>
      </c>
      <c r="F1445" s="3206">
        <f t="shared" si="39"/>
        <v>162430.41</v>
      </c>
      <c r="G1445">
        <f t="shared" si="41"/>
        <v>16.381909547738694</v>
      </c>
    </row>
    <row r="1446" spans="1:7">
      <c r="A1446" s="3184">
        <v>1443</v>
      </c>
      <c r="B1446" s="3192">
        <v>-1773</v>
      </c>
      <c r="C1446" s="3189">
        <v>32.61</v>
      </c>
      <c r="D1446" s="3187" t="s">
        <v>4007</v>
      </c>
      <c r="E1446">
        <f t="shared" si="40"/>
        <v>4981</v>
      </c>
      <c r="F1446" s="3206">
        <f t="shared" si="39"/>
        <v>162430.41</v>
      </c>
      <c r="G1446">
        <f t="shared" si="41"/>
        <v>16.381909547738694</v>
      </c>
    </row>
    <row r="1447" spans="1:7">
      <c r="A1447" s="3184">
        <v>1444</v>
      </c>
      <c r="B1447" s="3192">
        <v>-1774</v>
      </c>
      <c r="C1447" s="3189">
        <v>32.61</v>
      </c>
      <c r="D1447" s="3187" t="s">
        <v>4007</v>
      </c>
      <c r="E1447">
        <f t="shared" si="40"/>
        <v>4981</v>
      </c>
      <c r="F1447" s="3206">
        <f t="shared" si="39"/>
        <v>162430.41</v>
      </c>
      <c r="G1447">
        <f t="shared" si="41"/>
        <v>16.381909547738694</v>
      </c>
    </row>
    <row r="1448" spans="1:7">
      <c r="A1448" s="3184">
        <v>1445</v>
      </c>
      <c r="B1448" s="3192">
        <v>-1775</v>
      </c>
      <c r="C1448" s="3189">
        <v>32.61</v>
      </c>
      <c r="D1448" s="3187" t="s">
        <v>4007</v>
      </c>
      <c r="E1448">
        <f t="shared" si="40"/>
        <v>4981</v>
      </c>
      <c r="F1448" s="3206">
        <f t="shared" ref="F1448:F1474" si="42">E1448*C1448</f>
        <v>162430.41</v>
      </c>
      <c r="G1448">
        <f t="shared" si="41"/>
        <v>16.381909547738694</v>
      </c>
    </row>
    <row r="1449" spans="1:7">
      <c r="A1449" s="3184">
        <v>1446</v>
      </c>
      <c r="B1449" s="3192">
        <v>-1776</v>
      </c>
      <c r="C1449" s="3189">
        <v>32.61</v>
      </c>
      <c r="D1449" s="3187" t="s">
        <v>4007</v>
      </c>
      <c r="E1449">
        <f t="shared" ref="E1449:E1474" si="43">E1448</f>
        <v>4981</v>
      </c>
      <c r="F1449" s="3206">
        <f t="shared" si="42"/>
        <v>162430.41</v>
      </c>
      <c r="G1449">
        <f t="shared" ref="G1449:G1474" si="44">G1448</f>
        <v>16.381909547738694</v>
      </c>
    </row>
    <row r="1450" spans="1:7">
      <c r="A1450" s="3184">
        <v>1447</v>
      </c>
      <c r="B1450" s="3192">
        <v>-1777</v>
      </c>
      <c r="C1450" s="3189">
        <v>32.61</v>
      </c>
      <c r="D1450" s="3187" t="s">
        <v>4007</v>
      </c>
      <c r="E1450">
        <f t="shared" si="43"/>
        <v>4981</v>
      </c>
      <c r="F1450" s="3206">
        <f t="shared" si="42"/>
        <v>162430.41</v>
      </c>
      <c r="G1450">
        <f t="shared" si="44"/>
        <v>16.381909547738694</v>
      </c>
    </row>
    <row r="1451" spans="1:7">
      <c r="A1451" s="3184">
        <v>1448</v>
      </c>
      <c r="B1451" s="3192">
        <v>-1778</v>
      </c>
      <c r="C1451" s="3189">
        <v>32.61</v>
      </c>
      <c r="D1451" s="3187" t="s">
        <v>4007</v>
      </c>
      <c r="E1451">
        <f t="shared" si="43"/>
        <v>4981</v>
      </c>
      <c r="F1451" s="3206">
        <f t="shared" si="42"/>
        <v>162430.41</v>
      </c>
      <c r="G1451">
        <f t="shared" si="44"/>
        <v>16.381909547738694</v>
      </c>
    </row>
    <row r="1452" spans="1:7">
      <c r="A1452" s="3184">
        <v>1449</v>
      </c>
      <c r="B1452" s="3192">
        <v>-1779</v>
      </c>
      <c r="C1452" s="3189">
        <v>32.61</v>
      </c>
      <c r="D1452" s="3187" t="s">
        <v>4007</v>
      </c>
      <c r="E1452">
        <f t="shared" si="43"/>
        <v>4981</v>
      </c>
      <c r="F1452" s="3206">
        <f t="shared" si="42"/>
        <v>162430.41</v>
      </c>
      <c r="G1452">
        <f t="shared" si="44"/>
        <v>16.381909547738694</v>
      </c>
    </row>
    <row r="1453" spans="1:7">
      <c r="A1453" s="3184">
        <v>1450</v>
      </c>
      <c r="B1453" s="3192">
        <v>-1780</v>
      </c>
      <c r="C1453" s="3189">
        <v>32.61</v>
      </c>
      <c r="D1453" s="3187" t="s">
        <v>4007</v>
      </c>
      <c r="E1453">
        <f t="shared" si="43"/>
        <v>4981</v>
      </c>
      <c r="F1453" s="3206">
        <f t="shared" si="42"/>
        <v>162430.41</v>
      </c>
      <c r="G1453">
        <f t="shared" si="44"/>
        <v>16.381909547738694</v>
      </c>
    </row>
    <row r="1454" spans="1:7">
      <c r="A1454" s="3184">
        <v>1451</v>
      </c>
      <c r="B1454" s="3192">
        <v>-1781</v>
      </c>
      <c r="C1454" s="3189">
        <v>32.61</v>
      </c>
      <c r="D1454" s="3187" t="s">
        <v>4007</v>
      </c>
      <c r="E1454">
        <f t="shared" si="43"/>
        <v>4981</v>
      </c>
      <c r="F1454" s="3206">
        <f t="shared" si="42"/>
        <v>162430.41</v>
      </c>
      <c r="G1454">
        <f t="shared" si="44"/>
        <v>16.381909547738694</v>
      </c>
    </row>
    <row r="1455" spans="1:7">
      <c r="A1455" s="3184">
        <v>1452</v>
      </c>
      <c r="B1455" s="3192">
        <v>-1782</v>
      </c>
      <c r="C1455" s="3189">
        <v>32.61</v>
      </c>
      <c r="D1455" s="3187" t="s">
        <v>4007</v>
      </c>
      <c r="E1455">
        <f t="shared" si="43"/>
        <v>4981</v>
      </c>
      <c r="F1455" s="3206">
        <f t="shared" si="42"/>
        <v>162430.41</v>
      </c>
      <c r="G1455">
        <f t="shared" si="44"/>
        <v>16.381909547738694</v>
      </c>
    </row>
    <row r="1456" spans="1:7">
      <c r="A1456" s="3184">
        <v>1453</v>
      </c>
      <c r="B1456" s="3192">
        <v>-1783</v>
      </c>
      <c r="C1456" s="3189">
        <v>32.61</v>
      </c>
      <c r="D1456" s="3187" t="s">
        <v>4007</v>
      </c>
      <c r="E1456">
        <f t="shared" si="43"/>
        <v>4981</v>
      </c>
      <c r="F1456" s="3206">
        <f t="shared" si="42"/>
        <v>162430.41</v>
      </c>
      <c r="G1456">
        <f t="shared" si="44"/>
        <v>16.381909547738694</v>
      </c>
    </row>
    <row r="1457" spans="1:7">
      <c r="A1457" s="3184">
        <v>1454</v>
      </c>
      <c r="B1457" s="3192">
        <v>-1784</v>
      </c>
      <c r="C1457" s="3189">
        <v>32.61</v>
      </c>
      <c r="D1457" s="3187" t="s">
        <v>4007</v>
      </c>
      <c r="E1457">
        <f t="shared" si="43"/>
        <v>4981</v>
      </c>
      <c r="F1457" s="3206">
        <f t="shared" si="42"/>
        <v>162430.41</v>
      </c>
      <c r="G1457">
        <f t="shared" si="44"/>
        <v>16.381909547738694</v>
      </c>
    </row>
    <row r="1458" spans="1:7">
      <c r="A1458" s="3184">
        <v>1455</v>
      </c>
      <c r="B1458" s="3192">
        <v>-1785</v>
      </c>
      <c r="C1458" s="3189">
        <v>32.61</v>
      </c>
      <c r="D1458" s="3187" t="s">
        <v>4007</v>
      </c>
      <c r="E1458">
        <f t="shared" si="43"/>
        <v>4981</v>
      </c>
      <c r="F1458" s="3206">
        <f t="shared" si="42"/>
        <v>162430.41</v>
      </c>
      <c r="G1458">
        <f t="shared" si="44"/>
        <v>16.381909547738694</v>
      </c>
    </row>
    <row r="1459" spans="1:7">
      <c r="A1459" s="3184">
        <v>1456</v>
      </c>
      <c r="B1459" s="3192">
        <v>-1786</v>
      </c>
      <c r="C1459" s="3189">
        <v>32.61</v>
      </c>
      <c r="D1459" s="3187" t="s">
        <v>4007</v>
      </c>
      <c r="E1459">
        <f t="shared" si="43"/>
        <v>4981</v>
      </c>
      <c r="F1459" s="3206">
        <f t="shared" si="42"/>
        <v>162430.41</v>
      </c>
      <c r="G1459">
        <f t="shared" si="44"/>
        <v>16.381909547738694</v>
      </c>
    </row>
    <row r="1460" spans="1:7">
      <c r="A1460" s="3184">
        <v>1457</v>
      </c>
      <c r="B1460" s="3192">
        <v>-1787</v>
      </c>
      <c r="C1460" s="3189">
        <v>32.61</v>
      </c>
      <c r="D1460" s="3187" t="s">
        <v>4007</v>
      </c>
      <c r="E1460">
        <f t="shared" si="43"/>
        <v>4981</v>
      </c>
      <c r="F1460" s="3206">
        <f t="shared" si="42"/>
        <v>162430.41</v>
      </c>
      <c r="G1460">
        <f t="shared" si="44"/>
        <v>16.381909547738694</v>
      </c>
    </row>
    <row r="1461" spans="1:7">
      <c r="A1461" s="3184">
        <v>1458</v>
      </c>
      <c r="B1461" s="3192">
        <v>-1788</v>
      </c>
      <c r="C1461" s="3189">
        <v>32.61</v>
      </c>
      <c r="D1461" s="3187" t="s">
        <v>4007</v>
      </c>
      <c r="E1461">
        <f t="shared" si="43"/>
        <v>4981</v>
      </c>
      <c r="F1461" s="3206">
        <f t="shared" si="42"/>
        <v>162430.41</v>
      </c>
      <c r="G1461">
        <f t="shared" si="44"/>
        <v>16.381909547738694</v>
      </c>
    </row>
    <row r="1462" spans="1:7">
      <c r="A1462" s="3184">
        <v>1459</v>
      </c>
      <c r="B1462" s="3192">
        <v>-1789</v>
      </c>
      <c r="C1462" s="3189">
        <v>32.61</v>
      </c>
      <c r="D1462" s="3187" t="s">
        <v>4007</v>
      </c>
      <c r="E1462">
        <f t="shared" si="43"/>
        <v>4981</v>
      </c>
      <c r="F1462" s="3206">
        <f t="shared" si="42"/>
        <v>162430.41</v>
      </c>
      <c r="G1462">
        <f t="shared" si="44"/>
        <v>16.381909547738694</v>
      </c>
    </row>
    <row r="1463" spans="1:7">
      <c r="A1463" s="3184">
        <v>1460</v>
      </c>
      <c r="B1463" s="3192">
        <v>-1790</v>
      </c>
      <c r="C1463" s="3189">
        <v>32.61</v>
      </c>
      <c r="D1463" s="3187" t="s">
        <v>4007</v>
      </c>
      <c r="E1463">
        <f t="shared" si="43"/>
        <v>4981</v>
      </c>
      <c r="F1463" s="3206">
        <f t="shared" si="42"/>
        <v>162430.41</v>
      </c>
      <c r="G1463">
        <f t="shared" si="44"/>
        <v>16.381909547738694</v>
      </c>
    </row>
    <row r="1464" spans="1:7">
      <c r="A1464" s="3184">
        <v>1461</v>
      </c>
      <c r="B1464" s="3192">
        <v>-1791</v>
      </c>
      <c r="C1464" s="3189">
        <v>32.61</v>
      </c>
      <c r="D1464" s="3187" t="s">
        <v>4007</v>
      </c>
      <c r="E1464">
        <f t="shared" si="43"/>
        <v>4981</v>
      </c>
      <c r="F1464" s="3206">
        <f t="shared" si="42"/>
        <v>162430.41</v>
      </c>
      <c r="G1464">
        <f t="shared" si="44"/>
        <v>16.381909547738694</v>
      </c>
    </row>
    <row r="1465" spans="1:7">
      <c r="A1465" s="3184">
        <v>1462</v>
      </c>
      <c r="B1465" s="3192">
        <v>-1792</v>
      </c>
      <c r="C1465" s="3189">
        <v>32.61</v>
      </c>
      <c r="D1465" s="3187" t="s">
        <v>4007</v>
      </c>
      <c r="E1465">
        <f t="shared" si="43"/>
        <v>4981</v>
      </c>
      <c r="F1465" s="3206">
        <f t="shared" si="42"/>
        <v>162430.41</v>
      </c>
      <c r="G1465">
        <f t="shared" si="44"/>
        <v>16.381909547738694</v>
      </c>
    </row>
    <row r="1466" spans="1:7">
      <c r="A1466" s="3184">
        <v>1463</v>
      </c>
      <c r="B1466" s="3192">
        <v>-1793</v>
      </c>
      <c r="C1466" s="3189">
        <v>32.61</v>
      </c>
      <c r="D1466" s="3187" t="s">
        <v>4007</v>
      </c>
      <c r="E1466">
        <f t="shared" si="43"/>
        <v>4981</v>
      </c>
      <c r="F1466" s="3206">
        <f t="shared" si="42"/>
        <v>162430.41</v>
      </c>
      <c r="G1466">
        <f t="shared" si="44"/>
        <v>16.381909547738694</v>
      </c>
    </row>
    <row r="1467" spans="1:7">
      <c r="A1467" s="3184">
        <v>1464</v>
      </c>
      <c r="B1467" s="3192">
        <v>-1794</v>
      </c>
      <c r="C1467" s="3189">
        <v>32.61</v>
      </c>
      <c r="D1467" s="3187" t="s">
        <v>4007</v>
      </c>
      <c r="E1467">
        <f t="shared" si="43"/>
        <v>4981</v>
      </c>
      <c r="F1467" s="3206">
        <f t="shared" si="42"/>
        <v>162430.41</v>
      </c>
      <c r="G1467">
        <f t="shared" si="44"/>
        <v>16.381909547738694</v>
      </c>
    </row>
    <row r="1468" spans="1:7">
      <c r="A1468" s="3184">
        <v>1465</v>
      </c>
      <c r="B1468" s="3192">
        <v>-1795</v>
      </c>
      <c r="C1468" s="3189">
        <v>32.61</v>
      </c>
      <c r="D1468" s="3187" t="s">
        <v>4007</v>
      </c>
      <c r="E1468">
        <f t="shared" si="43"/>
        <v>4981</v>
      </c>
      <c r="F1468" s="3206">
        <f t="shared" si="42"/>
        <v>162430.41</v>
      </c>
      <c r="G1468">
        <f t="shared" si="44"/>
        <v>16.381909547738694</v>
      </c>
    </row>
    <row r="1469" spans="1:7">
      <c r="A1469" s="3184">
        <v>1466</v>
      </c>
      <c r="B1469" s="3192">
        <v>-1796</v>
      </c>
      <c r="C1469" s="3189">
        <v>32.61</v>
      </c>
      <c r="D1469" s="3187" t="s">
        <v>4007</v>
      </c>
      <c r="E1469">
        <f t="shared" si="43"/>
        <v>4981</v>
      </c>
      <c r="F1469" s="3206">
        <f t="shared" si="42"/>
        <v>162430.41</v>
      </c>
      <c r="G1469">
        <f t="shared" si="44"/>
        <v>16.381909547738694</v>
      </c>
    </row>
    <row r="1470" spans="1:7">
      <c r="A1470" s="3184">
        <v>1467</v>
      </c>
      <c r="B1470" s="3192">
        <v>-1797</v>
      </c>
      <c r="C1470" s="3189">
        <v>32.61</v>
      </c>
      <c r="D1470" s="3187" t="s">
        <v>4007</v>
      </c>
      <c r="E1470">
        <f t="shared" si="43"/>
        <v>4981</v>
      </c>
      <c r="F1470" s="3206">
        <f t="shared" si="42"/>
        <v>162430.41</v>
      </c>
      <c r="G1470">
        <f t="shared" si="44"/>
        <v>16.381909547738694</v>
      </c>
    </row>
    <row r="1471" spans="1:7">
      <c r="A1471" s="3184">
        <v>1468</v>
      </c>
      <c r="B1471" s="3192">
        <v>-1798</v>
      </c>
      <c r="C1471" s="3189">
        <v>32.61</v>
      </c>
      <c r="D1471" s="3187" t="s">
        <v>4007</v>
      </c>
      <c r="E1471">
        <f t="shared" si="43"/>
        <v>4981</v>
      </c>
      <c r="F1471" s="3206">
        <f t="shared" si="42"/>
        <v>162430.41</v>
      </c>
      <c r="G1471">
        <f t="shared" si="44"/>
        <v>16.381909547738694</v>
      </c>
    </row>
    <row r="1472" spans="1:7">
      <c r="A1472" s="3184">
        <v>1469</v>
      </c>
      <c r="B1472" s="3192">
        <v>-1799</v>
      </c>
      <c r="C1472" s="3189">
        <v>32.61</v>
      </c>
      <c r="D1472" s="3187" t="s">
        <v>4007</v>
      </c>
      <c r="E1472">
        <f t="shared" si="43"/>
        <v>4981</v>
      </c>
      <c r="F1472" s="3206">
        <f t="shared" si="42"/>
        <v>162430.41</v>
      </c>
      <c r="G1472">
        <f t="shared" si="44"/>
        <v>16.381909547738694</v>
      </c>
    </row>
    <row r="1473" spans="1:7">
      <c r="A1473" s="3184">
        <v>1470</v>
      </c>
      <c r="B1473" s="3192">
        <v>-1800</v>
      </c>
      <c r="C1473" s="3189">
        <v>32.61</v>
      </c>
      <c r="D1473" s="3187" t="s">
        <v>4007</v>
      </c>
      <c r="E1473">
        <f t="shared" si="43"/>
        <v>4981</v>
      </c>
      <c r="F1473" s="3206">
        <f t="shared" si="42"/>
        <v>162430.41</v>
      </c>
      <c r="G1473">
        <f t="shared" si="44"/>
        <v>16.381909547738694</v>
      </c>
    </row>
    <row r="1474" spans="1:7">
      <c r="A1474" s="3184">
        <v>1471</v>
      </c>
      <c r="B1474" s="3192">
        <v>-1801</v>
      </c>
      <c r="C1474" s="3189">
        <v>32.61</v>
      </c>
      <c r="D1474" s="3187" t="s">
        <v>4007</v>
      </c>
      <c r="E1474">
        <f t="shared" si="43"/>
        <v>4981</v>
      </c>
      <c r="F1474" s="3206">
        <f t="shared" si="42"/>
        <v>162430.41</v>
      </c>
      <c r="G1474">
        <f t="shared" si="44"/>
        <v>16.381909547738694</v>
      </c>
    </row>
    <row r="1475" spans="1:7">
      <c r="A1475" s="3302" t="s">
        <v>4012</v>
      </c>
      <c r="B1475" s="3303"/>
      <c r="C1475" s="3189">
        <f>SUM(C679:C1474)</f>
        <v>26180.310000000281</v>
      </c>
      <c r="D1475" s="3187" t="s">
        <v>4310</v>
      </c>
    </row>
    <row r="1476" spans="1:7">
      <c r="A1476" s="3302" t="s">
        <v>4013</v>
      </c>
      <c r="B1476" s="3303"/>
      <c r="C1476" s="3189">
        <f>SUM(C1475,C678,C606)</f>
        <v>106355.86000000013</v>
      </c>
      <c r="D1476" s="3187" t="s">
        <v>4310</v>
      </c>
    </row>
  </sheetData>
  <mergeCells count="3">
    <mergeCell ref="A678:B678"/>
    <mergeCell ref="A1475:B1475"/>
    <mergeCell ref="A1476:B1476"/>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预测绘!I41</f>
        <v>39582.79</v>
      </c>
      <c r="B3" s="11">
        <f>IF(C3="否",G5-AT5,G5)</f>
        <v>106355.86000000013</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5"/>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106355.86000000013</v>
      </c>
      <c r="H5" s="13">
        <f t="shared" ref="H5:AT5" si="0">SUM(H13:H656)</f>
        <v>106355.86000000013</v>
      </c>
      <c r="I5" s="13">
        <f t="shared" si="0"/>
        <v>79323.999999999854</v>
      </c>
      <c r="J5" s="13">
        <f t="shared" si="0"/>
        <v>0</v>
      </c>
      <c r="K5" s="13">
        <f t="shared" si="0"/>
        <v>851.55000000000007</v>
      </c>
      <c r="L5" s="13">
        <f t="shared" si="0"/>
        <v>0</v>
      </c>
      <c r="M5" s="13">
        <f t="shared" si="0"/>
        <v>26180.310000000281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106355.86000000013</v>
      </c>
      <c r="BA5" s="15">
        <f t="shared" si="1"/>
        <v>106355.86000000013</v>
      </c>
      <c r="BB5" s="15">
        <f t="shared" si="1"/>
        <v>79323.999999999854</v>
      </c>
      <c r="BC5" s="15">
        <f t="shared" si="1"/>
        <v>851.55000000000007</v>
      </c>
      <c r="BD5" s="15">
        <f t="shared" si="1"/>
        <v>26180.310000000281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39582.789999999994</v>
      </c>
      <c r="F6" s="13" t="s">
        <v>0</v>
      </c>
      <c r="G6" s="13" t="s">
        <v>1</v>
      </c>
      <c r="H6" s="17">
        <f>SUMIF(I$12:AB$12,"总值",I6:AB6)</f>
        <v>39582.789999999994</v>
      </c>
      <c r="I6" s="13">
        <f t="shared" ref="I6:AB6" si="2">ROUND($A$3*I5/$B$3,2)</f>
        <v>29522.26</v>
      </c>
      <c r="J6" s="13">
        <f t="shared" si="2"/>
        <v>0</v>
      </c>
      <c r="K6" s="13">
        <f t="shared" si="2"/>
        <v>316.92</v>
      </c>
      <c r="L6" s="13">
        <f t="shared" si="2"/>
        <v>0</v>
      </c>
      <c r="M6" s="13">
        <f t="shared" si="2"/>
        <v>9743.61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39582.79</v>
      </c>
      <c r="AZ6" s="13" t="s">
        <v>2</v>
      </c>
      <c r="BA6" s="13">
        <f>ROUND($AY$6*BA5/$AZ$5,2)</f>
        <v>39582.79</v>
      </c>
      <c r="BB6" s="13">
        <f>ROUND($AY$6*BB5/$AZ$5,2)</f>
        <v>29522.26</v>
      </c>
      <c r="BC6" s="13">
        <f t="shared" ref="BC6:BH6" si="4">ROUND($AY$6*BC5/$AZ$5,2)</f>
        <v>316.92</v>
      </c>
      <c r="BD6" s="13">
        <f t="shared" si="4"/>
        <v>9743.61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4014</v>
      </c>
      <c r="J9" s="758"/>
      <c r="K9" s="1488" t="s">
        <v>4015</v>
      </c>
      <c r="L9" s="758"/>
      <c r="M9" s="1488" t="s">
        <v>4015</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4016</v>
      </c>
      <c r="J10" s="758"/>
      <c r="K10" s="1494" t="s">
        <v>3331</v>
      </c>
      <c r="L10" s="758"/>
      <c r="M10" s="1494" t="s">
        <v>3330</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5"/>
      <c r="B13" s="625"/>
      <c r="C13" s="625"/>
      <c r="D13" s="1510" t="s">
        <v>4084</v>
      </c>
      <c r="E13" s="13">
        <f>IF($C$3="是",ROUND($A$3*G13/$B$3,2),ROUND($A$3*(G13-AT13)/$B$3,2))</f>
        <v>39582.79</v>
      </c>
      <c r="F13" s="29"/>
      <c r="G13" s="30">
        <f>H13+AC13+AT13</f>
        <v>106355.86000000013</v>
      </c>
      <c r="H13" s="17">
        <f>SUMIF(I$12:AB$12,"总值",I13:AB13)</f>
        <v>106355.86000000013</v>
      </c>
      <c r="I13" s="1511">
        <f>面积!C606</f>
        <v>79323.999999999854</v>
      </c>
      <c r="J13" s="1511"/>
      <c r="K13" s="1511">
        <f>面积!C678</f>
        <v>851.55000000000007</v>
      </c>
      <c r="L13" s="1511"/>
      <c r="M13" s="1511">
        <f>面积!C1475</f>
        <v>26180.310000000281</v>
      </c>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f t="shared" si="6"/>
        <v>0</v>
      </c>
      <c r="AY13" s="1257">
        <f>ROUND($AY$6*AZ13/$AZ$5,2)</f>
        <v>39582.79</v>
      </c>
      <c r="AZ13" s="13">
        <f>BA13+BL13</f>
        <v>106355.86000000013</v>
      </c>
      <c r="BA13" s="13">
        <f>SUM(BB13:BK13)</f>
        <v>106355.86000000013</v>
      </c>
      <c r="BB13" s="13">
        <f>IF($D13="是",I13-J13,0)</f>
        <v>79323.999999999854</v>
      </c>
      <c r="BC13" s="13">
        <f>IF($D13="是",K13-L13,0)</f>
        <v>851.55000000000007</v>
      </c>
      <c r="BD13" s="13">
        <f>IF($D13="是",M13-N13,0)</f>
        <v>26180.310000000281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5"/>
      <c r="B14" s="625"/>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5"/>
      <c r="B15" s="625"/>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5"/>
      <c r="B16" s="625"/>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5"/>
      <c r="B17" s="625"/>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E00-000000000000}">
      <formula1>估价范围判定</formula1>
    </dataValidation>
    <dataValidation type="list" errorStyle="warning" allowBlank="1" showInputMessage="1" showErrorMessage="1" sqref="I9 K9 M9 O9 Q9 S9 U9 W9 Y9 AA9" xr:uid="{00000000-0002-0000-0E00-000001000000}">
      <formula1>位置</formula1>
    </dataValidation>
    <dataValidation type="list" allowBlank="1" showErrorMessage="1" sqref="AA10 K10 M10 O10 Q10 S10 U10 W10 Y10" xr:uid="{00000000-0002-0000-0E00-000002000000}">
      <formula1>主用途</formula1>
    </dataValidation>
    <dataValidation type="list" allowBlank="1" showInputMessage="1" showErrorMessage="1" sqref="I11 K11 M11 O11 Q11 S11 U11 W11 Y11 AA11" xr:uid="{00000000-0002-0000-0E00-000003000000}">
      <formula1>用途明细</formula1>
    </dataValidation>
    <dataValidation type="list" allowBlank="1" showInputMessage="1" showErrorMessage="1" sqref="I10" xr:uid="{00000000-0002-0000-0E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Normal="100" zoomScaleSheetLayoutView="100" workbookViewId="0">
      <selection activeCell="E21" sqref="E21"/>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13" t="s">
        <v>1131</v>
      </c>
      <c r="B2" s="3313"/>
      <c r="C2" s="3313"/>
      <c r="D2" s="745" t="s">
        <v>1107</v>
      </c>
      <c r="E2" s="1520" t="s">
        <v>1108</v>
      </c>
      <c r="F2" s="2432"/>
      <c r="G2" s="2425"/>
      <c r="H2" s="2426"/>
      <c r="I2" s="2142" t="s">
        <v>1132</v>
      </c>
      <c r="J2" s="2432"/>
      <c r="K2" s="2432"/>
      <c r="L2" s="2432"/>
      <c r="M2" s="2432"/>
      <c r="N2" s="2433"/>
      <c r="O2" s="2432"/>
      <c r="P2" s="2432"/>
    </row>
    <row r="3" spans="1:16" ht="15.75" thickBot="1">
      <c r="A3" s="3314" t="s">
        <v>1105</v>
      </c>
      <c r="B3" s="3314"/>
      <c r="C3" s="3314"/>
      <c r="D3" s="41">
        <f>'数据-基础表'!AY6</f>
        <v>39582.79</v>
      </c>
      <c r="E3" s="41">
        <f>'数据-基础表'!AZ5</f>
        <v>106355.86000000013</v>
      </c>
      <c r="F3" s="2432"/>
      <c r="G3" s="42"/>
      <c r="H3" s="43" t="s">
        <v>1106</v>
      </c>
      <c r="I3" s="799">
        <f>ROUND('数据-基础表'!B3/'数据-基础表'!A3,2)</f>
        <v>2.69</v>
      </c>
      <c r="J3" s="2432"/>
      <c r="K3" s="2432"/>
      <c r="L3" s="2432"/>
      <c r="M3" s="2432"/>
      <c r="N3" s="2433"/>
      <c r="O3" s="2432"/>
      <c r="P3" s="2432"/>
    </row>
    <row r="4" spans="1:16" ht="15">
      <c r="A4" s="3315"/>
      <c r="B4" s="3316"/>
      <c r="C4" s="3317"/>
      <c r="D4" s="1521" t="s">
        <v>1107</v>
      </c>
      <c r="E4" s="1522" t="s">
        <v>1108</v>
      </c>
      <c r="F4" s="2432"/>
      <c r="G4" s="2427" t="s">
        <v>1133</v>
      </c>
      <c r="H4" s="43" t="s">
        <v>1113</v>
      </c>
      <c r="I4" s="799">
        <f>ROUND(SUMIF('数据-基础表'!I9:AS9,"地上",'数据-基础表'!I5:AS5)/'数据-基础表'!A3,2)</f>
        <v>2</v>
      </c>
      <c r="J4" s="2432"/>
      <c r="K4" s="2432"/>
      <c r="L4" s="2432"/>
      <c r="M4" s="2432"/>
      <c r="N4" s="2433"/>
      <c r="O4" s="2432"/>
      <c r="P4" s="2432"/>
    </row>
    <row r="5" spans="1:16">
      <c r="A5" s="42" t="s">
        <v>1109</v>
      </c>
      <c r="B5" s="3318" t="s">
        <v>1110</v>
      </c>
      <c r="C5" s="3318"/>
      <c r="D5" s="43">
        <f>ROUND($D$3*E5/$E$3,2)</f>
        <v>29522.26</v>
      </c>
      <c r="E5" s="44">
        <f>SUMIF('数据-基础表'!$11:$11,"住宅",'数据-基础表'!$5:$5)</f>
        <v>79323.999999999854</v>
      </c>
      <c r="F5" s="2432"/>
      <c r="G5" s="42"/>
      <c r="H5" s="43" t="s">
        <v>1106</v>
      </c>
      <c r="I5" s="799">
        <f>ROUND(E31/D31,2)</f>
        <v>2.69</v>
      </c>
      <c r="J5" s="2432"/>
      <c r="K5" s="2432"/>
      <c r="L5" s="2432"/>
      <c r="M5" s="2432"/>
      <c r="N5" s="2432"/>
      <c r="O5" s="2432"/>
      <c r="P5" s="2432"/>
    </row>
    <row r="6" spans="1:16" ht="15" thickBot="1">
      <c r="A6" s="1524"/>
      <c r="B6" s="3318" t="s">
        <v>1111</v>
      </c>
      <c r="C6" s="3318"/>
      <c r="D6" s="43">
        <f>ROUND($D$3*E6/$E$3,2)</f>
        <v>10060.530000000001</v>
      </c>
      <c r="E6" s="44">
        <f>E3-E5</f>
        <v>27031.860000000277</v>
      </c>
      <c r="F6" s="2432"/>
      <c r="G6" s="1526" t="s">
        <v>1112</v>
      </c>
      <c r="H6" s="45" t="s">
        <v>1113</v>
      </c>
      <c r="I6" s="2428">
        <f>ROUND(F31/D31,2)</f>
        <v>2</v>
      </c>
      <c r="J6" s="2432"/>
      <c r="K6" s="2432"/>
      <c r="L6" s="2432"/>
      <c r="M6" s="2432"/>
      <c r="N6" s="2432"/>
      <c r="O6" s="2432"/>
      <c r="P6" s="2432"/>
    </row>
    <row r="7" spans="1:16" ht="15.75" thickBot="1">
      <c r="A7" s="3310"/>
      <c r="B7" s="3311"/>
      <c r="C7" s="3312"/>
      <c r="D7" s="1521" t="s">
        <v>1107</v>
      </c>
      <c r="E7" s="1525" t="s">
        <v>1114</v>
      </c>
      <c r="F7" s="2432"/>
      <c r="G7" s="2429" t="s">
        <v>1115</v>
      </c>
      <c r="H7" s="94"/>
      <c r="I7" s="2430">
        <v>1.8</v>
      </c>
      <c r="J7" s="2432"/>
      <c r="K7" s="2432"/>
      <c r="L7" s="2432"/>
      <c r="M7" s="2432"/>
      <c r="N7" s="2432"/>
      <c r="O7" s="2432"/>
      <c r="P7" s="2432"/>
    </row>
    <row r="8" spans="1:16">
      <c r="A8" s="42" t="s">
        <v>1116</v>
      </c>
      <c r="B8" s="45" t="s">
        <v>1117</v>
      </c>
      <c r="C8" s="43" t="s">
        <v>1118</v>
      </c>
      <c r="D8" s="43">
        <f t="shared" ref="D8:D15" si="0">ROUND($D$3*E8/$E$3,2)</f>
        <v>29522.26</v>
      </c>
      <c r="E8" s="46">
        <f>SUMIF('数据-基础表'!BB10:BK10,"地上",'数据-基础表'!BB5:BK5)</f>
        <v>79323.999999999854</v>
      </c>
      <c r="F8" s="2432"/>
      <c r="G8" s="2432"/>
      <c r="H8" s="2432"/>
      <c r="I8" s="2432"/>
      <c r="J8" s="2432"/>
      <c r="K8" s="2432"/>
      <c r="L8" s="2432"/>
      <c r="M8" s="2432"/>
      <c r="N8" s="2432"/>
      <c r="O8" s="2432"/>
      <c r="P8" s="2432"/>
    </row>
    <row r="9" spans="1:16">
      <c r="A9" s="1526"/>
      <c r="B9" s="1527"/>
      <c r="C9" s="43" t="s">
        <v>1119</v>
      </c>
      <c r="D9" s="43">
        <f t="shared" si="0"/>
        <v>0</v>
      </c>
      <c r="E9" s="47">
        <v>0</v>
      </c>
      <c r="F9" s="2432"/>
      <c r="G9" s="2432"/>
      <c r="H9" s="2432"/>
      <c r="I9" s="2432"/>
      <c r="J9" s="2432"/>
      <c r="K9" s="2432"/>
      <c r="L9" s="2432"/>
      <c r="M9" s="2432"/>
      <c r="N9" s="2432"/>
      <c r="O9" s="2432"/>
      <c r="P9" s="2432"/>
    </row>
    <row r="10" spans="1:16">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6"/>
      <c r="B12" s="1527"/>
      <c r="C12" s="43" t="s">
        <v>1121</v>
      </c>
      <c r="D12" s="43">
        <f t="shared" si="0"/>
        <v>316.92</v>
      </c>
      <c r="E12" s="46">
        <f>SUMPRODUCT(('数据-基础表'!BB10:BK10="地下")*('数据-基础表'!BB11:BK11="仓储")*('数据-基础表'!BB5:BK5))</f>
        <v>851.55000000000007</v>
      </c>
      <c r="F12" s="2432"/>
      <c r="G12" s="2432"/>
      <c r="H12" s="2432"/>
      <c r="I12" s="2432"/>
      <c r="J12" s="2432"/>
      <c r="K12" s="2432"/>
      <c r="L12" s="2432"/>
      <c r="M12" s="2432"/>
      <c r="N12" s="2432"/>
      <c r="O12" s="2432"/>
      <c r="P12" s="2432"/>
    </row>
    <row r="13" spans="1:16">
      <c r="A13" s="1526"/>
      <c r="B13" s="1527"/>
      <c r="C13" s="43" t="s">
        <v>1122</v>
      </c>
      <c r="D13" s="43">
        <f t="shared" si="0"/>
        <v>9743.61</v>
      </c>
      <c r="E13" s="46">
        <f>SUMPRODUCT(('数据-基础表'!BB10:BK10="地下")*('数据-基础表'!BB11:BK11="车库")*('数据-基础表'!BB5:BK5))</f>
        <v>26180.310000000281</v>
      </c>
      <c r="F13" s="2432"/>
      <c r="G13" s="2432"/>
      <c r="H13" s="2432"/>
      <c r="I13" s="2432"/>
      <c r="J13" s="2432"/>
      <c r="K13" s="2432"/>
      <c r="L13" s="2432"/>
      <c r="M13" s="2432"/>
      <c r="N13" s="2432"/>
      <c r="O13" s="2432"/>
      <c r="P13" s="2432"/>
    </row>
    <row r="14" spans="1:16">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4"/>
      <c r="B16" s="1527"/>
      <c r="C16" s="45" t="s">
        <v>1123</v>
      </c>
      <c r="D16" s="45">
        <f>SUM(D8:D15)</f>
        <v>39582.789999999994</v>
      </c>
      <c r="E16" s="48">
        <f>SUM(E8:E15)</f>
        <v>106355.86000000013</v>
      </c>
      <c r="F16" s="2432"/>
      <c r="G16" s="2432"/>
      <c r="H16" s="1528" t="s">
        <v>1135</v>
      </c>
      <c r="I16" s="1529"/>
      <c r="J16" s="1068"/>
      <c r="K16" s="3307" t="s">
        <v>1135</v>
      </c>
      <c r="L16" s="3308"/>
      <c r="M16" s="3308"/>
      <c r="N16" s="3308"/>
      <c r="O16" s="3308"/>
      <c r="P16" s="3309"/>
    </row>
    <row r="17" spans="1:19" ht="15">
      <c r="A17" s="1530" t="s">
        <v>1136</v>
      </c>
      <c r="B17" s="1531" t="s">
        <v>1137</v>
      </c>
      <c r="C17" s="1532" t="s">
        <v>1138</v>
      </c>
      <c r="D17" s="1533" t="s">
        <v>1126</v>
      </c>
      <c r="E17" s="1534" t="s">
        <v>1127</v>
      </c>
      <c r="F17" s="1535"/>
      <c r="G17" s="1536"/>
      <c r="H17" s="1537" t="s">
        <v>1139</v>
      </c>
      <c r="I17" s="1538" t="s">
        <v>1124</v>
      </c>
      <c r="J17" s="1068"/>
      <c r="K17" s="3304" t="s">
        <v>1140</v>
      </c>
      <c r="L17" s="3305"/>
      <c r="M17" s="3306"/>
      <c r="N17" s="3304" t="s">
        <v>1141</v>
      </c>
      <c r="O17" s="3305"/>
      <c r="P17" s="3306"/>
      <c r="R17" s="766" t="s">
        <v>1142</v>
      </c>
      <c r="S17" s="53"/>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08" t="s">
        <v>4085</v>
      </c>
      <c r="D19" s="43">
        <f>ROUND($D$3*E19/$E$3,2)</f>
        <v>29522.26</v>
      </c>
      <c r="E19" s="51">
        <f t="shared" ref="E19:E26" si="1">SUM(F19:G19)</f>
        <v>79323.999999999854</v>
      </c>
      <c r="F19" s="2550">
        <f>'数据-基础表'!I13</f>
        <v>79323.999999999854</v>
      </c>
      <c r="G19" s="1240"/>
      <c r="H19" s="634">
        <f>ROUND($D$3*I19/$E$3,2)</f>
        <v>0</v>
      </c>
      <c r="I19" s="46">
        <f t="shared" ref="I19:I26" si="2">IF($I$17="自定义",P19,M19)</f>
        <v>0</v>
      </c>
      <c r="J19" s="1068"/>
      <c r="K19" s="634">
        <f t="shared" ref="K19:K26" si="3">ROUND(E$28*E19/E$27,2)</f>
        <v>0</v>
      </c>
      <c r="L19" s="43">
        <f t="shared" ref="L19:L26" si="4">ROUND(IF(COUNTIF(C19,"*住宅*")&gt;0,E$29*E19/E$32,0),2)</f>
        <v>0</v>
      </c>
      <c r="M19" s="46">
        <f>K19+L19</f>
        <v>0</v>
      </c>
      <c r="N19" s="1547"/>
      <c r="O19" s="1548"/>
      <c r="P19" s="46">
        <f>N19+O19</f>
        <v>0</v>
      </c>
      <c r="R19" s="43">
        <f t="shared" ref="R19:S26" si="5">D19+H19</f>
        <v>29522.26</v>
      </c>
      <c r="S19" s="51">
        <f t="shared" si="5"/>
        <v>79323.999999999854</v>
      </c>
    </row>
    <row r="20" spans="1:19">
      <c r="A20" s="1546"/>
      <c r="B20" s="45" t="s">
        <v>1153</v>
      </c>
      <c r="C20" s="3108" t="s">
        <v>4086</v>
      </c>
      <c r="D20" s="43">
        <f t="shared" ref="D20:D26" si="6">ROUND($D$3*E20/$E$3,2)</f>
        <v>316.92</v>
      </c>
      <c r="E20" s="51">
        <f t="shared" si="1"/>
        <v>851.55000000000007</v>
      </c>
      <c r="F20" s="2550"/>
      <c r="G20" s="1240">
        <f>'数据-基础表'!K13</f>
        <v>851.55000000000007</v>
      </c>
      <c r="H20" s="634">
        <f t="shared" ref="H20:H26" si="7">ROUND($D$3*I20/$E$3,2)</f>
        <v>0</v>
      </c>
      <c r="I20" s="46">
        <f t="shared" si="2"/>
        <v>0</v>
      </c>
      <c r="J20" s="1068"/>
      <c r="K20" s="634">
        <f t="shared" si="3"/>
        <v>0</v>
      </c>
      <c r="L20" s="43">
        <f t="shared" si="4"/>
        <v>0</v>
      </c>
      <c r="M20" s="46">
        <f t="shared" ref="M20:M26" si="8">K20+L20</f>
        <v>0</v>
      </c>
      <c r="N20" s="1547"/>
      <c r="O20" s="1548"/>
      <c r="P20" s="46">
        <f t="shared" ref="P20:P26" si="9">N20+O20</f>
        <v>0</v>
      </c>
      <c r="R20" s="43">
        <f t="shared" si="5"/>
        <v>316.92</v>
      </c>
      <c r="S20" s="51">
        <f t="shared" si="5"/>
        <v>851.55000000000007</v>
      </c>
    </row>
    <row r="21" spans="1:19">
      <c r="A21" s="1546"/>
      <c r="B21" s="45" t="s">
        <v>1153</v>
      </c>
      <c r="C21" s="3108" t="s">
        <v>4087</v>
      </c>
      <c r="D21" s="43">
        <f t="shared" si="6"/>
        <v>9743.61</v>
      </c>
      <c r="E21" s="51">
        <f t="shared" si="1"/>
        <v>26180.310000000281</v>
      </c>
      <c r="F21" s="2550"/>
      <c r="G21" s="1240">
        <f>'数据-基础表'!M13</f>
        <v>26180.310000000281</v>
      </c>
      <c r="H21" s="634">
        <f t="shared" si="7"/>
        <v>0</v>
      </c>
      <c r="I21" s="46">
        <f t="shared" si="2"/>
        <v>0</v>
      </c>
      <c r="J21" s="1068"/>
      <c r="K21" s="634">
        <f t="shared" si="3"/>
        <v>0</v>
      </c>
      <c r="L21" s="43">
        <f t="shared" si="4"/>
        <v>0</v>
      </c>
      <c r="M21" s="46">
        <f t="shared" si="8"/>
        <v>0</v>
      </c>
      <c r="N21" s="1547"/>
      <c r="O21" s="1548"/>
      <c r="P21" s="46">
        <f t="shared" si="9"/>
        <v>0</v>
      </c>
      <c r="R21" s="43">
        <f t="shared" si="5"/>
        <v>9743.61</v>
      </c>
      <c r="S21" s="51">
        <f t="shared" si="5"/>
        <v>26180.310000000281</v>
      </c>
    </row>
    <row r="22" spans="1:19">
      <c r="A22" s="1546"/>
      <c r="B22" s="45" t="s">
        <v>1153</v>
      </c>
      <c r="C22" s="3109"/>
      <c r="D22" s="43">
        <f t="shared" si="6"/>
        <v>0</v>
      </c>
      <c r="E22" s="51">
        <f t="shared" si="1"/>
        <v>0</v>
      </c>
      <c r="F22" s="2551"/>
      <c r="G22" s="2552"/>
      <c r="H22" s="634">
        <f t="shared" si="7"/>
        <v>0</v>
      </c>
      <c r="I22" s="46">
        <f t="shared" si="2"/>
        <v>0</v>
      </c>
      <c r="J22" s="1068"/>
      <c r="K22" s="634">
        <f t="shared" si="3"/>
        <v>0</v>
      </c>
      <c r="L22" s="43">
        <f t="shared" si="4"/>
        <v>0</v>
      </c>
      <c r="M22" s="46">
        <f t="shared" si="8"/>
        <v>0</v>
      </c>
      <c r="N22" s="1547"/>
      <c r="O22" s="1548"/>
      <c r="P22" s="46">
        <f t="shared" si="9"/>
        <v>0</v>
      </c>
      <c r="R22" s="43">
        <f t="shared" si="5"/>
        <v>0</v>
      </c>
      <c r="S22" s="51">
        <f t="shared" si="5"/>
        <v>0</v>
      </c>
    </row>
    <row r="23" spans="1:19">
      <c r="A23" s="1546"/>
      <c r="B23" s="45" t="s">
        <v>1153</v>
      </c>
      <c r="C23" s="3109"/>
      <c r="D23" s="43">
        <f>ROUND($D$3*E23/$E$3,2)</f>
        <v>0</v>
      </c>
      <c r="E23" s="51">
        <f>SUM(F23:G23)</f>
        <v>0</v>
      </c>
      <c r="F23" s="2551"/>
      <c r="G23" s="2552"/>
      <c r="H23" s="634">
        <f>ROUND($D$3*I23/$E$3,2)</f>
        <v>0</v>
      </c>
      <c r="I23" s="46">
        <f t="shared" si="2"/>
        <v>0</v>
      </c>
      <c r="J23" s="1068"/>
      <c r="K23" s="634">
        <f t="shared" si="3"/>
        <v>0</v>
      </c>
      <c r="L23" s="43">
        <f t="shared" si="4"/>
        <v>0</v>
      </c>
      <c r="M23" s="46">
        <f t="shared" si="8"/>
        <v>0</v>
      </c>
      <c r="N23" s="1547"/>
      <c r="O23" s="1548"/>
      <c r="P23" s="46">
        <f t="shared" si="9"/>
        <v>0</v>
      </c>
      <c r="R23" s="43">
        <f t="shared" si="5"/>
        <v>0</v>
      </c>
      <c r="S23" s="51">
        <f t="shared" si="5"/>
        <v>0</v>
      </c>
    </row>
    <row r="24" spans="1:19">
      <c r="A24" s="1546"/>
      <c r="B24" s="45" t="s">
        <v>1153</v>
      </c>
      <c r="C24" s="3109"/>
      <c r="D24" s="43">
        <f>ROUND($D$3*E24/$E$3,2)</f>
        <v>0</v>
      </c>
      <c r="E24" s="51">
        <f>SUM(F24:G24)</f>
        <v>0</v>
      </c>
      <c r="F24" s="2551"/>
      <c r="G24" s="2552"/>
      <c r="H24" s="634">
        <f>ROUND($D$3*I24/$E$3,2)</f>
        <v>0</v>
      </c>
      <c r="I24" s="46">
        <f t="shared" si="2"/>
        <v>0</v>
      </c>
      <c r="J24" s="1068"/>
      <c r="K24" s="634">
        <f t="shared" si="3"/>
        <v>0</v>
      </c>
      <c r="L24" s="43">
        <f t="shared" si="4"/>
        <v>0</v>
      </c>
      <c r="M24" s="46">
        <f t="shared" si="8"/>
        <v>0</v>
      </c>
      <c r="N24" s="1547"/>
      <c r="O24" s="1548"/>
      <c r="P24" s="46">
        <f t="shared" si="9"/>
        <v>0</v>
      </c>
      <c r="R24" s="43">
        <f t="shared" si="5"/>
        <v>0</v>
      </c>
      <c r="S24" s="51">
        <f t="shared" si="5"/>
        <v>0</v>
      </c>
    </row>
    <row r="25" spans="1:19">
      <c r="A25" s="1546"/>
      <c r="B25" s="45" t="s">
        <v>1153</v>
      </c>
      <c r="C25" s="3109"/>
      <c r="D25" s="43">
        <f t="shared" si="6"/>
        <v>0</v>
      </c>
      <c r="E25" s="51">
        <f t="shared" si="1"/>
        <v>0</v>
      </c>
      <c r="F25" s="2551"/>
      <c r="G25" s="2552"/>
      <c r="H25" s="42">
        <f t="shared" si="7"/>
        <v>0</v>
      </c>
      <c r="I25" s="46">
        <f t="shared" si="2"/>
        <v>0</v>
      </c>
      <c r="J25" s="1068"/>
      <c r="K25" s="634">
        <f t="shared" si="3"/>
        <v>0</v>
      </c>
      <c r="L25" s="43">
        <f t="shared" si="4"/>
        <v>0</v>
      </c>
      <c r="M25" s="46">
        <f t="shared" si="8"/>
        <v>0</v>
      </c>
      <c r="N25" s="1547"/>
      <c r="O25" s="1548"/>
      <c r="P25" s="46">
        <f t="shared" si="9"/>
        <v>0</v>
      </c>
      <c r="R25" s="43">
        <f t="shared" si="5"/>
        <v>0</v>
      </c>
      <c r="S25" s="51">
        <f t="shared" si="5"/>
        <v>0</v>
      </c>
    </row>
    <row r="26" spans="1:19">
      <c r="A26" s="1546"/>
      <c r="B26" s="45" t="s">
        <v>1153</v>
      </c>
      <c r="C26" s="52"/>
      <c r="D26" s="43">
        <f t="shared" si="6"/>
        <v>0</v>
      </c>
      <c r="E26" s="51">
        <f t="shared" si="1"/>
        <v>0</v>
      </c>
      <c r="F26" s="2551"/>
      <c r="G26" s="2552"/>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39582.789999999994</v>
      </c>
      <c r="E27" s="1070">
        <f>IF(SUM(E19:E26)='数据-基础表'!BA5,SUM(E19:E26),IF(F27="地上面积有误","面积有误","地下面积有误"))</f>
        <v>106355.86000000013</v>
      </c>
      <c r="F27" s="1069">
        <f>IF(SUM(F19:F26)=E8,SUM(F19:F26),"地上面积有误")</f>
        <v>79323.999999999854</v>
      </c>
      <c r="G27" s="1071">
        <f>SUM(G19:G26)</f>
        <v>27031.860000000281</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39582.789999999994</v>
      </c>
      <c r="S27" s="43">
        <f>IF(SUM(S19:S26)=$E$3,SUM(S19:S26),SUM(S19:S26)&amp;"误差"&amp;ROUND(SUM(S19:S26)-E3,2))</f>
        <v>106355.86000000013</v>
      </c>
    </row>
    <row r="28" spans="1:19">
      <c r="A28" s="1546"/>
      <c r="B28" s="45" t="s">
        <v>1155</v>
      </c>
      <c r="C28" s="53" t="s">
        <v>1156</v>
      </c>
      <c r="D28" s="43">
        <f>ROUND($D$3*E28/$E$3,2)</f>
        <v>0</v>
      </c>
      <c r="E28" s="51">
        <f>SUM(F28:G28)</f>
        <v>0</v>
      </c>
      <c r="F28" s="53">
        <f>'数据-基础表'!BQ5+'数据-基础表'!BS5</f>
        <v>0</v>
      </c>
      <c r="G28" s="54">
        <f>'数据-基础表'!BR5+'数据-基础表'!BT5</f>
        <v>0</v>
      </c>
      <c r="H28" s="2432"/>
      <c r="I28" s="2432"/>
      <c r="J28" s="2432"/>
      <c r="K28" s="2432"/>
      <c r="L28" s="2432"/>
      <c r="M28" s="2432"/>
      <c r="N28" s="2432"/>
      <c r="O28" s="2432"/>
      <c r="P28" s="2432"/>
    </row>
    <row r="29" spans="1:19">
      <c r="A29" s="1546"/>
      <c r="B29" s="45" t="s">
        <v>1155</v>
      </c>
      <c r="C29" s="1552" t="s">
        <v>1157</v>
      </c>
      <c r="D29" s="43">
        <f>ROUND($D$3*E29/$E$3,2)</f>
        <v>0</v>
      </c>
      <c r="E29" s="51">
        <f>SUM(F29:G29)</f>
        <v>0</v>
      </c>
      <c r="F29" s="55">
        <f>'数据-基础表'!BM5+'数据-基础表'!BO5</f>
        <v>0</v>
      </c>
      <c r="G29" s="48">
        <f>'数据-基础表'!BN5+'数据-基础表'!BP5</f>
        <v>0</v>
      </c>
      <c r="H29" s="2432"/>
      <c r="I29" s="2432"/>
      <c r="J29" s="2432"/>
      <c r="K29" s="2432"/>
      <c r="L29" s="2432"/>
      <c r="M29" s="2432"/>
      <c r="N29" s="2432"/>
      <c r="O29" s="2432"/>
      <c r="P29" s="2432"/>
    </row>
    <row r="30" spans="1:19" ht="15">
      <c r="A30" s="1546"/>
      <c r="B30" s="45"/>
      <c r="C30" s="1553" t="s">
        <v>1154</v>
      </c>
      <c r="D30" s="1069">
        <f>SUM(D28:D29)</f>
        <v>0</v>
      </c>
      <c r="E30" s="1069">
        <f>SUM(E28:E29)</f>
        <v>0</v>
      </c>
      <c r="F30" s="1069">
        <f>SUM(F28:F29)</f>
        <v>0</v>
      </c>
      <c r="G30" s="1071">
        <f>SUM(G28:G29)</f>
        <v>0</v>
      </c>
      <c r="H30" s="2432"/>
      <c r="I30" s="2432"/>
      <c r="J30" s="2432"/>
      <c r="K30" s="2432"/>
      <c r="L30" s="2432"/>
      <c r="M30" s="2432"/>
      <c r="N30" s="2432"/>
      <c r="O30" s="2432"/>
      <c r="P30" s="2432"/>
    </row>
    <row r="31" spans="1:19" ht="15.75" thickBot="1">
      <c r="A31" s="1554"/>
      <c r="B31" s="95"/>
      <c r="C31" s="782" t="s">
        <v>1158</v>
      </c>
      <c r="D31" s="640">
        <f>D27+D30</f>
        <v>39582.789999999994</v>
      </c>
      <c r="E31" s="640">
        <f>E27+E30</f>
        <v>106355.86000000013</v>
      </c>
      <c r="F31" s="641">
        <f>F27+F30</f>
        <v>79323.999999999854</v>
      </c>
      <c r="G31" s="642">
        <f>G27+G30</f>
        <v>27031.860000000281</v>
      </c>
      <c r="H31" s="2432"/>
      <c r="I31" s="2432"/>
      <c r="J31" s="2432"/>
      <c r="K31" s="2432"/>
      <c r="L31" s="2432"/>
      <c r="M31" s="2432"/>
      <c r="N31" s="2432"/>
      <c r="O31" s="2432"/>
      <c r="P31" s="2432"/>
    </row>
    <row r="32" spans="1:19">
      <c r="A32" s="1523"/>
      <c r="B32" s="1523" t="s">
        <v>1159</v>
      </c>
      <c r="C32" s="1523"/>
      <c r="D32" s="1523"/>
      <c r="E32" s="987">
        <f>SUMIF(C19:C26,"*住宅*",E19:E26)</f>
        <v>79323.999999999854</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K27" activePane="bottomRight" state="frozen"/>
      <selection activeCell="C50" sqref="C50"/>
      <selection pane="topRight" activeCell="C50" sqref="C50"/>
      <selection pane="bottomLeft" activeCell="C50" sqref="C50"/>
      <selection pane="bottomRight" activeCell="L34" sqref="L34"/>
    </sheetView>
  </sheetViews>
  <sheetFormatPr defaultColWidth="13.75" defaultRowHeight="12.75"/>
  <cols>
    <col min="1" max="1" width="20.875" style="1614" customWidth="1"/>
    <col min="2" max="2" width="12" style="1558" customWidth="1"/>
    <col min="3" max="3" width="12.75" style="1558" customWidth="1"/>
    <col min="4" max="4" width="9.125" style="1615"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1160</v>
      </c>
      <c r="B1" s="643"/>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1"/>
      <c r="AO1" s="2441"/>
      <c r="AP1" s="2441"/>
      <c r="AQ1" s="2441"/>
      <c r="AR1" s="2441"/>
    </row>
    <row r="2" spans="1:67" s="1448" customFormat="1" ht="15.75" thickBot="1">
      <c r="A2" s="1559" t="s">
        <v>1161</v>
      </c>
      <c r="B2" s="981">
        <f>项目基本情况!D3</f>
        <v>45639</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6"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4088</v>
      </c>
      <c r="O5" s="1574" t="s">
        <v>1181</v>
      </c>
      <c r="P5" s="1577" t="s">
        <v>1182</v>
      </c>
      <c r="Q5" s="57" t="s">
        <v>1183</v>
      </c>
      <c r="R5" s="1578" t="s">
        <v>1184</v>
      </c>
      <c r="S5" s="1579" t="s">
        <v>1185</v>
      </c>
      <c r="T5" s="1580" t="s">
        <v>1186</v>
      </c>
      <c r="U5" s="982" t="s">
        <v>1187</v>
      </c>
      <c r="V5" s="502" t="s">
        <v>1188</v>
      </c>
      <c r="W5" s="502" t="s">
        <v>1189</v>
      </c>
      <c r="X5" s="59"/>
      <c r="Y5" s="58" t="s">
        <v>1190</v>
      </c>
      <c r="Z5" s="1098" t="s">
        <v>1187</v>
      </c>
      <c r="AA5" s="502" t="s">
        <v>1188</v>
      </c>
      <c r="AB5" s="502" t="s">
        <v>1189</v>
      </c>
      <c r="AC5" s="59"/>
      <c r="AD5" s="59" t="s">
        <v>1190</v>
      </c>
      <c r="AE5" s="982" t="s">
        <v>1191</v>
      </c>
      <c r="AF5" s="502" t="s">
        <v>1192</v>
      </c>
      <c r="AG5" s="58" t="s">
        <v>1193</v>
      </c>
      <c r="AH5" s="982" t="s">
        <v>1194</v>
      </c>
      <c r="AI5" s="1098" t="s">
        <v>1195</v>
      </c>
      <c r="AJ5" s="1098" t="s">
        <v>1196</v>
      </c>
      <c r="AK5" s="502" t="s">
        <v>1197</v>
      </c>
      <c r="AL5" s="502" t="s">
        <v>1198</v>
      </c>
      <c r="AM5" s="58"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4016</v>
      </c>
      <c r="D6" s="802">
        <f>SUMIF(项目基本情况!C$12:I$12,C6,项目基本情况!C$14:I$14)</f>
        <v>70</v>
      </c>
      <c r="E6" s="801">
        <f>IF(B6="","",SUMIF(项目基本情况!C$12:I$12,C6,项目基本情况!C$13:I$13))</f>
        <v>70699</v>
      </c>
      <c r="F6" s="60">
        <f>SUMIF(项目基本情况!C$12:I$12,C6,项目基本情况!C$15:I$15)</f>
        <v>68.650000000000006</v>
      </c>
      <c r="G6" s="61">
        <f>IF(ISERROR(ROUND(POWER(1+H6,D6-F6)*(POWER(1+H6,F6)-1)/(POWER(1+H6,D6)-1),3)),0,ROUND(POWER(1+H6,D6-F6)*(POWER(1+H6,F6)-1)/(POWER(1+H6,D6)-1),3))</f>
        <v>0.996</v>
      </c>
      <c r="H6" s="688">
        <v>0.04</v>
      </c>
      <c r="I6" s="688">
        <v>4.4999999999999998E-2</v>
      </c>
      <c r="J6" s="3160">
        <v>7.0000000000000007E-2</v>
      </c>
      <c r="K6" s="967">
        <f>SUMIF('数据-汇总表'!C$19:C$33,A6,'数据-汇总表'!E$19:E$33)</f>
        <v>79323.999999999854</v>
      </c>
      <c r="L6" s="3194">
        <v>6000</v>
      </c>
      <c r="M6" s="63">
        <f t="shared" ref="M6:M14" si="0">ROUND(K6*L6/10000,0)</f>
        <v>47594</v>
      </c>
      <c r="N6" s="687">
        <f>面积!K4</f>
        <v>0.63000000000000012</v>
      </c>
      <c r="O6" s="63">
        <f>IF($N$5="成新度","——",ROUND(M6*N6,0))</f>
        <v>29984</v>
      </c>
      <c r="P6" s="64">
        <f>IF($N$5="成新度","——",M6-O6)</f>
        <v>17610</v>
      </c>
      <c r="Q6" s="690">
        <v>0.2</v>
      </c>
      <c r="R6" s="65">
        <f ca="1">SUMIF('数据-汇总表'!C$19:C$33,A6,'数据-汇总表'!R$19:R$27)</f>
        <v>29522.26</v>
      </c>
      <c r="S6" s="49">
        <f>IF('数据-汇总表'!$I$17="按面积比例",SUMIF('数据-汇总表'!C$19:C$33,A6,'数据-汇总表'!K$19:K$33),SUMIF('数据-汇总表'!C$19:C$33,A6,'数据-汇总表'!N$19:N$33))</f>
        <v>0</v>
      </c>
      <c r="T6" s="1089">
        <f>ROUND($L$14*S6/10000,0)</f>
        <v>0</v>
      </c>
      <c r="U6" s="3119"/>
      <c r="V6" s="66"/>
      <c r="W6" s="66"/>
      <c r="X6" s="976"/>
      <c r="Y6" s="67"/>
      <c r="Z6" s="68"/>
      <c r="AA6" s="62"/>
      <c r="AB6" s="62"/>
      <c r="AC6" s="976"/>
      <c r="AD6" s="69"/>
      <c r="AE6" s="977">
        <f ca="1">IF(AN6="",0,SUMIF(INDIRECT("'"&amp;AN6&amp;"'"&amp;"!E:E"),$AE$5,INDIRECT("'"&amp;AN6&amp;"'"&amp;"!F:F")))</f>
        <v>0</v>
      </c>
      <c r="AF6" s="73"/>
      <c r="AG6" s="128">
        <f>IF(AF6="",0,AE6-AF6)</f>
        <v>0</v>
      </c>
      <c r="AH6" s="70"/>
      <c r="AI6" s="72"/>
      <c r="AJ6" s="73"/>
      <c r="AK6" s="74"/>
      <c r="AL6" s="75"/>
      <c r="AM6" s="76"/>
      <c r="AN6" s="1586"/>
      <c r="AO6" s="50" t="e">
        <f ca="1">SUMIF(INDIRECT("'"&amp;AN6&amp;"'"&amp;"!A:A"),"总价",INDIRECT("'"&amp;AN6&amp;"'"&amp;"!B:B"))</f>
        <v>#REF!</v>
      </c>
      <c r="AP6" s="1587">
        <f>IF(C6="住宅",K6*L6,0)</f>
        <v>475943999.99999911</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3331</v>
      </c>
      <c r="D7" s="802">
        <f>SUMIF(项目基本情况!C$12:I$12,C7,项目基本情况!C$14:I$14)</f>
        <v>50</v>
      </c>
      <c r="E7" s="801">
        <f>IF(B7="","",SUMIF(项目基本情况!C$12:I$12,C7,项目基本情况!C$13:I$13))</f>
        <v>63394</v>
      </c>
      <c r="F7" s="60">
        <f>SUMIF(项目基本情况!C$12:I$12,C7,项目基本情况!C$15:I$15)</f>
        <v>48.64</v>
      </c>
      <c r="G7" s="61">
        <f t="shared" ref="G7:G11" si="2">IF(ISERROR(ROUND(POWER(1+H7,D7-F7)*(POWER(1+H7,F7)-1)/(POWER(1+H7,D7)-1),3)),0,ROUND(POWER(1+H7,D7-F7)*(POWER(1+H7,F7)-1)/(POWER(1+H7,D7)-1),3))</f>
        <v>0.99199999999999999</v>
      </c>
      <c r="H7" s="688">
        <v>4.4999999999999998E-2</v>
      </c>
      <c r="I7" s="688">
        <v>0.05</v>
      </c>
      <c r="J7" s="3160">
        <v>7.0000000000000007E-2</v>
      </c>
      <c r="K7" s="967">
        <f>SUMIF('数据-汇总表'!C$19:C$33,A7,'数据-汇总表'!E$19:E$33)</f>
        <v>851.55000000000007</v>
      </c>
      <c r="L7" s="3194">
        <v>4500</v>
      </c>
      <c r="M7" s="63">
        <f t="shared" si="0"/>
        <v>383</v>
      </c>
      <c r="N7" s="687">
        <f>N6</f>
        <v>0.63000000000000012</v>
      </c>
      <c r="O7" s="63">
        <f t="shared" ref="O7:O14" si="3">IF($N$5="成新度","——",ROUND(M7*N7,0))</f>
        <v>241</v>
      </c>
      <c r="P7" s="64">
        <f t="shared" ref="P7:P14" si="4">IF($N$5="成新度","——",M7-O7)</f>
        <v>142</v>
      </c>
      <c r="Q7" s="3195">
        <v>0.08</v>
      </c>
      <c r="R7" s="65">
        <f ca="1">SUMIF('数据-汇总表'!C$19:C$33,A7,'数据-汇总表'!R$19:R$27)</f>
        <v>316.92</v>
      </c>
      <c r="S7" s="49">
        <f>IF('数据-汇总表'!$I$17="按面积比例",SUMIF('数据-汇总表'!C$19:C$33,A7,'数据-汇总表'!K$19:K$33),SUMIF('数据-汇总表'!C$19:C$33,A7,'数据-汇总表'!N$19:N$33))</f>
        <v>0</v>
      </c>
      <c r="T7" s="1089">
        <f t="shared" ref="T7:T13" si="5">ROUND($L$14*S7/10000,0)</f>
        <v>0</v>
      </c>
      <c r="U7" s="3119"/>
      <c r="V7" s="66"/>
      <c r="W7" s="66"/>
      <c r="X7" s="976"/>
      <c r="Y7" s="67"/>
      <c r="Z7" s="68"/>
      <c r="AA7" s="62"/>
      <c r="AB7" s="62"/>
      <c r="AC7" s="976"/>
      <c r="AD7" s="69"/>
      <c r="AE7" s="977">
        <f t="shared" ref="AE7:AE13" ca="1" si="6">IF(AN7="",0,SUMIF(INDIRECT("'"&amp;AN7&amp;"'"&amp;"!E:E"),$AE$5,INDIRECT("'"&amp;AN7&amp;"'"&amp;"!F:F")))</f>
        <v>0</v>
      </c>
      <c r="AF7" s="73"/>
      <c r="AG7" s="128">
        <f t="shared" ref="AG7:AG13" si="7">IF(AF7="",0,AE7-AF7)</f>
        <v>0</v>
      </c>
      <c r="AH7" s="70"/>
      <c r="AI7" s="72"/>
      <c r="AJ7" s="73"/>
      <c r="AK7" s="74"/>
      <c r="AL7" s="75"/>
      <c r="AM7" s="76"/>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3330</v>
      </c>
      <c r="D8" s="802">
        <f>SUMIF(项目基本情况!C$12:I$12,C8,项目基本情况!C$14:I$14)</f>
        <v>50</v>
      </c>
      <c r="E8" s="801">
        <f>IF(B8="","",SUMIF(项目基本情况!C$12:I$12,C8,项目基本情况!C$13:I$13))</f>
        <v>63394</v>
      </c>
      <c r="F8" s="60">
        <f>SUMIF(项目基本情况!C$12:I$12,C8,项目基本情况!C$15:I$15)</f>
        <v>48.64</v>
      </c>
      <c r="G8" s="61">
        <f t="shared" si="2"/>
        <v>0.99199999999999999</v>
      </c>
      <c r="H8" s="688">
        <v>4.4999999999999998E-2</v>
      </c>
      <c r="I8" s="688">
        <v>0.05</v>
      </c>
      <c r="J8" s="3160">
        <v>7.0000000000000007E-2</v>
      </c>
      <c r="K8" s="967">
        <f>SUMIF('数据-汇总表'!C$19:C$33,A8,'数据-汇总表'!E$19:E$33)</f>
        <v>26180.310000000281</v>
      </c>
      <c r="L8" s="3194">
        <f>L7</f>
        <v>4500</v>
      </c>
      <c r="M8" s="63">
        <f>ROUND(K8*L8/10000,0)</f>
        <v>11781</v>
      </c>
      <c r="N8" s="687">
        <f>N7</f>
        <v>0.63000000000000012</v>
      </c>
      <c r="O8" s="63">
        <f t="shared" si="3"/>
        <v>7422</v>
      </c>
      <c r="P8" s="64">
        <f t="shared" si="4"/>
        <v>4359</v>
      </c>
      <c r="Q8" s="3195">
        <v>0.05</v>
      </c>
      <c r="R8" s="65">
        <f ca="1">SUMIF('数据-汇总表'!C$19:C$33,A8,'数据-汇总表'!R$19:R$27)</f>
        <v>9743.61</v>
      </c>
      <c r="S8" s="49">
        <f>IF('数据-汇总表'!$I$17="按面积比例",SUMIF('数据-汇总表'!C$19:C$33,A8,'数据-汇总表'!K$19:K$33),SUMIF('数据-汇总表'!C$19:C$33,A8,'数据-汇总表'!N$19:N$33))</f>
        <v>0</v>
      </c>
      <c r="T8" s="1089">
        <f t="shared" si="5"/>
        <v>0</v>
      </c>
      <c r="U8" s="3120"/>
      <c r="V8" s="691"/>
      <c r="W8" s="691"/>
      <c r="X8" s="976"/>
      <c r="Y8" s="67"/>
      <c r="Z8" s="68"/>
      <c r="AA8" s="62"/>
      <c r="AB8" s="62"/>
      <c r="AC8" s="976"/>
      <c r="AD8" s="69"/>
      <c r="AE8" s="977">
        <f t="shared" ca="1" si="6"/>
        <v>0</v>
      </c>
      <c r="AF8" s="73"/>
      <c r="AG8" s="128">
        <f t="shared" si="7"/>
        <v>0</v>
      </c>
      <c r="AH8" s="692"/>
      <c r="AI8" s="72"/>
      <c r="AJ8" s="73"/>
      <c r="AK8" s="693"/>
      <c r="AL8" s="694"/>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c r="A9" s="1583">
        <f>'数据-汇总表'!C22</f>
        <v>0</v>
      </c>
      <c r="B9" s="1584" t="str">
        <f t="shared" si="1"/>
        <v/>
      </c>
      <c r="C9" s="1585"/>
      <c r="D9" s="802">
        <f>SUMIF(项目基本情况!C$12:I$12,C9,项目基本情况!C$14:I$14)</f>
        <v>0</v>
      </c>
      <c r="E9" s="801" t="str">
        <f>IF(B9="","",SUMIF(项目基本情况!C$12:I$12,C9,项目基本情况!C$13:I$13))</f>
        <v/>
      </c>
      <c r="F9" s="60">
        <f>SUMIF(项目基本情况!C$12:I$12,C9,项目基本情况!C$15:I$15)</f>
        <v>0</v>
      </c>
      <c r="G9" s="61">
        <f t="shared" si="2"/>
        <v>0</v>
      </c>
      <c r="H9" s="62"/>
      <c r="I9" s="62"/>
      <c r="J9" s="62"/>
      <c r="K9" s="967">
        <f>SUMIF('数据-汇总表'!C$19:C$33,A9,'数据-汇总表'!E$19:E$33)</f>
        <v>0</v>
      </c>
      <c r="L9" s="689"/>
      <c r="M9" s="63">
        <f t="shared" si="0"/>
        <v>0</v>
      </c>
      <c r="N9" s="687"/>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89">
        <f t="shared" si="5"/>
        <v>0</v>
      </c>
      <c r="U9" s="3119"/>
      <c r="V9" s="66"/>
      <c r="W9" s="66"/>
      <c r="X9" s="976"/>
      <c r="Y9" s="67"/>
      <c r="Z9" s="68"/>
      <c r="AA9" s="62"/>
      <c r="AB9" s="62"/>
      <c r="AC9" s="976"/>
      <c r="AD9" s="69"/>
      <c r="AE9" s="977">
        <f t="shared" ca="1" si="6"/>
        <v>0</v>
      </c>
      <c r="AF9" s="73"/>
      <c r="AG9" s="128">
        <f t="shared" si="7"/>
        <v>0</v>
      </c>
      <c r="AH9" s="70"/>
      <c r="AI9" s="72"/>
      <c r="AJ9" s="73"/>
      <c r="AK9" s="74"/>
      <c r="AL9" s="75"/>
      <c r="AM9" s="76"/>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c r="A10" s="1583">
        <f>'数据-汇总表'!C23</f>
        <v>0</v>
      </c>
      <c r="B10" s="1584" t="str">
        <f t="shared" si="1"/>
        <v/>
      </c>
      <c r="C10" s="1585"/>
      <c r="D10" s="802">
        <f>SUMIF(项目基本情况!C$12:I$12,C10,项目基本情况!C$14:I$14)</f>
        <v>0</v>
      </c>
      <c r="E10" s="801" t="str">
        <f>IF(B10="","",SUMIF(项目基本情况!C$12:I$12,C10,项目基本情况!C$13:I$13))</f>
        <v/>
      </c>
      <c r="F10" s="60">
        <f>SUMIF(项目基本情况!C$12:I$12,C10,项目基本情况!C$15:I$15)</f>
        <v>0</v>
      </c>
      <c r="G10" s="61">
        <f t="shared" si="2"/>
        <v>0</v>
      </c>
      <c r="H10" s="62"/>
      <c r="I10" s="62"/>
      <c r="J10" s="62"/>
      <c r="K10" s="967">
        <f>SUMIF('数据-汇总表'!C$19:C$33,A10,'数据-汇总表'!E$19:E$33)</f>
        <v>0</v>
      </c>
      <c r="L10" s="689"/>
      <c r="M10" s="63">
        <f t="shared" si="0"/>
        <v>0</v>
      </c>
      <c r="N10" s="687"/>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89">
        <f t="shared" si="5"/>
        <v>0</v>
      </c>
      <c r="U10" s="3119"/>
      <c r="V10" s="66"/>
      <c r="W10" s="66"/>
      <c r="X10" s="976"/>
      <c r="Y10" s="67"/>
      <c r="Z10" s="68"/>
      <c r="AA10" s="62"/>
      <c r="AB10" s="62"/>
      <c r="AC10" s="976"/>
      <c r="AD10" s="69"/>
      <c r="AE10" s="977">
        <f t="shared" ca="1" si="6"/>
        <v>0</v>
      </c>
      <c r="AF10" s="73"/>
      <c r="AG10" s="128">
        <f t="shared" si="7"/>
        <v>0</v>
      </c>
      <c r="AH10" s="70"/>
      <c r="AI10" s="72"/>
      <c r="AJ10" s="73"/>
      <c r="AK10" s="74"/>
      <c r="AL10" s="75"/>
      <c r="AM10" s="76"/>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c r="A11" s="1583">
        <f>'数据-汇总表'!C24</f>
        <v>0</v>
      </c>
      <c r="B11" s="1584" t="str">
        <f t="shared" si="1"/>
        <v/>
      </c>
      <c r="C11" s="1585"/>
      <c r="D11" s="802">
        <f>SUMIF(项目基本情况!C$12:I$12,C11,项目基本情况!C$14:I$14)</f>
        <v>0</v>
      </c>
      <c r="E11" s="801" t="str">
        <f>IF(B11="","",SUMIF(项目基本情况!C$12:I$12,C11,项目基本情况!C$13:I$13))</f>
        <v/>
      </c>
      <c r="F11" s="60">
        <f>SUMIF(项目基本情况!C$12:I$12,C11,项目基本情况!C$15:I$15)</f>
        <v>0</v>
      </c>
      <c r="G11" s="61">
        <f t="shared" si="2"/>
        <v>0</v>
      </c>
      <c r="H11" s="62"/>
      <c r="I11" s="62"/>
      <c r="J11" s="62"/>
      <c r="K11" s="967">
        <f>SUMIF('数据-汇总表'!C$19:C$33,A11,'数据-汇总表'!E$19:E$33)</f>
        <v>0</v>
      </c>
      <c r="L11" s="78"/>
      <c r="M11" s="63">
        <f t="shared" si="0"/>
        <v>0</v>
      </c>
      <c r="N11" s="687"/>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89">
        <f t="shared" si="5"/>
        <v>0</v>
      </c>
      <c r="U11" s="3119"/>
      <c r="V11" s="62"/>
      <c r="W11" s="62"/>
      <c r="X11" s="976"/>
      <c r="Y11" s="67"/>
      <c r="Z11" s="80"/>
      <c r="AA11" s="62"/>
      <c r="AB11" s="62"/>
      <c r="AC11" s="976"/>
      <c r="AD11" s="69"/>
      <c r="AE11" s="977">
        <f t="shared" ca="1" si="6"/>
        <v>0</v>
      </c>
      <c r="AF11" s="73"/>
      <c r="AG11" s="128">
        <f t="shared" si="7"/>
        <v>0</v>
      </c>
      <c r="AH11" s="70"/>
      <c r="AI11" s="72"/>
      <c r="AJ11" s="73"/>
      <c r="AK11" s="74"/>
      <c r="AL11" s="75"/>
      <c r="AM11" s="76"/>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c r="A12" s="1583">
        <f>'数据-汇总表'!C25</f>
        <v>0</v>
      </c>
      <c r="B12" s="1584" t="str">
        <f t="shared" si="1"/>
        <v/>
      </c>
      <c r="C12" s="1585"/>
      <c r="D12" s="802">
        <f>SUMIF(项目基本情况!C$12:I$12,C12,项目基本情况!C$14:I$14)</f>
        <v>0</v>
      </c>
      <c r="E12" s="801"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7">
        <f>SUMIF('数据-汇总表'!C$19:C$33,A12,'数据-汇总表'!E$19:E$33)</f>
        <v>0</v>
      </c>
      <c r="L12" s="78"/>
      <c r="M12" s="63">
        <f>ROUND(K12*L12/10000,0)</f>
        <v>0</v>
      </c>
      <c r="N12" s="687"/>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89">
        <f t="shared" si="5"/>
        <v>0</v>
      </c>
      <c r="U12" s="3119"/>
      <c r="V12" s="62"/>
      <c r="W12" s="62"/>
      <c r="X12" s="976"/>
      <c r="Y12" s="67"/>
      <c r="Z12" s="80"/>
      <c r="AA12" s="62"/>
      <c r="AB12" s="62"/>
      <c r="AC12" s="976"/>
      <c r="AD12" s="69"/>
      <c r="AE12" s="977">
        <f t="shared" ca="1" si="6"/>
        <v>0</v>
      </c>
      <c r="AF12" s="73"/>
      <c r="AG12" s="128">
        <f t="shared" si="7"/>
        <v>0</v>
      </c>
      <c r="AH12" s="70"/>
      <c r="AI12" s="72"/>
      <c r="AJ12" s="73"/>
      <c r="AK12" s="74"/>
      <c r="AL12" s="75"/>
      <c r="AM12" s="76"/>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c r="A13" s="1583">
        <f>'数据-汇总表'!C26</f>
        <v>0</v>
      </c>
      <c r="B13" s="1584" t="str">
        <f t="shared" si="1"/>
        <v/>
      </c>
      <c r="C13" s="1585"/>
      <c r="D13" s="802">
        <f>SUMIF(项目基本情况!C$12:I$12,C13,项目基本情况!C$14:I$14)</f>
        <v>0</v>
      </c>
      <c r="E13" s="801"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7">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89">
        <f t="shared" si="5"/>
        <v>0</v>
      </c>
      <c r="U13" s="3121"/>
      <c r="V13" s="66"/>
      <c r="W13" s="66"/>
      <c r="X13" s="976"/>
      <c r="Y13" s="67"/>
      <c r="Z13" s="68"/>
      <c r="AA13" s="62"/>
      <c r="AB13" s="62"/>
      <c r="AC13" s="976"/>
      <c r="AD13" s="69"/>
      <c r="AE13" s="977">
        <f t="shared" ca="1" si="6"/>
        <v>0</v>
      </c>
      <c r="AF13" s="73"/>
      <c r="AG13" s="128">
        <f t="shared" si="7"/>
        <v>0</v>
      </c>
      <c r="AH13" s="70"/>
      <c r="AI13" s="72"/>
      <c r="AJ13" s="73"/>
      <c r="AK13" s="74"/>
      <c r="AL13" s="75"/>
      <c r="AM13" s="76"/>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0"/>
      <c r="G14" s="61"/>
      <c r="H14" s="966"/>
      <c r="I14" s="966"/>
      <c r="J14" s="966"/>
      <c r="K14" s="967">
        <f>SUMIF('数据-汇总表'!C$19:C$33,A14,'数据-汇总表'!E$19:E$33)</f>
        <v>0</v>
      </c>
      <c r="L14" s="78"/>
      <c r="M14" s="63">
        <f t="shared" si="0"/>
        <v>0</v>
      </c>
      <c r="N14" s="79"/>
      <c r="O14" s="63">
        <f t="shared" si="3"/>
        <v>0</v>
      </c>
      <c r="P14" s="64">
        <f t="shared" si="4"/>
        <v>0</v>
      </c>
      <c r="Q14" s="970"/>
      <c r="R14" s="65"/>
      <c r="S14" s="49"/>
      <c r="T14" s="1089"/>
      <c r="U14" s="634"/>
      <c r="V14" s="972"/>
      <c r="W14" s="972"/>
      <c r="X14" s="973"/>
      <c r="Y14" s="974"/>
      <c r="Z14" s="53"/>
      <c r="AA14" s="975"/>
      <c r="AB14" s="975"/>
      <c r="AC14" s="976"/>
      <c r="AD14" s="973"/>
      <c r="AE14" s="977"/>
      <c r="AF14" s="50"/>
      <c r="AG14" s="128"/>
      <c r="AH14" s="977"/>
      <c r="AI14" s="1263"/>
      <c r="AJ14" s="50"/>
      <c r="AK14" s="978"/>
      <c r="AL14" s="979"/>
      <c r="AM14" s="980"/>
      <c r="AN14" s="2441"/>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0"/>
      <c r="G15" s="61"/>
      <c r="H15" s="966"/>
      <c r="I15" s="966"/>
      <c r="J15" s="966"/>
      <c r="K15" s="967">
        <f>SUMIF('数据-汇总表'!C$19:C$33,A15,'数据-汇总表'!E$19:E$33)</f>
        <v>0</v>
      </c>
      <c r="L15" s="968"/>
      <c r="M15" s="63"/>
      <c r="N15" s="969"/>
      <c r="O15" s="63"/>
      <c r="P15" s="64"/>
      <c r="Q15" s="970"/>
      <c r="R15" s="65"/>
      <c r="S15" s="49"/>
      <c r="T15" s="1089"/>
      <c r="U15" s="634"/>
      <c r="V15" s="972"/>
      <c r="W15" s="972"/>
      <c r="X15" s="973"/>
      <c r="Y15" s="974"/>
      <c r="Z15" s="53"/>
      <c r="AA15" s="975"/>
      <c r="AB15" s="975"/>
      <c r="AC15" s="976"/>
      <c r="AD15" s="973"/>
      <c r="AE15" s="977"/>
      <c r="AF15" s="50"/>
      <c r="AG15" s="128"/>
      <c r="AH15" s="977"/>
      <c r="AI15" s="1263"/>
      <c r="AJ15" s="50"/>
      <c r="AK15" s="978"/>
      <c r="AL15" s="979"/>
      <c r="AM15" s="980"/>
      <c r="AN15" s="2441"/>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1"/>
      <c r="C16" s="780"/>
      <c r="D16" s="1591"/>
      <c r="E16" s="81"/>
      <c r="F16" s="81"/>
      <c r="G16" s="82">
        <f>ROUND(SUMPRODUCT(G6:G13,K6:K13)/SUMPRODUCT((G6:G13&gt;0)*(K6:K13)),3)</f>
        <v>0.995</v>
      </c>
      <c r="H16" s="83">
        <f>ROUND(SUMPRODUCT(H6:H13,K6:K13)/SUMPRODUCT((H6:H13&gt;0)*(K6:K13)),3)</f>
        <v>4.1000000000000002E-2</v>
      </c>
      <c r="I16" s="84"/>
      <c r="J16" s="84"/>
      <c r="K16" s="85">
        <f>SUM(K6:K15)</f>
        <v>106355.86000000013</v>
      </c>
      <c r="L16" s="86">
        <f>ROUND(M16*10000/SUM(K6:K14),0)</f>
        <v>5619</v>
      </c>
      <c r="M16" s="86">
        <f>SUM(M6:M14)</f>
        <v>59758</v>
      </c>
      <c r="N16" s="87">
        <f>ROUND(SUMPRODUCT(M6:M14,N6:N14)/M16,3)</f>
        <v>0.63</v>
      </c>
      <c r="O16" s="86">
        <f>SUM(O6:O14)</f>
        <v>37647</v>
      </c>
      <c r="P16" s="86">
        <f>SUM(P6:P14)</f>
        <v>22111</v>
      </c>
      <c r="Q16" s="88">
        <f>ROUND(SUMPRODUCT(Q6:Q13,K6:K13)/SUMPRODUCT((Q6:Q13&gt;0)*(K6:K13)),2)</f>
        <v>0.16</v>
      </c>
      <c r="R16" s="971">
        <f ca="1">SUM(R6:R13)</f>
        <v>39582.789999999994</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1"/>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6" t="s">
        <v>1210</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3" t="s">
        <v>1211</v>
      </c>
      <c r="B19" s="96">
        <v>0</v>
      </c>
      <c r="C19" s="2553" t="s">
        <v>2298</v>
      </c>
      <c r="D19" s="2444"/>
      <c r="E19" s="2432"/>
      <c r="F19" s="2432"/>
      <c r="G19" s="2432"/>
      <c r="H19" s="2432"/>
      <c r="I19" s="2432"/>
      <c r="J19" s="2432"/>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4" t="s">
        <v>1212</v>
      </c>
      <c r="B20" s="97">
        <v>2.5</v>
      </c>
      <c r="C20" s="2554" t="s">
        <v>2296</v>
      </c>
      <c r="D20" s="2444"/>
      <c r="E20" s="2432"/>
      <c r="F20" s="2432"/>
      <c r="G20" s="2432"/>
      <c r="H20" s="2432"/>
      <c r="I20" s="2432"/>
      <c r="J20" s="2432"/>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5" t="s">
        <v>1213</v>
      </c>
      <c r="B21" s="97">
        <f>ROUND(B20*N16,2)</f>
        <v>1.58</v>
      </c>
      <c r="C21" s="2432"/>
      <c r="D21" s="2444"/>
      <c r="E21" s="2432"/>
      <c r="F21" s="2432"/>
      <c r="G21" s="2432"/>
      <c r="H21" s="2432"/>
      <c r="I21" s="2432"/>
      <c r="J21" s="2432"/>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4" t="s">
        <v>1214</v>
      </c>
      <c r="B22" s="98">
        <f>B19+B20</f>
        <v>2.5</v>
      </c>
      <c r="C22" s="2432"/>
      <c r="D22" s="2444"/>
      <c r="E22" s="2432"/>
      <c r="F22" s="2432"/>
      <c r="G22" s="2432"/>
      <c r="H22" s="2432"/>
      <c r="I22" s="2432"/>
      <c r="J22" s="2432"/>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5" t="s">
        <v>1215</v>
      </c>
      <c r="B23" s="98">
        <f>B19+B21</f>
        <v>1.58</v>
      </c>
      <c r="C23" s="2432"/>
      <c r="D23" s="2444"/>
      <c r="E23" s="2432"/>
      <c r="F23" s="2432"/>
      <c r="G23" s="2432"/>
      <c r="H23" s="2432"/>
      <c r="I23" s="2432"/>
      <c r="J23" s="2432"/>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6" t="s">
        <v>1216</v>
      </c>
      <c r="B24" s="99">
        <f>B20-B21</f>
        <v>0.91999999999999993</v>
      </c>
      <c r="C24" s="2432"/>
      <c r="D24" s="2444"/>
      <c r="E24" s="2432"/>
      <c r="F24" s="2432"/>
      <c r="G24" s="2432"/>
      <c r="H24" s="2432"/>
      <c r="I24" s="2432"/>
      <c r="J24" s="2432"/>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6"/>
      <c r="B25" s="1539"/>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9" t="s">
        <v>1217</v>
      </c>
      <c r="B26" s="1597" t="s">
        <v>1218</v>
      </c>
      <c r="C26" s="2445" t="s">
        <v>1219</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8" t="s">
        <v>1220</v>
      </c>
      <c r="B27" s="100">
        <v>160</v>
      </c>
      <c r="C27" s="2555" t="s">
        <v>2300</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9" t="s">
        <v>1221</v>
      </c>
      <c r="B28" s="102">
        <v>200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600" t="s">
        <v>1222</v>
      </c>
      <c r="B29" s="104"/>
      <c r="C29" s="2556" t="s">
        <v>2289</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1" t="s">
        <v>1223</v>
      </c>
      <c r="B30" s="635">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9" t="s">
        <v>1224</v>
      </c>
      <c r="B31" s="103">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2" t="s">
        <v>1225</v>
      </c>
      <c r="B32" s="636">
        <v>0</v>
      </c>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8" t="s">
        <v>1226</v>
      </c>
      <c r="B33" s="637">
        <v>0.05</v>
      </c>
      <c r="C33" s="2557" t="s">
        <v>3373</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9" t="s">
        <v>1227</v>
      </c>
      <c r="B34" s="105">
        <v>0.08</v>
      </c>
      <c r="C34" s="2557" t="s">
        <v>2290</v>
      </c>
      <c r="D34" s="2452" t="s">
        <v>2297</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9" t="s">
        <v>1228</v>
      </c>
      <c r="B35" s="102">
        <v>200</v>
      </c>
      <c r="C35" s="2557" t="s">
        <v>2291</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0" t="s">
        <v>1229</v>
      </c>
      <c r="B36" s="106">
        <v>0.02</v>
      </c>
      <c r="C36" s="2557" t="s">
        <v>3374</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1" t="s">
        <v>1230</v>
      </c>
      <c r="B37" s="107">
        <v>0.02</v>
      </c>
      <c r="C37" s="2557" t="s">
        <v>2292</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9" t="s">
        <v>1231</v>
      </c>
      <c r="B38" s="105">
        <v>0.02</v>
      </c>
      <c r="C38" s="2557" t="s">
        <v>2292</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2" t="s">
        <v>1232</v>
      </c>
      <c r="B39" s="307">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2307</v>
      </c>
      <c r="B40" s="1012">
        <f ca="1">IF(A40="利息：取LPR",存贷款利率!G1,存贷款利率!G1+C40)</f>
        <v>3.1E-2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8" t="s">
        <v>1233</v>
      </c>
      <c r="B41" s="108">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3" t="s">
        <v>1234</v>
      </c>
      <c r="B42" s="109">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3" t="s">
        <v>1235</v>
      </c>
      <c r="B43" s="110">
        <f>B42*(B44+B45+B46)+B47</f>
        <v>6.000000000000001E-3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4" t="s">
        <v>1236</v>
      </c>
      <c r="B44" s="3196">
        <v>7.0000000000000007E-2</v>
      </c>
      <c r="C44" s="2557" t="s">
        <v>2301</v>
      </c>
      <c r="D44" s="2444"/>
      <c r="E44" s="2432"/>
      <c r="F44" s="2432"/>
      <c r="G44" s="2432"/>
      <c r="H44" s="2432"/>
      <c r="I44" s="2432"/>
      <c r="J44" s="3199" t="s">
        <v>4317</v>
      </c>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4" t="s">
        <v>1237</v>
      </c>
      <c r="B45" s="109">
        <v>0.03</v>
      </c>
      <c r="C45" s="2556" t="s">
        <v>2293</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4" t="s">
        <v>1238</v>
      </c>
      <c r="B46" s="109">
        <v>0.02</v>
      </c>
      <c r="C46" s="2556" t="s">
        <v>2294</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5" t="s">
        <v>1239</v>
      </c>
      <c r="B47" s="111"/>
      <c r="C47" s="2559" t="s">
        <v>2302</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6" t="s">
        <v>1240</v>
      </c>
      <c r="B48" s="112">
        <v>0.03</v>
      </c>
      <c r="C48" s="2556" t="s">
        <v>2293</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2" t="s">
        <v>1241</v>
      </c>
      <c r="B49" s="109">
        <v>5.0000000000000001E-4</v>
      </c>
      <c r="C49" s="2556" t="s">
        <v>2295</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7" t="s">
        <v>1242</v>
      </c>
      <c r="B50" s="113">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0" t="s">
        <v>1243</v>
      </c>
      <c r="B51" s="114">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7" t="s">
        <v>1244</v>
      </c>
      <c r="B52" s="115">
        <f>SUMIF(A54:A63,B53,B54:B63)</f>
        <v>1.5</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9" t="s">
        <v>1245</v>
      </c>
      <c r="B53" s="3161" t="s">
        <v>29</v>
      </c>
      <c r="C53" s="2433" t="s">
        <v>1246</v>
      </c>
      <c r="D53" s="2558" t="s">
        <v>2299</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8" t="s">
        <v>1247</v>
      </c>
      <c r="B54" s="71">
        <v>30</v>
      </c>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8" t="s">
        <v>1248</v>
      </c>
      <c r="B55" s="71">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8" t="s">
        <v>1249</v>
      </c>
      <c r="B56" s="71">
        <v>18</v>
      </c>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8" t="s">
        <v>1250</v>
      </c>
      <c r="B57" s="71">
        <v>12</v>
      </c>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8" t="s">
        <v>1251</v>
      </c>
      <c r="B58" s="71">
        <v>3</v>
      </c>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8" t="s">
        <v>1252</v>
      </c>
      <c r="B59" s="71">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8" t="s">
        <v>1253</v>
      </c>
      <c r="B60" s="71"/>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8" t="s">
        <v>1254</v>
      </c>
      <c r="B61" s="71"/>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8" t="s">
        <v>1255</v>
      </c>
      <c r="B62" s="71"/>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9" t="s">
        <v>1256</v>
      </c>
      <c r="B63" s="116"/>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1"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1"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1"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1"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1"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1" customFormat="1">
      <c r="A69" s="1610"/>
      <c r="D69" s="1611"/>
      <c r="K69" s="684"/>
      <c r="L69" s="684"/>
    </row>
    <row r="70" spans="1:44" s="681" customFormat="1">
      <c r="A70" s="1610"/>
      <c r="D70" s="1611"/>
      <c r="K70" s="684"/>
      <c r="L70" s="684"/>
    </row>
    <row r="71" spans="1:44" s="681" customFormat="1">
      <c r="A71" s="1610"/>
      <c r="D71" s="1611"/>
      <c r="K71" s="684"/>
      <c r="L71" s="684"/>
    </row>
    <row r="72" spans="1:44" s="681" customFormat="1">
      <c r="A72" s="1610"/>
      <c r="D72" s="1611"/>
      <c r="K72" s="684"/>
      <c r="L72" s="684"/>
    </row>
    <row r="73" spans="1:44" s="681" customFormat="1">
      <c r="A73" s="1610"/>
      <c r="D73" s="1611"/>
      <c r="K73" s="684"/>
      <c r="L73" s="684"/>
    </row>
    <row r="74" spans="1:44" s="681" customFormat="1">
      <c r="A74" s="1610"/>
      <c r="D74" s="1611"/>
      <c r="K74" s="684"/>
      <c r="L74" s="684"/>
    </row>
    <row r="75" spans="1:44" s="681" customFormat="1">
      <c r="A75" s="1610"/>
      <c r="D75" s="1611"/>
      <c r="K75" s="684"/>
      <c r="L75" s="684"/>
    </row>
    <row r="76" spans="1:44" s="681" customFormat="1">
      <c r="A76" s="1610"/>
      <c r="D76" s="1611"/>
      <c r="K76" s="684"/>
      <c r="L76" s="684"/>
    </row>
    <row r="77" spans="1:44" s="681" customFormat="1">
      <c r="A77" s="1610"/>
      <c r="D77" s="1611"/>
      <c r="K77" s="684"/>
      <c r="L77" s="684"/>
    </row>
    <row r="78" spans="1:44" s="681" customFormat="1">
      <c r="A78" s="1610"/>
      <c r="D78" s="1611"/>
      <c r="K78" s="684"/>
      <c r="L78" s="684"/>
    </row>
    <row r="79" spans="1:44" s="681" customFormat="1">
      <c r="A79" s="1610"/>
      <c r="D79" s="1611"/>
      <c r="K79" s="684"/>
      <c r="L79" s="684"/>
    </row>
    <row r="80" spans="1:44" s="681" customFormat="1">
      <c r="A80" s="1610"/>
      <c r="D80" s="1611"/>
      <c r="K80" s="684"/>
      <c r="L80" s="684"/>
    </row>
    <row r="81" spans="1:12" s="681" customFormat="1">
      <c r="A81" s="1610"/>
      <c r="D81" s="1611"/>
      <c r="K81" s="684"/>
      <c r="L81" s="684"/>
    </row>
    <row r="82" spans="1:12" s="681" customFormat="1">
      <c r="A82" s="1610"/>
      <c r="D82" s="1611"/>
      <c r="K82" s="684"/>
      <c r="L82" s="684"/>
    </row>
    <row r="83" spans="1:12" s="681" customFormat="1">
      <c r="A83" s="1610"/>
      <c r="D83" s="1611"/>
      <c r="K83" s="684"/>
      <c r="L83" s="684"/>
    </row>
    <row r="84" spans="1:12" s="681" customFormat="1">
      <c r="A84" s="1610"/>
      <c r="D84" s="1611"/>
      <c r="K84" s="684"/>
      <c r="L84" s="684"/>
    </row>
    <row r="85" spans="1:12" s="681" customFormat="1">
      <c r="A85" s="1610"/>
      <c r="D85" s="1611"/>
      <c r="K85" s="684"/>
      <c r="L85" s="684"/>
    </row>
    <row r="86" spans="1:12" s="681" customFormat="1">
      <c r="A86" s="1610"/>
      <c r="D86" s="1611"/>
      <c r="K86" s="684"/>
      <c r="L86" s="684"/>
    </row>
    <row r="87" spans="1:12" s="681" customFormat="1">
      <c r="A87" s="1610"/>
      <c r="D87" s="1611"/>
      <c r="K87" s="684"/>
      <c r="L87" s="684"/>
    </row>
    <row r="88" spans="1:12" s="681" customFormat="1">
      <c r="A88" s="1610"/>
      <c r="D88" s="1611"/>
      <c r="K88" s="684"/>
      <c r="L88" s="684"/>
    </row>
    <row r="89" spans="1:12" s="681" customFormat="1">
      <c r="A89" s="1610"/>
      <c r="D89" s="1611"/>
      <c r="K89" s="684"/>
      <c r="L89" s="684"/>
    </row>
    <row r="90" spans="1:12" s="681" customFormat="1">
      <c r="A90" s="1610"/>
      <c r="D90" s="1611"/>
      <c r="K90" s="684"/>
      <c r="L90" s="684"/>
    </row>
    <row r="91" spans="1:12" s="681" customFormat="1">
      <c r="A91" s="1610"/>
      <c r="D91" s="1611"/>
      <c r="K91" s="684"/>
      <c r="L91" s="684"/>
    </row>
    <row r="92" spans="1:12" s="681" customFormat="1">
      <c r="A92" s="1610"/>
      <c r="D92" s="1611"/>
      <c r="K92" s="684"/>
      <c r="L92" s="684"/>
    </row>
    <row r="93" spans="1:12" s="681" customFormat="1">
      <c r="A93" s="1610"/>
      <c r="D93" s="1611"/>
      <c r="K93" s="684"/>
      <c r="L93" s="684"/>
    </row>
    <row r="94" spans="1:12" s="681" customFormat="1">
      <c r="A94" s="1610"/>
      <c r="D94" s="1611"/>
      <c r="K94" s="684"/>
      <c r="L94" s="684"/>
    </row>
    <row r="95" spans="1:12" s="681" customFormat="1">
      <c r="A95" s="1610"/>
      <c r="D95" s="1611"/>
      <c r="K95" s="684"/>
      <c r="L95" s="684"/>
    </row>
    <row r="96" spans="1:12" s="681" customFormat="1">
      <c r="A96" s="1610"/>
      <c r="D96" s="1611"/>
      <c r="K96" s="684"/>
      <c r="L96" s="684"/>
    </row>
    <row r="97" spans="1:12" s="681" customFormat="1">
      <c r="A97" s="1610"/>
      <c r="D97" s="1611"/>
      <c r="K97" s="684"/>
      <c r="L97" s="684"/>
    </row>
    <row r="98" spans="1:12" s="681" customFormat="1">
      <c r="A98" s="1610"/>
      <c r="D98" s="1611"/>
      <c r="K98" s="684"/>
      <c r="L98" s="684"/>
    </row>
    <row r="99" spans="1:12" s="681" customFormat="1">
      <c r="A99" s="1610"/>
      <c r="D99" s="1611"/>
      <c r="K99" s="684"/>
      <c r="L99" s="684"/>
    </row>
    <row r="100" spans="1:12" s="681" customFormat="1">
      <c r="A100" s="1610"/>
      <c r="D100" s="1611"/>
      <c r="K100" s="684"/>
      <c r="L100" s="684"/>
    </row>
    <row r="101" spans="1:12" s="681" customFormat="1">
      <c r="A101" s="1610"/>
      <c r="D101" s="1611"/>
      <c r="K101" s="684"/>
      <c r="L101" s="684"/>
    </row>
    <row r="102" spans="1:12" s="681" customFormat="1">
      <c r="A102" s="1610"/>
      <c r="D102" s="1611"/>
      <c r="K102" s="684"/>
      <c r="L102" s="684"/>
    </row>
    <row r="103" spans="1:12" s="681" customFormat="1">
      <c r="A103" s="1610"/>
      <c r="D103" s="1611"/>
      <c r="K103" s="684"/>
      <c r="L103" s="684"/>
    </row>
    <row r="104" spans="1:12" s="681" customFormat="1">
      <c r="A104" s="1610"/>
      <c r="D104" s="1611"/>
      <c r="K104" s="684"/>
      <c r="L104" s="684"/>
    </row>
    <row r="105" spans="1:12" s="681" customFormat="1">
      <c r="A105" s="1610"/>
      <c r="D105" s="1611"/>
      <c r="K105" s="684"/>
      <c r="L105" s="684"/>
    </row>
    <row r="106" spans="1:12" s="681" customFormat="1">
      <c r="A106" s="1610"/>
      <c r="D106" s="1611"/>
      <c r="K106" s="684"/>
      <c r="L106" s="684"/>
    </row>
    <row r="107" spans="1:12" s="681" customFormat="1">
      <c r="A107" s="1610"/>
      <c r="D107" s="1611"/>
      <c r="K107" s="684"/>
      <c r="L107" s="684"/>
    </row>
    <row r="108" spans="1:12" s="681" customFormat="1">
      <c r="A108" s="1610"/>
      <c r="D108" s="1611"/>
      <c r="K108" s="684"/>
      <c r="L108" s="684"/>
    </row>
    <row r="109" spans="1:12" s="681" customFormat="1">
      <c r="A109" s="1610"/>
      <c r="D109" s="1611"/>
      <c r="K109" s="684"/>
      <c r="L109" s="684"/>
    </row>
    <row r="110" spans="1:12" s="681" customFormat="1">
      <c r="A110" s="1610"/>
      <c r="D110" s="1611"/>
      <c r="K110" s="684"/>
      <c r="L110" s="684"/>
    </row>
    <row r="111" spans="1:12" s="681" customFormat="1">
      <c r="A111" s="1610"/>
      <c r="D111" s="1611"/>
      <c r="K111" s="684"/>
      <c r="L111" s="684"/>
    </row>
    <row r="112" spans="1:12" s="681" customFormat="1">
      <c r="A112" s="1610"/>
      <c r="D112" s="1611"/>
      <c r="K112" s="684"/>
      <c r="L112" s="684"/>
    </row>
    <row r="113" spans="1:12" s="681" customFormat="1">
      <c r="A113" s="1610"/>
      <c r="D113" s="1611"/>
      <c r="K113" s="684"/>
      <c r="L113" s="684"/>
    </row>
    <row r="114" spans="1:12" s="681" customFormat="1">
      <c r="A114" s="1610"/>
      <c r="D114" s="1611"/>
      <c r="K114" s="684"/>
      <c r="L114" s="684"/>
    </row>
    <row r="115" spans="1:12" s="681" customFormat="1">
      <c r="A115" s="1610"/>
      <c r="D115" s="1611"/>
      <c r="K115" s="684"/>
      <c r="L115" s="684"/>
    </row>
    <row r="116" spans="1:12" s="681" customFormat="1">
      <c r="A116" s="1610"/>
      <c r="D116" s="1611"/>
      <c r="K116" s="684"/>
      <c r="L116" s="684"/>
    </row>
    <row r="117" spans="1:12" s="681" customFormat="1">
      <c r="A117" s="1610"/>
      <c r="D117" s="1611"/>
      <c r="K117" s="684"/>
      <c r="L117" s="684"/>
    </row>
    <row r="118" spans="1:12" s="681" customFormat="1">
      <c r="A118" s="1610"/>
      <c r="D118" s="1611"/>
      <c r="K118" s="684"/>
      <c r="L118" s="684"/>
    </row>
    <row r="119" spans="1:12" s="681" customFormat="1">
      <c r="A119" s="1610"/>
      <c r="D119" s="1611"/>
      <c r="K119" s="684"/>
      <c r="L119" s="684"/>
    </row>
    <row r="120" spans="1:12" s="681" customFormat="1">
      <c r="A120" s="1610"/>
      <c r="D120" s="1611"/>
      <c r="K120" s="684"/>
      <c r="L120" s="684"/>
    </row>
    <row r="121" spans="1:12" s="681" customFormat="1">
      <c r="A121" s="1610"/>
      <c r="D121" s="1611"/>
      <c r="K121" s="684"/>
      <c r="L121" s="684"/>
    </row>
    <row r="122" spans="1:12" s="681" customFormat="1">
      <c r="A122" s="1610"/>
      <c r="D122" s="1611"/>
      <c r="K122" s="684"/>
      <c r="L122" s="684"/>
    </row>
    <row r="123" spans="1:12" s="681" customFormat="1">
      <c r="A123" s="1610"/>
      <c r="D123" s="1611"/>
      <c r="K123" s="684"/>
      <c r="L123" s="684"/>
    </row>
    <row r="124" spans="1:12" s="681" customFormat="1">
      <c r="A124" s="1610"/>
      <c r="D124" s="1611"/>
      <c r="K124" s="684"/>
      <c r="L124" s="684"/>
    </row>
    <row r="125" spans="1:12" s="681" customFormat="1">
      <c r="A125" s="1610"/>
      <c r="D125" s="1611"/>
      <c r="K125" s="684"/>
      <c r="L125" s="684"/>
    </row>
    <row r="126" spans="1:12" s="681" customFormat="1">
      <c r="A126" s="1610"/>
      <c r="D126" s="1611"/>
      <c r="K126" s="684"/>
      <c r="L126" s="684"/>
    </row>
    <row r="127" spans="1:12" s="681" customFormat="1">
      <c r="A127" s="1610"/>
      <c r="D127" s="1611"/>
      <c r="K127" s="684"/>
      <c r="L127" s="684"/>
    </row>
    <row r="128" spans="1:12" s="681" customFormat="1">
      <c r="A128" s="1610"/>
      <c r="D128" s="1611"/>
      <c r="K128" s="684"/>
      <c r="L128" s="684"/>
    </row>
    <row r="129" spans="1:12" s="681" customFormat="1">
      <c r="A129" s="1610"/>
      <c r="D129" s="1611"/>
      <c r="K129" s="684"/>
      <c r="L129" s="684"/>
    </row>
    <row r="130" spans="1:12" s="681" customFormat="1">
      <c r="A130" s="1610"/>
      <c r="D130" s="1611"/>
      <c r="K130" s="684"/>
      <c r="L130" s="684"/>
    </row>
    <row r="131" spans="1:12" s="681" customFormat="1">
      <c r="A131" s="1610"/>
      <c r="D131" s="1611"/>
      <c r="K131" s="684"/>
      <c r="L131" s="684"/>
    </row>
    <row r="132" spans="1:12" s="681" customFormat="1">
      <c r="A132" s="1610"/>
      <c r="D132" s="1611"/>
      <c r="K132" s="684"/>
      <c r="L132" s="684"/>
    </row>
    <row r="133" spans="1:12" s="681" customFormat="1">
      <c r="A133" s="1610"/>
      <c r="D133" s="1611"/>
      <c r="K133" s="684"/>
      <c r="L133" s="684"/>
    </row>
    <row r="134" spans="1:12" s="120" customFormat="1">
      <c r="A134" s="1612"/>
      <c r="D134" s="1613"/>
      <c r="K134" s="24"/>
      <c r="L134" s="24"/>
    </row>
    <row r="135" spans="1:12" s="120" customFormat="1">
      <c r="A135" s="1612"/>
      <c r="D135" s="1613"/>
      <c r="K135" s="24"/>
      <c r="L135" s="24"/>
    </row>
    <row r="136" spans="1:12" s="120" customFormat="1">
      <c r="A136" s="1612"/>
      <c r="D136" s="1613"/>
      <c r="K136" s="24"/>
      <c r="L136" s="24"/>
    </row>
    <row r="137" spans="1:12" s="120" customFormat="1">
      <c r="A137" s="1612"/>
      <c r="D137" s="1613"/>
      <c r="K137" s="24"/>
      <c r="L137" s="24"/>
    </row>
    <row r="138" spans="1:12" s="120" customFormat="1">
      <c r="A138" s="1612"/>
      <c r="D138" s="1613"/>
      <c r="K138" s="24"/>
      <c r="L138" s="24"/>
    </row>
    <row r="139" spans="1:12" s="120" customFormat="1">
      <c r="A139" s="1612"/>
      <c r="D139" s="1613"/>
      <c r="K139" s="24"/>
      <c r="L139" s="24"/>
    </row>
    <row r="140" spans="1:12" s="120" customFormat="1">
      <c r="A140" s="1612"/>
      <c r="D140" s="1613"/>
      <c r="K140" s="24"/>
      <c r="L140" s="24"/>
    </row>
    <row r="141" spans="1:12" s="120" customFormat="1">
      <c r="A141" s="1612"/>
      <c r="D141" s="1613"/>
      <c r="K141" s="24"/>
      <c r="L141" s="24"/>
    </row>
    <row r="142" spans="1:12" s="120" customFormat="1">
      <c r="A142" s="1612"/>
      <c r="D142" s="1613"/>
      <c r="K142" s="24"/>
      <c r="L142" s="24"/>
    </row>
    <row r="143" spans="1:12" s="120" customFormat="1">
      <c r="A143" s="1612"/>
      <c r="D143" s="1613"/>
      <c r="K143" s="24"/>
      <c r="L143" s="24"/>
    </row>
    <row r="144" spans="1:12" s="120" customFormat="1">
      <c r="A144" s="1612"/>
      <c r="D144" s="1613"/>
      <c r="K144" s="24"/>
      <c r="L144" s="24"/>
    </row>
    <row r="145" spans="1:12" s="120" customFormat="1">
      <c r="A145" s="1612"/>
      <c r="D145" s="1613"/>
      <c r="K145" s="24"/>
      <c r="L145" s="24"/>
    </row>
    <row r="146" spans="1:12" s="120" customFormat="1">
      <c r="A146" s="1612"/>
      <c r="D146" s="1613"/>
      <c r="K146" s="24"/>
      <c r="L146" s="24"/>
    </row>
    <row r="147" spans="1:12" s="120" customFormat="1">
      <c r="A147" s="1612"/>
      <c r="D147" s="1613"/>
      <c r="K147" s="24"/>
      <c r="L147" s="24"/>
    </row>
    <row r="148" spans="1:12" s="120" customFormat="1">
      <c r="A148" s="1612"/>
      <c r="D148" s="1613"/>
      <c r="K148" s="24"/>
      <c r="L148" s="24"/>
    </row>
    <row r="149" spans="1:12" s="120" customFormat="1">
      <c r="A149" s="1612"/>
      <c r="D149" s="1613"/>
      <c r="K149" s="24"/>
      <c r="L149" s="24"/>
    </row>
    <row r="150" spans="1:12" s="120" customFormat="1">
      <c r="A150" s="1612"/>
      <c r="D150" s="1613"/>
      <c r="K150" s="24"/>
      <c r="L150" s="24"/>
    </row>
    <row r="151" spans="1:12" s="120" customFormat="1">
      <c r="A151" s="1612"/>
      <c r="D151" s="1613"/>
      <c r="K151" s="24"/>
      <c r="L151" s="24"/>
    </row>
    <row r="152" spans="1:12" s="120" customFormat="1">
      <c r="A152" s="1612"/>
      <c r="D152" s="1613"/>
      <c r="K152" s="24"/>
      <c r="L152" s="24"/>
    </row>
    <row r="153" spans="1:12" s="120" customFormat="1">
      <c r="A153" s="1612"/>
      <c r="D153" s="1613"/>
      <c r="K153" s="24"/>
      <c r="L153" s="24"/>
    </row>
    <row r="154" spans="1:12" s="120" customFormat="1">
      <c r="A154" s="1612"/>
      <c r="D154" s="1613"/>
      <c r="K154" s="24"/>
      <c r="L154" s="24"/>
    </row>
    <row r="155" spans="1:12" s="120" customFormat="1">
      <c r="A155" s="1612"/>
      <c r="D155" s="1613"/>
      <c r="K155" s="24"/>
      <c r="L155" s="24"/>
    </row>
    <row r="156" spans="1:12" s="120" customFormat="1">
      <c r="A156" s="1612"/>
      <c r="D156" s="1613"/>
      <c r="K156" s="24"/>
      <c r="L156" s="24"/>
    </row>
    <row r="157" spans="1:12" s="120" customFormat="1">
      <c r="A157" s="1612"/>
      <c r="D157" s="1613"/>
      <c r="K157" s="24"/>
      <c r="L157" s="24"/>
    </row>
    <row r="158" spans="1:12" s="120" customFormat="1">
      <c r="A158" s="1612"/>
      <c r="D158" s="1613"/>
      <c r="K158" s="24"/>
      <c r="L158" s="24"/>
    </row>
    <row r="159" spans="1:12" s="120" customFormat="1">
      <c r="A159" s="1612"/>
      <c r="D159" s="1613"/>
      <c r="K159" s="24"/>
      <c r="L159" s="24"/>
    </row>
    <row r="160" spans="1:12" s="120" customFormat="1">
      <c r="A160" s="1612"/>
      <c r="D160" s="1613"/>
      <c r="K160" s="24"/>
      <c r="L160" s="24"/>
    </row>
    <row r="161" spans="1:12" s="120" customFormat="1">
      <c r="A161" s="1612"/>
      <c r="D161" s="1613"/>
      <c r="K161" s="24"/>
      <c r="L161" s="24"/>
    </row>
    <row r="162" spans="1:12" s="120" customFormat="1">
      <c r="A162" s="1612"/>
      <c r="D162" s="1613"/>
      <c r="K162" s="24"/>
      <c r="L162" s="24"/>
    </row>
    <row r="163" spans="1:12" s="120" customFormat="1">
      <c r="A163" s="1612"/>
      <c r="D163" s="1613"/>
      <c r="K163" s="24"/>
      <c r="L163" s="24"/>
    </row>
    <row r="164" spans="1:12" s="120" customFormat="1">
      <c r="A164" s="1612"/>
      <c r="D164" s="1613"/>
      <c r="K164" s="24"/>
      <c r="L164" s="24"/>
    </row>
    <row r="165" spans="1:12" s="120" customFormat="1">
      <c r="A165" s="1612"/>
      <c r="D165" s="1613"/>
      <c r="K165" s="24"/>
      <c r="L165" s="24"/>
    </row>
    <row r="166" spans="1:12" s="120" customFormat="1">
      <c r="A166" s="1612"/>
      <c r="D166" s="1613"/>
      <c r="K166" s="24"/>
      <c r="L166" s="24"/>
    </row>
    <row r="167" spans="1:12" s="120" customFormat="1">
      <c r="A167" s="1612"/>
      <c r="D167" s="1613"/>
      <c r="K167" s="24"/>
      <c r="L167" s="24"/>
    </row>
    <row r="168" spans="1:12" s="120" customFormat="1">
      <c r="A168" s="1612"/>
      <c r="D168" s="1613"/>
      <c r="K168" s="24"/>
      <c r="L168" s="24"/>
    </row>
    <row r="169" spans="1:12" s="120" customFormat="1">
      <c r="A169" s="1612"/>
      <c r="D169" s="1613"/>
      <c r="K169" s="24"/>
      <c r="L169" s="24"/>
    </row>
    <row r="170" spans="1:12" s="120" customFormat="1">
      <c r="A170" s="1612"/>
      <c r="D170" s="1613"/>
      <c r="K170" s="24"/>
      <c r="L170" s="24"/>
    </row>
    <row r="171" spans="1:12" s="120" customFormat="1">
      <c r="A171" s="1612"/>
      <c r="D171" s="1613"/>
      <c r="K171" s="24"/>
      <c r="L171" s="24"/>
    </row>
    <row r="172" spans="1:12" s="120" customFormat="1">
      <c r="A172" s="1612"/>
      <c r="D172" s="1613"/>
      <c r="K172" s="24"/>
      <c r="L172" s="24"/>
    </row>
    <row r="173" spans="1:12" s="120" customFormat="1">
      <c r="A173" s="1612"/>
      <c r="D173" s="1613"/>
      <c r="K173" s="24"/>
      <c r="L173" s="24"/>
    </row>
    <row r="174" spans="1:12" s="120" customFormat="1">
      <c r="A174" s="1612"/>
      <c r="D174" s="161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8" customWidth="1"/>
    <col min="19" max="29" width="9" style="748"/>
    <col min="30" max="16384" width="9" style="1519"/>
  </cols>
  <sheetData>
    <row r="1" spans="1:29" s="2255" customFormat="1" ht="18.75" thickBot="1">
      <c r="A1" s="3319" t="s">
        <v>2281</v>
      </c>
      <c r="B1" s="3320"/>
      <c r="C1" s="3320"/>
      <c r="D1" s="3320"/>
      <c r="E1" s="3320"/>
      <c r="F1" s="3320"/>
      <c r="G1" s="3320"/>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2"/>
      <c r="E2" s="2256"/>
      <c r="F2" s="2259"/>
      <c r="G2" s="2258" t="s">
        <v>2278</v>
      </c>
      <c r="H2" s="748"/>
      <c r="I2" s="748"/>
      <c r="J2" s="748"/>
      <c r="K2" s="748"/>
      <c r="L2" s="748"/>
      <c r="M2" s="748"/>
      <c r="N2" s="748"/>
      <c r="O2" s="748"/>
      <c r="P2" s="748"/>
      <c r="Q2" s="748"/>
    </row>
    <row r="3" spans="1:29" ht="25.5">
      <c r="A3" s="2243" t="s">
        <v>2279</v>
      </c>
      <c r="B3" s="2260" t="s">
        <v>2251</v>
      </c>
      <c r="C3" s="3169" t="s">
        <v>4243</v>
      </c>
      <c r="D3" s="2261"/>
      <c r="E3" s="2244" t="s">
        <v>2279</v>
      </c>
      <c r="F3" s="2262" t="s">
        <v>2252</v>
      </c>
      <c r="G3" s="2263" t="s">
        <v>2280</v>
      </c>
      <c r="H3" s="748"/>
      <c r="I3" s="748"/>
      <c r="J3" s="748"/>
      <c r="K3" s="748"/>
      <c r="L3" s="748"/>
      <c r="M3" s="748"/>
      <c r="N3" s="748"/>
      <c r="O3" s="748"/>
      <c r="P3" s="748"/>
      <c r="Q3" s="748"/>
    </row>
    <row r="4" spans="1:29" ht="36">
      <c r="A4" s="2244"/>
      <c r="B4" s="313" t="s">
        <v>2253</v>
      </c>
      <c r="C4" s="3162"/>
      <c r="D4" s="2261"/>
      <c r="E4" s="2264"/>
      <c r="F4" s="1278" t="s">
        <v>2254</v>
      </c>
      <c r="G4" s="2265" t="s">
        <v>2255</v>
      </c>
      <c r="H4" s="748"/>
      <c r="I4" s="748"/>
      <c r="J4" s="748"/>
      <c r="K4" s="748"/>
      <c r="L4" s="748"/>
      <c r="M4" s="748"/>
      <c r="N4" s="748"/>
      <c r="O4" s="748"/>
      <c r="P4" s="748"/>
      <c r="Q4" s="748"/>
    </row>
    <row r="5" spans="1:29" ht="24.75" thickBot="1">
      <c r="A5" s="2244"/>
      <c r="B5" s="313" t="s">
        <v>2256</v>
      </c>
      <c r="C5" s="3162"/>
      <c r="D5" s="2261"/>
      <c r="E5" s="2264"/>
      <c r="F5" s="313" t="s">
        <v>2257</v>
      </c>
      <c r="G5" s="2265" t="s">
        <v>2258</v>
      </c>
      <c r="H5" s="748"/>
      <c r="I5" s="748"/>
      <c r="J5" s="748"/>
      <c r="K5" s="748"/>
      <c r="L5" s="748"/>
      <c r="M5" s="748"/>
      <c r="N5" s="748"/>
      <c r="O5" s="748"/>
      <c r="P5" s="748"/>
      <c r="Q5" s="748"/>
    </row>
    <row r="6" spans="1:29" ht="15" thickBot="1">
      <c r="A6" s="2244"/>
      <c r="B6" s="313" t="s">
        <v>2259</v>
      </c>
      <c r="C6" s="3169" t="s">
        <v>4243</v>
      </c>
      <c r="D6" s="2261"/>
      <c r="E6" s="2264"/>
      <c r="F6" s="313" t="s">
        <v>2260</v>
      </c>
      <c r="G6" s="2265" t="s">
        <v>2261</v>
      </c>
      <c r="H6" s="748"/>
      <c r="I6" s="748"/>
      <c r="J6" s="748"/>
      <c r="K6" s="748"/>
      <c r="L6" s="748"/>
      <c r="M6" s="748"/>
      <c r="N6" s="748"/>
      <c r="O6" s="748"/>
      <c r="P6" s="748"/>
      <c r="Q6" s="748"/>
    </row>
    <row r="7" spans="1:29" ht="24.75" thickBot="1">
      <c r="A7" s="2244"/>
      <c r="B7" s="313" t="s">
        <v>2257</v>
      </c>
      <c r="C7" s="3169" t="s">
        <v>4243</v>
      </c>
      <c r="D7" s="2241"/>
      <c r="E7" s="2266"/>
      <c r="F7" s="2267" t="s">
        <v>2262</v>
      </c>
      <c r="G7" s="2268" t="s">
        <v>2263</v>
      </c>
      <c r="H7" s="748"/>
      <c r="I7" s="748"/>
      <c r="J7" s="748"/>
      <c r="K7" s="748"/>
      <c r="L7" s="748"/>
      <c r="M7" s="748"/>
      <c r="N7" s="748"/>
      <c r="O7" s="748"/>
      <c r="P7" s="748"/>
      <c r="Q7" s="748"/>
    </row>
    <row r="8" spans="1:29" ht="15" thickBot="1">
      <c r="A8" s="2244"/>
      <c r="B8" s="313" t="s">
        <v>2260</v>
      </c>
      <c r="C8" s="3170" t="s">
        <v>4244</v>
      </c>
      <c r="D8" s="2241"/>
      <c r="E8" s="2241"/>
      <c r="F8" s="119"/>
      <c r="G8" s="119"/>
      <c r="H8" s="748"/>
      <c r="I8" s="748"/>
      <c r="J8" s="748"/>
      <c r="K8" s="748"/>
      <c r="L8" s="748"/>
      <c r="M8" s="748"/>
      <c r="N8" s="748"/>
      <c r="O8" s="748"/>
      <c r="P8" s="748"/>
      <c r="Q8" s="748"/>
    </row>
    <row r="9" spans="1:29">
      <c r="A9" s="2244"/>
      <c r="B9" s="313" t="s">
        <v>2264</v>
      </c>
      <c r="C9" s="3169" t="s">
        <v>4243</v>
      </c>
      <c r="D9" s="2261"/>
      <c r="E9" s="2241"/>
      <c r="F9" s="119"/>
      <c r="G9" s="119"/>
      <c r="H9" s="748"/>
      <c r="I9" s="748"/>
      <c r="J9" s="748"/>
      <c r="K9" s="748"/>
      <c r="L9" s="748"/>
      <c r="M9" s="748"/>
      <c r="N9" s="748"/>
      <c r="O9" s="748"/>
      <c r="P9" s="748"/>
      <c r="Q9" s="748"/>
    </row>
    <row r="10" spans="1:29" ht="15" thickBot="1">
      <c r="A10" s="2245"/>
      <c r="B10" s="2269" t="s">
        <v>2265</v>
      </c>
      <c r="C10" s="3163"/>
      <c r="D10" s="2261"/>
      <c r="E10" s="2261"/>
      <c r="F10" s="119"/>
      <c r="G10" s="119"/>
      <c r="J10" s="2271"/>
      <c r="M10" s="2271"/>
      <c r="P10" s="2271"/>
      <c r="R10" s="2270"/>
    </row>
    <row r="11" spans="1:29">
      <c r="A11" s="2272"/>
      <c r="B11" s="2241"/>
      <c r="C11" s="2261"/>
      <c r="D11" s="2261"/>
      <c r="E11" s="2261"/>
      <c r="F11" s="2241"/>
      <c r="G11" s="2241"/>
      <c r="J11" s="2271"/>
      <c r="M11" s="2271"/>
      <c r="P11" s="2271"/>
      <c r="R11" s="2270"/>
    </row>
    <row r="12" spans="1:29" s="2255" customFormat="1" ht="18">
      <c r="A12" s="2272"/>
      <c r="B12" s="2241"/>
      <c r="C12" s="2261"/>
      <c r="D12" s="2273"/>
      <c r="E12" s="2261"/>
      <c r="F12" s="2241"/>
      <c r="G12" s="2241"/>
      <c r="H12" s="2274"/>
      <c r="I12" s="2274"/>
      <c r="J12" s="2274"/>
      <c r="K12" s="2274"/>
      <c r="L12" s="2275"/>
      <c r="M12" s="2274"/>
      <c r="N12" s="2276"/>
      <c r="O12" s="2276"/>
      <c r="P12" s="2276"/>
      <c r="Q12" s="2276"/>
      <c r="R12" s="2254"/>
      <c r="S12" s="2254"/>
      <c r="T12" s="2254"/>
      <c r="U12" s="2254"/>
      <c r="V12" s="2254"/>
      <c r="W12" s="2254"/>
      <c r="X12" s="2254"/>
      <c r="Y12" s="2254"/>
      <c r="Z12" s="2254"/>
      <c r="AA12" s="2254"/>
      <c r="AB12" s="2254"/>
      <c r="AC12" s="2254"/>
    </row>
    <row r="13" spans="1:29" ht="15.75" thickBot="1">
      <c r="A13" s="2277" t="s">
        <v>2282</v>
      </c>
      <c r="B13" s="2273"/>
      <c r="C13" s="2273"/>
      <c r="D13" s="2272"/>
      <c r="E13" s="2273"/>
      <c r="F13" s="2273"/>
      <c r="G13" s="2273"/>
    </row>
    <row r="14" spans="1:29" ht="15" thickBot="1">
      <c r="A14" s="2278"/>
      <c r="B14" s="2278"/>
      <c r="C14" s="2279" t="s">
        <v>2266</v>
      </c>
      <c r="D14" s="2261"/>
      <c r="E14" s="2280"/>
      <c r="F14" s="2280"/>
      <c r="G14" s="2258" t="s">
        <v>2267</v>
      </c>
    </row>
    <row r="15" spans="1:29" ht="25.5">
      <c r="A15" s="2246" t="s">
        <v>2268</v>
      </c>
      <c r="B15" s="2281" t="s">
        <v>2251</v>
      </c>
      <c r="C15" s="2282" t="str">
        <f>C3</f>
        <v>一般</v>
      </c>
      <c r="D15" s="2261"/>
      <c r="E15" s="2247" t="s">
        <v>2269</v>
      </c>
      <c r="F15" s="2281" t="s">
        <v>2270</v>
      </c>
      <c r="G15" s="2283" t="str">
        <f>G3</f>
        <v>估价对象位于XX开发区，园区建设成熟度XX，产业集聚程度XX</v>
      </c>
    </row>
    <row r="16" spans="1:29" ht="38.25">
      <c r="A16" s="2248"/>
      <c r="B16" s="2284" t="s">
        <v>2253</v>
      </c>
      <c r="C16" s="2285">
        <f>C4</f>
        <v>0</v>
      </c>
      <c r="D16" s="2261"/>
      <c r="E16" s="2249"/>
      <c r="F16" s="2286" t="s">
        <v>2254</v>
      </c>
      <c r="G16" s="2287" t="str">
        <f>G4</f>
        <v>估价对象周边道路状况、公共交通通达情况、停车便捷程度，综合评价交通便捷度较好</v>
      </c>
    </row>
    <row r="17" spans="1:17">
      <c r="A17" s="2248"/>
      <c r="B17" s="2284" t="s">
        <v>2256</v>
      </c>
      <c r="C17" s="2285">
        <f>C5</f>
        <v>0</v>
      </c>
      <c r="D17" s="2241"/>
      <c r="E17" s="2249"/>
      <c r="F17" s="2286" t="s">
        <v>2271</v>
      </c>
      <c r="G17" s="2288"/>
    </row>
    <row r="18" spans="1:17" ht="25.5">
      <c r="A18" s="2248"/>
      <c r="B18" s="2286" t="s">
        <v>2259</v>
      </c>
      <c r="C18" s="2287" t="str">
        <f>C6</f>
        <v>一般</v>
      </c>
      <c r="D18" s="2241"/>
      <c r="E18" s="2249"/>
      <c r="F18" s="2286" t="s">
        <v>2262</v>
      </c>
      <c r="G18" s="2287" t="str">
        <f>G7</f>
        <v>该园区内是否有污染型企业，绿化情况，卫生条件，整体环境状况判断</v>
      </c>
    </row>
    <row r="19" spans="1:17" ht="25.5">
      <c r="A19" s="2248"/>
      <c r="B19" s="2286" t="s">
        <v>2272</v>
      </c>
      <c r="C19" s="2288"/>
      <c r="D19" s="2261"/>
      <c r="E19" s="2249"/>
      <c r="F19" s="313" t="s">
        <v>2257</v>
      </c>
      <c r="G19" s="2287" t="str">
        <f>G5</f>
        <v>估价对象所在区域公共配套设施齐备情况</v>
      </c>
    </row>
    <row r="20" spans="1:17">
      <c r="A20" s="2248"/>
      <c r="B20" s="2286" t="s">
        <v>2273</v>
      </c>
      <c r="C20" s="2285" t="str">
        <f>C9</f>
        <v>一般</v>
      </c>
      <c r="D20" s="2241"/>
      <c r="E20" s="2249"/>
      <c r="F20" s="313" t="s">
        <v>2260</v>
      </c>
      <c r="G20" s="2287" t="str">
        <f>G6</f>
        <v>估价对象所在区域基础设施水平</v>
      </c>
    </row>
    <row r="21" spans="1:17">
      <c r="A21" s="2248"/>
      <c r="B21" s="313" t="s">
        <v>2257</v>
      </c>
      <c r="C21" s="2287" t="str">
        <f>C7</f>
        <v>一般</v>
      </c>
      <c r="D21" s="2261"/>
      <c r="E21" s="2249"/>
      <c r="F21" s="2286" t="s">
        <v>2274</v>
      </c>
      <c r="G21" s="2289"/>
    </row>
    <row r="22" spans="1:17" ht="13.5" customHeight="1">
      <c r="A22" s="2248"/>
      <c r="B22" s="313" t="s">
        <v>2260</v>
      </c>
      <c r="C22" s="2287" t="str">
        <f>C8</f>
        <v>七通</v>
      </c>
      <c r="D22" s="2261"/>
      <c r="E22" s="2249"/>
      <c r="F22" s="2286" t="s">
        <v>2265</v>
      </c>
      <c r="G22" s="2288"/>
    </row>
    <row r="23" spans="1:17" s="748" customFormat="1" ht="15" thickBot="1">
      <c r="A23" s="2248"/>
      <c r="B23" s="2286" t="s">
        <v>2274</v>
      </c>
      <c r="C23" s="2289"/>
      <c r="D23" s="1610"/>
      <c r="E23" s="2250"/>
      <c r="F23" s="2290" t="s">
        <v>2275</v>
      </c>
      <c r="G23" s="2291"/>
      <c r="H23" s="2270"/>
      <c r="I23" s="2270"/>
      <c r="J23" s="2270"/>
      <c r="K23" s="2270"/>
      <c r="L23" s="2270"/>
      <c r="M23" s="2270"/>
      <c r="N23" s="2270"/>
      <c r="O23" s="2270"/>
      <c r="P23" s="2270"/>
      <c r="Q23" s="2270"/>
    </row>
    <row r="24" spans="1:17" s="748" customFormat="1" ht="15" thickBot="1">
      <c r="A24" s="2251"/>
      <c r="B24" s="2290" t="s">
        <v>2276</v>
      </c>
      <c r="C24" s="2292">
        <f>C10</f>
        <v>0</v>
      </c>
      <c r="D24" s="1610"/>
      <c r="E24" s="2241"/>
      <c r="F24" s="2241"/>
      <c r="G24" s="2241"/>
      <c r="H24" s="2270"/>
      <c r="I24" s="2270"/>
      <c r="J24" s="2270"/>
      <c r="K24" s="2270"/>
      <c r="L24" s="2270"/>
      <c r="M24" s="2270"/>
      <c r="N24" s="2270"/>
      <c r="O24" s="2270"/>
      <c r="P24" s="2270"/>
      <c r="Q24" s="2270"/>
    </row>
    <row r="25" spans="1:17" s="748" customFormat="1">
      <c r="B25" s="2270"/>
      <c r="C25" s="2270"/>
      <c r="D25" s="2270"/>
      <c r="H25" s="2270"/>
      <c r="I25" s="2270"/>
      <c r="J25" s="2270"/>
      <c r="K25" s="2270"/>
      <c r="L25" s="2270"/>
      <c r="M25" s="2270"/>
      <c r="N25" s="2270"/>
      <c r="O25" s="2270"/>
      <c r="P25" s="2270"/>
      <c r="Q25" s="2270"/>
    </row>
    <row r="26" spans="1:17" s="748" customFormat="1">
      <c r="B26" s="2270"/>
      <c r="C26" s="2270"/>
      <c r="D26" s="2270"/>
      <c r="H26" s="2270"/>
      <c r="I26" s="2270"/>
      <c r="J26" s="2270"/>
      <c r="K26" s="2270"/>
      <c r="L26" s="2270"/>
      <c r="M26" s="2270"/>
      <c r="N26" s="2270"/>
      <c r="O26" s="2270"/>
      <c r="P26" s="2270"/>
      <c r="Q26" s="2270"/>
    </row>
    <row r="27" spans="1:17" s="748" customFormat="1">
      <c r="B27" s="2270"/>
      <c r="C27" s="2270"/>
      <c r="D27" s="2270"/>
      <c r="H27" s="2270"/>
      <c r="I27" s="2270"/>
      <c r="J27" s="2270"/>
      <c r="K27" s="2270"/>
      <c r="L27" s="2270"/>
      <c r="M27" s="2270"/>
      <c r="N27" s="2270"/>
      <c r="O27" s="2270"/>
      <c r="P27" s="2270"/>
      <c r="Q27" s="2270"/>
    </row>
    <row r="28" spans="1:17" s="748" customFormat="1">
      <c r="B28" s="2270"/>
      <c r="C28" s="2270"/>
      <c r="D28" s="2270"/>
      <c r="H28" s="2270"/>
      <c r="I28" s="2270"/>
      <c r="J28" s="2270"/>
      <c r="K28" s="2270"/>
      <c r="L28" s="2270"/>
      <c r="M28" s="2270"/>
      <c r="N28" s="2270"/>
      <c r="O28" s="2270"/>
      <c r="P28" s="2270"/>
      <c r="Q28" s="2270"/>
    </row>
    <row r="29" spans="1:17" s="748" customFormat="1">
      <c r="B29" s="2270"/>
      <c r="C29" s="2270"/>
      <c r="D29" s="2270"/>
      <c r="H29" s="2270"/>
      <c r="I29" s="2270"/>
      <c r="J29" s="2270"/>
      <c r="K29" s="2270"/>
      <c r="L29" s="2270"/>
      <c r="M29" s="2270"/>
      <c r="N29" s="2270"/>
      <c r="O29" s="2270"/>
      <c r="P29" s="2270"/>
      <c r="Q29" s="2270"/>
    </row>
    <row r="30" spans="1:17" s="748" customFormat="1">
      <c r="B30" s="2270"/>
      <c r="C30" s="2270"/>
      <c r="D30" s="2270"/>
      <c r="H30" s="2270"/>
      <c r="I30" s="2270"/>
      <c r="J30" s="2270"/>
      <c r="K30" s="2270"/>
      <c r="L30" s="2270"/>
      <c r="M30" s="2270"/>
      <c r="N30" s="2270"/>
      <c r="O30" s="2270"/>
      <c r="P30" s="2270"/>
      <c r="Q30" s="2270"/>
    </row>
    <row r="31" spans="1:17" s="748" customFormat="1">
      <c r="B31" s="2270"/>
      <c r="C31" s="2270"/>
      <c r="D31" s="2270"/>
      <c r="H31" s="2270"/>
      <c r="I31" s="2270"/>
      <c r="J31" s="2270"/>
      <c r="K31" s="2270"/>
      <c r="L31" s="2270"/>
      <c r="M31" s="2270"/>
      <c r="N31" s="2270"/>
      <c r="O31" s="2270"/>
      <c r="P31" s="2270"/>
      <c r="Q31" s="2270"/>
    </row>
    <row r="32" spans="1:17" s="748" customFormat="1">
      <c r="B32" s="2270"/>
      <c r="C32" s="2270"/>
      <c r="D32" s="2270"/>
      <c r="H32" s="2270"/>
      <c r="I32" s="2270"/>
      <c r="J32" s="2270"/>
      <c r="K32" s="2270"/>
      <c r="L32" s="2270"/>
      <c r="M32" s="2270"/>
      <c r="N32" s="2270"/>
      <c r="O32" s="2270"/>
      <c r="P32" s="2270"/>
      <c r="Q32" s="2270"/>
    </row>
    <row r="33" spans="2:17" s="748" customFormat="1">
      <c r="B33" s="2270"/>
      <c r="C33" s="2270"/>
      <c r="D33" s="2270"/>
      <c r="H33" s="2270"/>
      <c r="I33" s="2270"/>
      <c r="J33" s="2270"/>
      <c r="K33" s="2270"/>
      <c r="L33" s="2270"/>
      <c r="M33" s="2270"/>
      <c r="N33" s="2270"/>
      <c r="O33" s="2270"/>
      <c r="P33" s="2270"/>
      <c r="Q33" s="2270"/>
    </row>
    <row r="34" spans="2:17" s="748" customFormat="1">
      <c r="B34" s="2270"/>
      <c r="C34" s="2270"/>
      <c r="D34" s="2270"/>
      <c r="H34" s="2270"/>
      <c r="I34" s="2270"/>
      <c r="J34" s="2270"/>
      <c r="K34" s="2270"/>
      <c r="L34" s="2270"/>
      <c r="M34" s="2270"/>
      <c r="N34" s="2270"/>
      <c r="O34" s="2270"/>
      <c r="P34" s="2270"/>
      <c r="Q34" s="2270"/>
    </row>
    <row r="35" spans="2:17" s="748" customFormat="1">
      <c r="B35" s="2270"/>
      <c r="C35" s="2270"/>
      <c r="D35" s="2270"/>
      <c r="H35" s="2270"/>
      <c r="I35" s="2270"/>
      <c r="J35" s="2270"/>
      <c r="K35" s="2270"/>
      <c r="L35" s="2270"/>
      <c r="M35" s="2270"/>
      <c r="N35" s="2270"/>
      <c r="O35" s="2270"/>
      <c r="P35" s="2270"/>
      <c r="Q35" s="2270"/>
    </row>
    <row r="36" spans="2:17" s="748" customFormat="1">
      <c r="B36" s="2270"/>
      <c r="C36" s="2270"/>
      <c r="D36" s="2270"/>
      <c r="H36" s="2270"/>
      <c r="I36" s="2270"/>
      <c r="J36" s="2270"/>
      <c r="K36" s="2270"/>
      <c r="L36" s="2270"/>
      <c r="M36" s="2270"/>
      <c r="N36" s="2270"/>
      <c r="O36" s="2270"/>
      <c r="P36" s="2270"/>
      <c r="Q36" s="2270"/>
    </row>
    <row r="37" spans="2:17" s="748" customFormat="1">
      <c r="B37" s="2270"/>
      <c r="C37" s="2270"/>
      <c r="D37" s="2270"/>
      <c r="H37" s="2270"/>
      <c r="I37" s="2270"/>
      <c r="J37" s="2270"/>
      <c r="K37" s="2270"/>
      <c r="L37" s="2270"/>
      <c r="M37" s="2270"/>
      <c r="N37" s="2270"/>
      <c r="O37" s="2270"/>
      <c r="P37" s="2270"/>
      <c r="Q37" s="2270"/>
    </row>
    <row r="38" spans="2:17" s="748" customFormat="1">
      <c r="B38" s="2270"/>
      <c r="C38" s="2270"/>
      <c r="D38" s="2270"/>
      <c r="E38" s="2270"/>
      <c r="F38" s="2270"/>
      <c r="G38" s="2270"/>
      <c r="H38" s="2270"/>
      <c r="I38" s="2270"/>
      <c r="J38" s="2270"/>
      <c r="K38" s="2270"/>
      <c r="L38" s="2270"/>
      <c r="M38" s="2270"/>
      <c r="N38" s="2270"/>
      <c r="O38" s="2270"/>
      <c r="P38" s="2270"/>
      <c r="Q38" s="2270"/>
    </row>
    <row r="39" spans="2:17" s="748" customFormat="1">
      <c r="B39" s="2270"/>
      <c r="C39" s="2270"/>
      <c r="D39" s="2270"/>
      <c r="E39" s="2270"/>
      <c r="F39" s="2270"/>
      <c r="G39" s="2270"/>
      <c r="H39" s="2270"/>
      <c r="I39" s="2270"/>
      <c r="J39" s="2270"/>
      <c r="K39" s="2270"/>
      <c r="L39" s="2270"/>
      <c r="M39" s="2270"/>
      <c r="N39" s="2270"/>
      <c r="O39" s="2270"/>
      <c r="P39" s="2270"/>
      <c r="Q39" s="2270"/>
    </row>
    <row r="40" spans="2:17" s="748" customFormat="1">
      <c r="B40" s="2270"/>
      <c r="C40" s="2270"/>
      <c r="D40" s="2270"/>
      <c r="E40" s="2270"/>
      <c r="F40" s="2270"/>
      <c r="G40" s="2270"/>
      <c r="H40" s="2270"/>
      <c r="I40" s="2270"/>
      <c r="J40" s="2270"/>
      <c r="K40" s="2270"/>
      <c r="L40" s="2270"/>
      <c r="M40" s="2270"/>
      <c r="N40" s="2270"/>
      <c r="O40" s="2270"/>
      <c r="P40" s="2270"/>
      <c r="Q40" s="2270"/>
    </row>
    <row r="41" spans="2:17" s="748" customFormat="1">
      <c r="B41" s="2270"/>
      <c r="C41" s="2270"/>
      <c r="D41" s="2270"/>
      <c r="E41" s="2270"/>
      <c r="F41" s="2270"/>
      <c r="G41" s="2270"/>
      <c r="H41" s="2270"/>
      <c r="I41" s="2270"/>
      <c r="J41" s="2270"/>
      <c r="K41" s="2270"/>
      <c r="L41" s="2270"/>
      <c r="M41" s="2270"/>
      <c r="N41" s="2270"/>
      <c r="O41" s="2270"/>
      <c r="P41" s="2270"/>
      <c r="Q41" s="2270"/>
    </row>
    <row r="42" spans="2:17" s="748" customFormat="1">
      <c r="B42" s="2270"/>
      <c r="C42" s="2270"/>
      <c r="D42" s="2270"/>
      <c r="E42" s="2270"/>
      <c r="F42" s="2270"/>
      <c r="G42" s="2270"/>
      <c r="H42" s="2270"/>
      <c r="I42" s="2270"/>
      <c r="J42" s="2270"/>
      <c r="K42" s="2270"/>
      <c r="L42" s="2270"/>
      <c r="M42" s="2270"/>
      <c r="N42" s="2270"/>
      <c r="O42" s="2270"/>
      <c r="P42" s="2270"/>
      <c r="Q42" s="2270"/>
    </row>
    <row r="43" spans="2:17" s="748" customFormat="1">
      <c r="B43" s="2270"/>
      <c r="C43" s="2270"/>
      <c r="D43" s="2270"/>
      <c r="E43" s="2270"/>
      <c r="F43" s="2270"/>
      <c r="G43" s="2270"/>
      <c r="H43" s="2270"/>
      <c r="I43" s="2270"/>
      <c r="J43" s="2270"/>
      <c r="K43" s="2270"/>
      <c r="L43" s="2270"/>
      <c r="M43" s="2270"/>
      <c r="N43" s="2270"/>
      <c r="O43" s="2270"/>
      <c r="P43" s="2270"/>
      <c r="Q43" s="2270"/>
    </row>
    <row r="44" spans="2:17" s="748" customFormat="1">
      <c r="B44" s="2270"/>
      <c r="C44" s="2270"/>
      <c r="D44" s="2270"/>
      <c r="E44" s="2270"/>
      <c r="F44" s="2270"/>
      <c r="G44" s="2270"/>
      <c r="H44" s="2270"/>
      <c r="I44" s="2270"/>
      <c r="J44" s="2270"/>
      <c r="K44" s="2270"/>
      <c r="L44" s="2270"/>
      <c r="M44" s="2270"/>
      <c r="N44" s="2270"/>
      <c r="O44" s="2270"/>
      <c r="P44" s="2270"/>
      <c r="Q44" s="2270"/>
    </row>
    <row r="45" spans="2:17" s="748" customFormat="1">
      <c r="B45" s="2270"/>
      <c r="C45" s="2270"/>
      <c r="D45" s="2270"/>
      <c r="E45" s="2270"/>
      <c r="F45" s="2270"/>
      <c r="G45" s="2270"/>
      <c r="H45" s="2270"/>
      <c r="I45" s="2270"/>
      <c r="J45" s="2270"/>
      <c r="K45" s="2270"/>
      <c r="L45" s="2270"/>
      <c r="M45" s="2270"/>
      <c r="N45" s="2270"/>
      <c r="O45" s="2270"/>
      <c r="P45" s="2270"/>
      <c r="Q45" s="2270"/>
    </row>
    <row r="46" spans="2:17" s="748" customFormat="1">
      <c r="B46" s="2270"/>
      <c r="C46" s="2270"/>
      <c r="D46" s="2270"/>
      <c r="E46" s="2270"/>
      <c r="F46" s="2270"/>
      <c r="G46" s="2270"/>
      <c r="H46" s="2270"/>
      <c r="I46" s="2270"/>
      <c r="J46" s="2270"/>
      <c r="K46" s="2270"/>
      <c r="L46" s="2270"/>
      <c r="M46" s="2270"/>
      <c r="N46" s="2270"/>
      <c r="O46" s="2270"/>
      <c r="P46" s="2270"/>
      <c r="Q46" s="2270"/>
    </row>
    <row r="47" spans="2:17" s="748" customFormat="1">
      <c r="B47" s="2270"/>
      <c r="C47" s="2270"/>
      <c r="D47" s="2270"/>
      <c r="E47" s="2270"/>
      <c r="F47" s="2270"/>
      <c r="G47" s="2270"/>
      <c r="H47" s="2270"/>
      <c r="I47" s="2270"/>
      <c r="J47" s="2270"/>
      <c r="K47" s="2270"/>
      <c r="L47" s="2270"/>
      <c r="M47" s="2270"/>
      <c r="N47" s="2270"/>
      <c r="O47" s="2270"/>
      <c r="P47" s="2270"/>
      <c r="Q47" s="2270"/>
    </row>
    <row r="48" spans="2:17" s="748" customFormat="1">
      <c r="B48" s="2270"/>
      <c r="C48" s="2270"/>
      <c r="D48" s="2270"/>
      <c r="E48" s="2270"/>
      <c r="F48" s="2270"/>
      <c r="G48" s="2270"/>
      <c r="H48" s="2270"/>
      <c r="I48" s="2270"/>
      <c r="J48" s="2270"/>
      <c r="K48" s="2270"/>
      <c r="L48" s="2270"/>
      <c r="M48" s="2270"/>
      <c r="N48" s="2270"/>
      <c r="O48" s="2270"/>
      <c r="P48" s="2270"/>
      <c r="Q48" s="2270"/>
    </row>
    <row r="49" spans="2:17" s="748" customFormat="1">
      <c r="B49" s="2270"/>
      <c r="C49" s="2270"/>
      <c r="D49" s="2270"/>
      <c r="E49" s="2270"/>
      <c r="F49" s="2270"/>
      <c r="G49" s="2270"/>
      <c r="H49" s="2270"/>
      <c r="I49" s="2270"/>
      <c r="J49" s="2270"/>
      <c r="K49" s="2270"/>
      <c r="L49" s="2270"/>
      <c r="M49" s="2270"/>
      <c r="N49" s="2270"/>
      <c r="O49" s="2270"/>
      <c r="P49" s="2270"/>
      <c r="Q49" s="2270"/>
    </row>
    <row r="50" spans="2:17" s="748" customFormat="1">
      <c r="B50" s="2270"/>
      <c r="C50" s="2270"/>
      <c r="D50" s="2270"/>
      <c r="E50" s="2270"/>
      <c r="F50" s="2270"/>
      <c r="G50" s="2270"/>
      <c r="H50" s="2270"/>
      <c r="I50" s="2270"/>
      <c r="J50" s="2270"/>
      <c r="K50" s="2270"/>
      <c r="L50" s="2270"/>
      <c r="M50" s="2270"/>
      <c r="N50" s="2270"/>
      <c r="O50" s="2270"/>
      <c r="P50" s="2270"/>
      <c r="Q50" s="2270"/>
    </row>
    <row r="51" spans="2:17" s="748" customFormat="1">
      <c r="B51" s="2270"/>
      <c r="C51" s="2270"/>
      <c r="D51" s="2270"/>
      <c r="E51" s="2270"/>
      <c r="F51" s="2270"/>
      <c r="G51" s="2270"/>
      <c r="H51" s="2270"/>
      <c r="I51" s="2270"/>
      <c r="J51" s="2270"/>
      <c r="K51" s="2270"/>
      <c r="L51" s="2270"/>
      <c r="M51" s="2270"/>
      <c r="N51" s="2270"/>
      <c r="O51" s="2270"/>
      <c r="P51" s="2270"/>
      <c r="Q51" s="2270"/>
    </row>
    <row r="52" spans="2:17" s="748" customFormat="1">
      <c r="B52" s="2270"/>
      <c r="C52" s="2270"/>
      <c r="D52" s="2270"/>
      <c r="E52" s="2270"/>
      <c r="F52" s="2270"/>
      <c r="G52" s="2270"/>
      <c r="H52" s="2270"/>
      <c r="I52" s="2270"/>
      <c r="J52" s="2270"/>
      <c r="K52" s="2270"/>
      <c r="L52" s="2270"/>
      <c r="M52" s="2270"/>
      <c r="N52" s="2270"/>
      <c r="O52" s="2270"/>
      <c r="P52" s="2270"/>
      <c r="Q52" s="2270"/>
    </row>
    <row r="53" spans="2:17" s="748" customFormat="1">
      <c r="B53" s="2270"/>
      <c r="C53" s="2270"/>
      <c r="D53" s="2270"/>
      <c r="E53" s="2270"/>
      <c r="F53" s="2270"/>
      <c r="G53" s="2270"/>
      <c r="H53" s="2270"/>
      <c r="I53" s="2270"/>
      <c r="J53" s="2270"/>
      <c r="K53" s="2270"/>
      <c r="L53" s="2270"/>
      <c r="M53" s="2270"/>
      <c r="N53" s="2270"/>
      <c r="O53" s="2270"/>
      <c r="P53" s="2270"/>
      <c r="Q53" s="2270"/>
    </row>
    <row r="54" spans="2:17" s="748" customFormat="1">
      <c r="B54" s="2270"/>
      <c r="C54" s="2270"/>
      <c r="D54" s="2270"/>
      <c r="E54" s="2270"/>
      <c r="F54" s="2270"/>
      <c r="G54" s="2270"/>
      <c r="H54" s="2270"/>
      <c r="I54" s="2270"/>
      <c r="J54" s="2270"/>
      <c r="K54" s="2270"/>
      <c r="L54" s="2270"/>
      <c r="M54" s="2270"/>
      <c r="N54" s="2270"/>
      <c r="O54" s="2270"/>
      <c r="P54" s="2270"/>
      <c r="Q54" s="2270"/>
    </row>
    <row r="55" spans="2:17" s="748" customFormat="1">
      <c r="B55" s="2270"/>
      <c r="C55" s="2270"/>
      <c r="D55" s="2270"/>
      <c r="E55" s="2270"/>
      <c r="F55" s="2270"/>
      <c r="G55" s="2270"/>
      <c r="H55" s="2270"/>
      <c r="I55" s="2270"/>
      <c r="J55" s="2270"/>
      <c r="K55" s="2270"/>
      <c r="L55" s="2270"/>
      <c r="M55" s="2270"/>
      <c r="N55" s="2270"/>
      <c r="O55" s="2270"/>
      <c r="P55" s="2270"/>
      <c r="Q55" s="2270"/>
    </row>
    <row r="56" spans="2:17" s="748" customFormat="1">
      <c r="B56" s="2270"/>
      <c r="C56" s="2270"/>
      <c r="D56" s="2270"/>
      <c r="E56" s="2270"/>
      <c r="F56" s="2270"/>
      <c r="G56" s="2270"/>
      <c r="H56" s="2270"/>
      <c r="I56" s="2270"/>
      <c r="J56" s="2270"/>
      <c r="K56" s="2270"/>
      <c r="L56" s="2270"/>
      <c r="M56" s="2270"/>
      <c r="N56" s="2270"/>
      <c r="O56" s="2270"/>
      <c r="P56" s="2270"/>
      <c r="Q56" s="2270"/>
    </row>
    <row r="57" spans="2:17" s="748" customFormat="1">
      <c r="B57" s="2270"/>
      <c r="C57" s="2270"/>
      <c r="D57" s="2270"/>
      <c r="E57" s="2270"/>
      <c r="F57" s="2270"/>
      <c r="G57" s="2270"/>
      <c r="H57" s="2270"/>
      <c r="I57" s="2270"/>
      <c r="J57" s="2270"/>
      <c r="K57" s="2270"/>
      <c r="L57" s="2270"/>
      <c r="M57" s="2270"/>
      <c r="N57" s="2270"/>
      <c r="O57" s="2270"/>
      <c r="P57" s="2270"/>
      <c r="Q57" s="2270"/>
    </row>
    <row r="58" spans="2:17" s="748" customFormat="1">
      <c r="B58" s="2270"/>
      <c r="C58" s="2270"/>
      <c r="D58" s="2270"/>
      <c r="E58" s="2270"/>
      <c r="F58" s="2270"/>
      <c r="G58" s="2270"/>
      <c r="H58" s="2270"/>
      <c r="I58" s="2270"/>
      <c r="J58" s="2270"/>
      <c r="K58" s="2270"/>
      <c r="L58" s="2270"/>
      <c r="M58" s="2270"/>
      <c r="N58" s="2270"/>
      <c r="O58" s="2270"/>
      <c r="P58" s="2270"/>
      <c r="Q58" s="2270"/>
    </row>
    <row r="59" spans="2:17" s="748" customFormat="1">
      <c r="B59" s="2270"/>
      <c r="C59" s="2270"/>
      <c r="D59" s="2270"/>
      <c r="E59" s="2270"/>
      <c r="F59" s="2270"/>
      <c r="G59" s="2270"/>
      <c r="H59" s="2270"/>
      <c r="I59" s="2270"/>
      <c r="J59" s="2270"/>
      <c r="K59" s="2270"/>
      <c r="L59" s="2270"/>
      <c r="M59" s="2270"/>
      <c r="N59" s="2270"/>
      <c r="O59" s="2270"/>
      <c r="P59" s="2270"/>
      <c r="Q59" s="2270"/>
    </row>
    <row r="60" spans="2:17" s="748" customFormat="1">
      <c r="B60" s="2270"/>
      <c r="C60" s="2270"/>
      <c r="D60" s="2270"/>
      <c r="E60" s="2270"/>
      <c r="F60" s="2270"/>
      <c r="G60" s="2270"/>
      <c r="H60" s="2270"/>
      <c r="I60" s="2270"/>
      <c r="J60" s="2270"/>
      <c r="K60" s="2270"/>
      <c r="L60" s="2270"/>
      <c r="M60" s="2270"/>
      <c r="N60" s="2270"/>
      <c r="O60" s="2270"/>
      <c r="P60" s="2270"/>
      <c r="Q60" s="2270"/>
    </row>
    <row r="61" spans="2:17" s="748" customFormat="1">
      <c r="B61" s="2270"/>
      <c r="C61" s="2270"/>
      <c r="D61" s="2270"/>
      <c r="E61" s="2270"/>
      <c r="F61" s="2270"/>
      <c r="G61" s="2270"/>
      <c r="H61" s="2270"/>
      <c r="I61" s="2270"/>
      <c r="J61" s="2270"/>
      <c r="K61" s="2270"/>
      <c r="L61" s="2270"/>
      <c r="M61" s="2270"/>
      <c r="N61" s="2270"/>
      <c r="O61" s="2270"/>
      <c r="P61" s="2270"/>
      <c r="Q61" s="2270"/>
    </row>
    <row r="62" spans="2:17" s="748" customFormat="1">
      <c r="B62" s="2270"/>
      <c r="C62" s="2270"/>
      <c r="D62" s="2270"/>
      <c r="E62" s="2270"/>
      <c r="F62" s="2270"/>
      <c r="G62" s="2270"/>
      <c r="H62" s="2270"/>
      <c r="I62" s="2270"/>
      <c r="J62" s="2270"/>
      <c r="K62" s="2270"/>
      <c r="L62" s="2270"/>
      <c r="M62" s="2270"/>
      <c r="N62" s="2270"/>
      <c r="O62" s="2270"/>
      <c r="P62" s="2270"/>
      <c r="Q62" s="2270"/>
    </row>
    <row r="63" spans="2:17" s="748" customFormat="1">
      <c r="B63" s="2270"/>
      <c r="C63" s="2270"/>
      <c r="D63" s="2270"/>
      <c r="E63" s="2270"/>
      <c r="F63" s="2270"/>
      <c r="G63" s="2270"/>
      <c r="H63" s="2270"/>
      <c r="I63" s="2270"/>
      <c r="J63" s="2270"/>
      <c r="K63" s="2270"/>
      <c r="L63" s="2270"/>
      <c r="M63" s="2270"/>
      <c r="N63" s="2270"/>
      <c r="O63" s="2270"/>
      <c r="P63" s="2270"/>
      <c r="Q63" s="2270"/>
    </row>
    <row r="64" spans="2:17" s="748" customFormat="1">
      <c r="B64" s="2270"/>
      <c r="C64" s="2270"/>
      <c r="D64" s="2270"/>
      <c r="E64" s="2270"/>
      <c r="F64" s="2270"/>
      <c r="G64" s="2270"/>
      <c r="H64" s="2270"/>
      <c r="I64" s="2270"/>
      <c r="J64" s="2270"/>
      <c r="K64" s="2270"/>
      <c r="L64" s="2270"/>
      <c r="M64" s="2270"/>
      <c r="N64" s="2270"/>
      <c r="O64" s="2270"/>
      <c r="P64" s="2270"/>
      <c r="Q64" s="2270"/>
    </row>
    <row r="65" spans="2:17" s="748" customFormat="1">
      <c r="B65" s="2270"/>
      <c r="C65" s="2270"/>
      <c r="D65" s="2270"/>
      <c r="E65" s="2270"/>
      <c r="F65" s="2270"/>
      <c r="G65" s="2270"/>
      <c r="H65" s="2270"/>
      <c r="I65" s="2270"/>
      <c r="J65" s="2270"/>
      <c r="K65" s="2270"/>
      <c r="L65" s="2270"/>
      <c r="M65" s="2270"/>
      <c r="N65" s="2270"/>
      <c r="O65" s="2270"/>
      <c r="P65" s="2270"/>
      <c r="Q65" s="2270"/>
    </row>
    <row r="66" spans="2:17" s="748" customFormat="1">
      <c r="B66" s="2270"/>
      <c r="C66" s="2270"/>
      <c r="D66" s="2270"/>
      <c r="E66" s="2270"/>
      <c r="F66" s="2270"/>
      <c r="G66" s="2270"/>
      <c r="H66" s="2270"/>
      <c r="I66" s="2270"/>
      <c r="J66" s="2270"/>
      <c r="K66" s="2270"/>
      <c r="L66" s="2270"/>
      <c r="M66" s="2270"/>
      <c r="N66" s="2270"/>
      <c r="O66" s="2270"/>
      <c r="P66" s="2270"/>
      <c r="Q66" s="2270"/>
    </row>
    <row r="67" spans="2:17" s="748" customFormat="1">
      <c r="B67" s="2270"/>
      <c r="C67" s="2270"/>
      <c r="D67" s="2270"/>
      <c r="E67" s="2270"/>
      <c r="F67" s="2270"/>
      <c r="G67" s="2270"/>
      <c r="H67" s="2270"/>
      <c r="I67" s="2270"/>
      <c r="J67" s="2270"/>
      <c r="K67" s="2270"/>
      <c r="L67" s="2270"/>
      <c r="M67" s="2270"/>
      <c r="N67" s="2270"/>
      <c r="O67" s="2270"/>
      <c r="P67" s="2270"/>
      <c r="Q67" s="2270"/>
    </row>
    <row r="68" spans="2:17" s="748" customFormat="1">
      <c r="B68" s="2270"/>
      <c r="C68" s="2270"/>
      <c r="D68" s="2270"/>
      <c r="E68" s="2270"/>
      <c r="F68" s="2270"/>
      <c r="G68" s="2270"/>
      <c r="H68" s="2270"/>
      <c r="I68" s="2270"/>
      <c r="J68" s="2270"/>
      <c r="K68" s="2270"/>
      <c r="L68" s="2270"/>
      <c r="M68" s="2270"/>
      <c r="N68" s="2270"/>
      <c r="O68" s="2270"/>
      <c r="P68" s="2270"/>
      <c r="Q68" s="2270"/>
    </row>
    <row r="69" spans="2:17" s="748" customFormat="1">
      <c r="B69" s="2270"/>
      <c r="C69" s="2270"/>
      <c r="D69" s="2270"/>
      <c r="E69" s="2270"/>
      <c r="F69" s="2270"/>
      <c r="G69" s="2270"/>
      <c r="H69" s="2270"/>
      <c r="I69" s="2270"/>
      <c r="J69" s="2270"/>
      <c r="K69" s="2270"/>
      <c r="L69" s="2270"/>
      <c r="M69" s="2270"/>
      <c r="N69" s="2270"/>
      <c r="O69" s="2270"/>
      <c r="P69" s="2270"/>
      <c r="Q69" s="2270"/>
    </row>
    <row r="70" spans="2:17" s="748" customFormat="1">
      <c r="B70" s="2270"/>
      <c r="C70" s="2270"/>
      <c r="D70" s="2270"/>
      <c r="E70" s="2270"/>
      <c r="F70" s="2270"/>
      <c r="G70" s="2270"/>
      <c r="H70" s="2270"/>
      <c r="I70" s="2270"/>
      <c r="J70" s="2270"/>
      <c r="K70" s="2270"/>
      <c r="L70" s="2270"/>
      <c r="M70" s="2270"/>
      <c r="N70" s="2270"/>
      <c r="O70" s="2270"/>
      <c r="P70" s="2270"/>
      <c r="Q70" s="2270"/>
    </row>
    <row r="71" spans="2:17" s="748" customFormat="1">
      <c r="B71" s="2270"/>
      <c r="C71" s="2270"/>
      <c r="D71" s="2270"/>
      <c r="E71" s="2270"/>
      <c r="F71" s="2270"/>
      <c r="G71" s="2270"/>
      <c r="H71" s="2270"/>
      <c r="I71" s="2270"/>
      <c r="J71" s="2270"/>
      <c r="K71" s="2270"/>
      <c r="L71" s="2270"/>
      <c r="M71" s="2270"/>
      <c r="N71" s="2270"/>
      <c r="O71" s="2270"/>
      <c r="P71" s="2270"/>
      <c r="Q71" s="2270"/>
    </row>
    <row r="72" spans="2:17" s="748" customFormat="1">
      <c r="B72" s="2270"/>
      <c r="C72" s="2270"/>
      <c r="D72" s="2270"/>
      <c r="E72" s="2270"/>
      <c r="F72" s="2270"/>
      <c r="G72" s="2270"/>
      <c r="H72" s="2270"/>
      <c r="I72" s="2270"/>
      <c r="J72" s="2270"/>
      <c r="K72" s="2270"/>
      <c r="L72" s="2270"/>
      <c r="M72" s="2270"/>
      <c r="N72" s="2270"/>
      <c r="O72" s="2270"/>
      <c r="P72" s="2270"/>
      <c r="Q72" s="2270"/>
    </row>
    <row r="73" spans="2:17" s="748" customFormat="1">
      <c r="B73" s="2270"/>
      <c r="C73" s="2270"/>
      <c r="D73" s="2270"/>
      <c r="E73" s="2270"/>
      <c r="F73" s="2270"/>
      <c r="G73" s="2270"/>
      <c r="H73" s="2270"/>
      <c r="I73" s="2270"/>
      <c r="J73" s="2270"/>
      <c r="K73" s="2270"/>
      <c r="L73" s="2270"/>
      <c r="M73" s="2270"/>
      <c r="N73" s="2270"/>
      <c r="O73" s="2270"/>
      <c r="P73" s="2270"/>
      <c r="Q73" s="2270"/>
    </row>
    <row r="74" spans="2:17" s="748" customFormat="1">
      <c r="B74" s="2270"/>
      <c r="C74" s="2270"/>
      <c r="D74" s="2270"/>
      <c r="E74" s="2270"/>
      <c r="F74" s="2270"/>
      <c r="G74" s="2270"/>
      <c r="H74" s="2270"/>
      <c r="I74" s="2270"/>
      <c r="J74" s="2270"/>
      <c r="K74" s="2270"/>
      <c r="L74" s="2270"/>
      <c r="M74" s="2270"/>
      <c r="N74" s="2270"/>
      <c r="O74" s="2270"/>
      <c r="P74" s="2270"/>
      <c r="Q74" s="2270"/>
    </row>
    <row r="75" spans="2:17" s="748" customFormat="1">
      <c r="B75" s="2270"/>
      <c r="C75" s="2270"/>
      <c r="D75" s="2270"/>
      <c r="E75" s="2270"/>
      <c r="F75" s="2270"/>
      <c r="G75" s="2270"/>
      <c r="H75" s="2270"/>
      <c r="I75" s="2270"/>
      <c r="J75" s="2270"/>
      <c r="K75" s="2270"/>
      <c r="L75" s="2270"/>
      <c r="M75" s="2270"/>
      <c r="N75" s="2270"/>
      <c r="O75" s="2270"/>
      <c r="P75" s="2270"/>
      <c r="Q75" s="2270"/>
    </row>
    <row r="76" spans="2:17" s="748" customFormat="1">
      <c r="B76" s="2270"/>
      <c r="C76" s="2270"/>
      <c r="D76" s="2270"/>
      <c r="E76" s="2270"/>
      <c r="F76" s="2270"/>
      <c r="G76" s="2270"/>
      <c r="H76" s="2270"/>
      <c r="I76" s="2270"/>
      <c r="J76" s="2270"/>
      <c r="K76" s="2270"/>
      <c r="L76" s="2270"/>
      <c r="M76" s="2270"/>
      <c r="N76" s="2270"/>
      <c r="O76" s="2270"/>
      <c r="P76" s="2270"/>
      <c r="Q76" s="2270"/>
    </row>
    <row r="77" spans="2:17" s="748" customFormat="1">
      <c r="B77" s="2270"/>
      <c r="C77" s="2270"/>
      <c r="D77" s="2270"/>
      <c r="E77" s="2270"/>
      <c r="F77" s="2270"/>
      <c r="G77" s="2270"/>
      <c r="H77" s="2270"/>
      <c r="I77" s="2270"/>
      <c r="J77" s="2270"/>
      <c r="K77" s="2270"/>
      <c r="L77" s="2270"/>
      <c r="M77" s="2270"/>
      <c r="N77" s="2270"/>
      <c r="O77" s="2270"/>
      <c r="P77" s="2270"/>
      <c r="Q77" s="2270"/>
    </row>
    <row r="78" spans="2:17" s="748" customFormat="1">
      <c r="B78" s="2270"/>
      <c r="C78" s="2270"/>
      <c r="D78" s="2270"/>
      <c r="E78" s="2270"/>
      <c r="F78" s="2270"/>
      <c r="G78" s="2270"/>
      <c r="H78" s="2270"/>
      <c r="I78" s="2270"/>
      <c r="J78" s="2270"/>
      <c r="K78" s="2270"/>
      <c r="L78" s="2270"/>
      <c r="M78" s="2270"/>
      <c r="N78" s="2270"/>
      <c r="O78" s="2270"/>
      <c r="P78" s="2270"/>
      <c r="Q78" s="2270"/>
    </row>
    <row r="79" spans="2:17" s="748" customFormat="1">
      <c r="B79" s="2270"/>
      <c r="C79" s="2270"/>
      <c r="D79" s="2270"/>
      <c r="E79" s="2270"/>
      <c r="F79" s="2270"/>
      <c r="G79" s="2270"/>
      <c r="H79" s="2270"/>
      <c r="I79" s="2270"/>
      <c r="J79" s="2270"/>
      <c r="K79" s="2270"/>
      <c r="L79" s="2270"/>
      <c r="M79" s="2270"/>
      <c r="N79" s="2270"/>
      <c r="O79" s="2270"/>
      <c r="P79" s="2270"/>
      <c r="Q79" s="2270"/>
    </row>
    <row r="80" spans="2:17" s="748" customFormat="1">
      <c r="B80" s="2270"/>
      <c r="C80" s="2270"/>
      <c r="D80" s="2270"/>
      <c r="E80" s="2270"/>
      <c r="F80" s="2270"/>
      <c r="G80" s="2270"/>
      <c r="H80" s="2270"/>
      <c r="I80" s="2270"/>
      <c r="J80" s="2270"/>
      <c r="K80" s="2270"/>
      <c r="L80" s="2270"/>
      <c r="M80" s="2270"/>
      <c r="N80" s="2270"/>
      <c r="O80" s="2270"/>
      <c r="P80" s="2270"/>
      <c r="Q80" s="2270"/>
    </row>
    <row r="81" spans="2:17" s="748" customFormat="1">
      <c r="B81" s="2270"/>
      <c r="C81" s="2270"/>
      <c r="D81" s="2270"/>
      <c r="E81" s="2270"/>
      <c r="F81" s="2270"/>
      <c r="G81" s="2270"/>
      <c r="H81" s="2270"/>
      <c r="I81" s="2270"/>
      <c r="J81" s="2270"/>
      <c r="K81" s="2270"/>
      <c r="L81" s="2270"/>
      <c r="M81" s="2270"/>
      <c r="N81" s="2270"/>
      <c r="O81" s="2270"/>
      <c r="P81" s="2270"/>
      <c r="Q81" s="2270"/>
    </row>
    <row r="82" spans="2:17" s="748" customFormat="1">
      <c r="B82" s="2270"/>
      <c r="C82" s="2270"/>
      <c r="D82" s="2270"/>
      <c r="E82" s="2270"/>
      <c r="F82" s="2270"/>
      <c r="G82" s="2270"/>
      <c r="H82" s="2270"/>
      <c r="I82" s="2270"/>
      <c r="J82" s="2270"/>
      <c r="K82" s="2270"/>
      <c r="L82" s="2270"/>
      <c r="M82" s="2270"/>
      <c r="N82" s="2270"/>
      <c r="O82" s="2270"/>
      <c r="P82" s="2270"/>
      <c r="Q82" s="2270"/>
    </row>
    <row r="83" spans="2:17" s="748" customFormat="1">
      <c r="B83" s="2270"/>
      <c r="C83" s="2270"/>
      <c r="D83" s="2270"/>
      <c r="E83" s="2270"/>
      <c r="F83" s="2270"/>
      <c r="G83" s="2270"/>
      <c r="H83" s="2270"/>
      <c r="I83" s="2270"/>
      <c r="J83" s="2270"/>
      <c r="K83" s="2270"/>
      <c r="L83" s="2270"/>
      <c r="M83" s="2270"/>
      <c r="N83" s="2270"/>
      <c r="O83" s="2270"/>
      <c r="P83" s="2270"/>
      <c r="Q83" s="2270"/>
    </row>
    <row r="84" spans="2:17" s="748" customFormat="1">
      <c r="B84" s="2270"/>
      <c r="C84" s="2270"/>
      <c r="D84" s="2270"/>
      <c r="E84" s="2270"/>
      <c r="F84" s="2270"/>
      <c r="G84" s="2270"/>
      <c r="H84" s="2270"/>
      <c r="I84" s="2270"/>
      <c r="J84" s="2270"/>
      <c r="K84" s="2270"/>
      <c r="L84" s="2270"/>
      <c r="M84" s="2270"/>
      <c r="N84" s="2270"/>
      <c r="O84" s="2270"/>
      <c r="P84" s="2270"/>
      <c r="Q84" s="2270"/>
    </row>
    <row r="85" spans="2:17" s="748" customFormat="1">
      <c r="B85" s="2270"/>
      <c r="C85" s="2270"/>
      <c r="D85" s="2270"/>
      <c r="E85" s="2270"/>
      <c r="F85" s="2270"/>
      <c r="G85" s="2270"/>
      <c r="H85" s="2270"/>
      <c r="I85" s="2270"/>
      <c r="J85" s="2270"/>
      <c r="K85" s="2270"/>
      <c r="L85" s="2270"/>
      <c r="M85" s="2270"/>
      <c r="N85" s="2270"/>
      <c r="O85" s="2270"/>
      <c r="P85" s="2270"/>
      <c r="Q85" s="2270"/>
    </row>
    <row r="86" spans="2:17" s="748" customFormat="1">
      <c r="B86" s="2270"/>
      <c r="C86" s="2270"/>
      <c r="D86" s="2270"/>
      <c r="E86" s="2270"/>
      <c r="F86" s="2270"/>
      <c r="G86" s="2270"/>
      <c r="H86" s="2270"/>
      <c r="I86" s="2270"/>
      <c r="J86" s="2270"/>
      <c r="K86" s="2270"/>
      <c r="L86" s="2270"/>
      <c r="M86" s="2270"/>
      <c r="N86" s="2270"/>
      <c r="O86" s="2270"/>
      <c r="P86" s="2270"/>
      <c r="Q86" s="2270"/>
    </row>
    <row r="87" spans="2:17" s="748" customFormat="1">
      <c r="B87" s="2270"/>
      <c r="C87" s="2270"/>
      <c r="D87" s="2270"/>
      <c r="E87" s="2270"/>
      <c r="F87" s="2270"/>
      <c r="G87" s="2270"/>
      <c r="H87" s="2270"/>
      <c r="I87" s="2270"/>
      <c r="J87" s="2270"/>
      <c r="K87" s="2270"/>
      <c r="L87" s="2270"/>
      <c r="M87" s="2270"/>
      <c r="N87" s="2270"/>
      <c r="O87" s="2270"/>
      <c r="P87" s="2270"/>
      <c r="Q87" s="2270"/>
    </row>
    <row r="88" spans="2:17" s="748" customFormat="1">
      <c r="B88" s="2270"/>
      <c r="C88" s="2270"/>
      <c r="D88" s="2270"/>
      <c r="E88" s="2270"/>
      <c r="F88" s="2270"/>
      <c r="G88" s="2270"/>
      <c r="H88" s="2270"/>
      <c r="I88" s="2270"/>
      <c r="J88" s="2270"/>
      <c r="K88" s="2270"/>
      <c r="L88" s="2270"/>
      <c r="M88" s="2270"/>
      <c r="N88" s="2270"/>
      <c r="O88" s="2270"/>
      <c r="P88" s="2270"/>
      <c r="Q88" s="2270"/>
    </row>
    <row r="89" spans="2:17" s="748" customFormat="1">
      <c r="B89" s="2270"/>
      <c r="C89" s="2270"/>
      <c r="D89" s="2270"/>
      <c r="E89" s="2270"/>
      <c r="F89" s="2270"/>
      <c r="G89" s="2270"/>
      <c r="H89" s="2270"/>
      <c r="I89" s="2270"/>
      <c r="J89" s="2270"/>
      <c r="K89" s="2270"/>
      <c r="L89" s="2270"/>
      <c r="M89" s="2270"/>
      <c r="N89" s="2270"/>
      <c r="O89" s="2270"/>
      <c r="P89" s="2270"/>
      <c r="Q89" s="2270"/>
    </row>
    <row r="90" spans="2:17" s="748" customFormat="1">
      <c r="B90" s="2270"/>
      <c r="C90" s="2270"/>
      <c r="D90" s="2270"/>
      <c r="E90" s="2270"/>
      <c r="F90" s="2270"/>
      <c r="G90" s="2270"/>
      <c r="H90" s="2270"/>
      <c r="I90" s="2270"/>
      <c r="J90" s="2270"/>
      <c r="K90" s="2270"/>
      <c r="L90" s="2270"/>
      <c r="M90" s="2270"/>
      <c r="N90" s="2270"/>
      <c r="O90" s="2270"/>
      <c r="P90" s="2270"/>
      <c r="Q90" s="2270"/>
    </row>
    <row r="91" spans="2:17" s="748" customFormat="1">
      <c r="B91" s="2270"/>
      <c r="C91" s="2270"/>
      <c r="D91" s="2270"/>
      <c r="E91" s="2270"/>
      <c r="F91" s="2270"/>
      <c r="G91" s="2270"/>
      <c r="H91" s="2270"/>
      <c r="I91" s="2270"/>
      <c r="J91" s="2270"/>
      <c r="K91" s="2270"/>
      <c r="L91" s="2270"/>
      <c r="M91" s="2270"/>
      <c r="N91" s="2270"/>
      <c r="O91" s="2270"/>
      <c r="P91" s="2270"/>
      <c r="Q91" s="2270"/>
    </row>
    <row r="92" spans="2:17" s="748" customFormat="1">
      <c r="B92" s="2270"/>
      <c r="C92" s="2270"/>
      <c r="D92" s="2270"/>
      <c r="E92" s="2270"/>
      <c r="F92" s="2270"/>
      <c r="G92" s="2270"/>
      <c r="H92" s="2270"/>
      <c r="I92" s="2270"/>
      <c r="J92" s="2270"/>
      <c r="K92" s="2270"/>
      <c r="L92" s="2270"/>
      <c r="M92" s="2270"/>
      <c r="N92" s="2270"/>
      <c r="O92" s="2270"/>
      <c r="P92" s="2270"/>
      <c r="Q92" s="2270"/>
    </row>
    <row r="93" spans="2:17" s="748" customFormat="1">
      <c r="B93" s="2270"/>
      <c r="C93" s="2270"/>
      <c r="D93" s="2270"/>
      <c r="E93" s="2270"/>
      <c r="F93" s="2270"/>
      <c r="G93" s="2270"/>
      <c r="H93" s="2270"/>
      <c r="I93" s="2270"/>
      <c r="J93" s="2270"/>
      <c r="K93" s="2270"/>
      <c r="L93" s="2270"/>
      <c r="M93" s="2270"/>
      <c r="N93" s="2270"/>
      <c r="O93" s="2270"/>
      <c r="P93" s="2270"/>
      <c r="Q93" s="2270"/>
    </row>
    <row r="94" spans="2:17" s="748" customFormat="1">
      <c r="B94" s="2270"/>
      <c r="C94" s="2270"/>
      <c r="D94" s="2270"/>
      <c r="E94" s="2270"/>
      <c r="F94" s="2270"/>
      <c r="G94" s="2270"/>
      <c r="H94" s="2270"/>
      <c r="I94" s="2270"/>
      <c r="J94" s="2270"/>
      <c r="K94" s="2270"/>
      <c r="L94" s="2270"/>
      <c r="M94" s="2270"/>
      <c r="N94" s="2270"/>
      <c r="O94" s="2270"/>
      <c r="P94" s="2270"/>
      <c r="Q94" s="2270"/>
    </row>
    <row r="95" spans="2:17" s="748" customFormat="1">
      <c r="B95" s="2270"/>
      <c r="C95" s="2270"/>
      <c r="D95" s="2270"/>
      <c r="E95" s="2270"/>
      <c r="F95" s="2270"/>
      <c r="G95" s="2270"/>
      <c r="H95" s="2270"/>
      <c r="I95" s="2270"/>
      <c r="J95" s="2270"/>
      <c r="K95" s="2270"/>
      <c r="L95" s="2270"/>
      <c r="M95" s="2270"/>
      <c r="N95" s="2270"/>
      <c r="O95" s="2270"/>
      <c r="P95" s="2270"/>
      <c r="Q95" s="2270"/>
    </row>
    <row r="96" spans="2:17" s="748" customFormat="1">
      <c r="B96" s="2270"/>
      <c r="C96" s="2270"/>
      <c r="D96" s="2270"/>
      <c r="E96" s="2270"/>
      <c r="F96" s="2270"/>
      <c r="G96" s="2270"/>
      <c r="H96" s="2270"/>
      <c r="I96" s="2270"/>
      <c r="J96" s="2270"/>
      <c r="K96" s="2270"/>
      <c r="L96" s="2270"/>
      <c r="M96" s="2270"/>
      <c r="N96" s="2270"/>
      <c r="O96" s="2270"/>
      <c r="P96" s="2270"/>
      <c r="Q96" s="2270"/>
    </row>
    <row r="97" spans="2:17" s="748" customFormat="1">
      <c r="B97" s="2270"/>
      <c r="C97" s="2270"/>
      <c r="D97" s="2270"/>
      <c r="E97" s="2270"/>
      <c r="F97" s="2270"/>
      <c r="G97" s="2270"/>
      <c r="H97" s="2270"/>
      <c r="I97" s="2270"/>
      <c r="J97" s="2270"/>
      <c r="K97" s="2270"/>
      <c r="L97" s="2270"/>
      <c r="M97" s="2270"/>
      <c r="N97" s="2270"/>
      <c r="O97" s="2270"/>
      <c r="P97" s="2270"/>
      <c r="Q97" s="2270"/>
    </row>
    <row r="98" spans="2:17" s="748" customFormat="1">
      <c r="B98" s="2270"/>
      <c r="C98" s="2270"/>
      <c r="D98" s="2270"/>
      <c r="E98" s="2270"/>
      <c r="F98" s="2270"/>
      <c r="G98" s="2270"/>
      <c r="H98" s="2270"/>
      <c r="I98" s="2270"/>
      <c r="J98" s="2270"/>
      <c r="K98" s="2270"/>
      <c r="L98" s="2270"/>
      <c r="M98" s="2270"/>
      <c r="N98" s="2270"/>
      <c r="O98" s="2270"/>
      <c r="P98" s="2270"/>
      <c r="Q98" s="2270"/>
    </row>
    <row r="99" spans="2:17" s="748" customFormat="1">
      <c r="B99" s="2270"/>
      <c r="C99" s="2270"/>
      <c r="D99" s="2270"/>
      <c r="E99" s="2270"/>
      <c r="F99" s="2270"/>
      <c r="G99" s="2270"/>
      <c r="H99" s="2270"/>
      <c r="I99" s="2270"/>
      <c r="J99" s="2270"/>
      <c r="K99" s="2270"/>
      <c r="L99" s="2270"/>
      <c r="M99" s="2270"/>
      <c r="N99" s="2270"/>
      <c r="O99" s="2270"/>
      <c r="P99" s="2270"/>
      <c r="Q99" s="2270"/>
    </row>
    <row r="100" spans="2:17" s="748" customFormat="1">
      <c r="B100" s="2270"/>
      <c r="C100" s="2270"/>
      <c r="D100" s="2270"/>
      <c r="E100" s="2270"/>
      <c r="F100" s="2270"/>
      <c r="G100" s="2270"/>
      <c r="H100" s="2270"/>
      <c r="I100" s="2270"/>
      <c r="J100" s="2270"/>
      <c r="K100" s="2270"/>
      <c r="L100" s="2270"/>
      <c r="M100" s="2270"/>
      <c r="N100" s="2270"/>
      <c r="O100" s="2270"/>
      <c r="P100" s="2270"/>
      <c r="Q100" s="2270"/>
    </row>
    <row r="101" spans="2:17" s="748" customFormat="1">
      <c r="B101" s="2270"/>
      <c r="C101" s="2270"/>
      <c r="D101" s="2270"/>
      <c r="E101" s="2270"/>
      <c r="F101" s="2270"/>
      <c r="G101" s="2270"/>
      <c r="H101" s="2270"/>
      <c r="I101" s="2270"/>
      <c r="J101" s="2270"/>
      <c r="K101" s="2270"/>
      <c r="L101" s="2270"/>
      <c r="M101" s="2270"/>
      <c r="N101" s="2270"/>
      <c r="O101" s="2270"/>
      <c r="P101" s="2270"/>
      <c r="Q101" s="2270"/>
    </row>
    <row r="102" spans="2:17" s="748" customFormat="1">
      <c r="B102" s="2270"/>
      <c r="C102" s="2270"/>
      <c r="D102" s="2270"/>
      <c r="E102" s="2270"/>
      <c r="F102" s="2270"/>
      <c r="G102" s="2270"/>
      <c r="H102" s="2270"/>
      <c r="I102" s="2270"/>
      <c r="J102" s="2270"/>
      <c r="K102" s="2270"/>
      <c r="L102" s="2270"/>
      <c r="M102" s="2270"/>
      <c r="N102" s="2270"/>
      <c r="O102" s="2270"/>
      <c r="P102" s="2270"/>
      <c r="Q102" s="2270"/>
    </row>
    <row r="103" spans="2:17" s="748" customFormat="1">
      <c r="B103" s="2270"/>
      <c r="C103" s="2270"/>
      <c r="D103" s="2270"/>
      <c r="E103" s="2270"/>
      <c r="F103" s="2270"/>
      <c r="G103" s="2270"/>
      <c r="H103" s="2270"/>
      <c r="I103" s="2270"/>
      <c r="J103" s="2270"/>
      <c r="K103" s="2270"/>
      <c r="L103" s="2270"/>
      <c r="M103" s="2270"/>
      <c r="N103" s="2270"/>
      <c r="O103" s="2270"/>
      <c r="P103" s="2270"/>
      <c r="Q103" s="2270"/>
    </row>
    <row r="104" spans="2:17" s="748" customFormat="1">
      <c r="B104" s="2270"/>
      <c r="C104" s="2270"/>
      <c r="D104" s="2270"/>
      <c r="E104" s="2270"/>
      <c r="F104" s="2270"/>
      <c r="G104" s="2270"/>
      <c r="H104" s="2270"/>
      <c r="I104" s="2270"/>
      <c r="J104" s="2270"/>
      <c r="K104" s="2270"/>
      <c r="L104" s="2270"/>
      <c r="M104" s="2270"/>
      <c r="N104" s="2270"/>
      <c r="O104" s="2270"/>
      <c r="P104" s="2270"/>
      <c r="Q104" s="2270"/>
    </row>
    <row r="105" spans="2:17" s="748" customFormat="1">
      <c r="B105" s="2270"/>
      <c r="C105" s="2270"/>
      <c r="D105" s="2270"/>
      <c r="E105" s="2270"/>
      <c r="F105" s="2270"/>
      <c r="G105" s="2270"/>
      <c r="H105" s="2270"/>
      <c r="I105" s="2270"/>
      <c r="J105" s="2270"/>
      <c r="K105" s="2270"/>
      <c r="L105" s="2270"/>
      <c r="M105" s="2270"/>
      <c r="N105" s="2270"/>
      <c r="O105" s="2270"/>
      <c r="P105" s="2270"/>
      <c r="Q105" s="2270"/>
    </row>
    <row r="106" spans="2:17" s="748" customFormat="1">
      <c r="B106" s="2270"/>
      <c r="C106" s="2270"/>
      <c r="D106" s="2270"/>
      <c r="E106" s="2270"/>
      <c r="F106" s="2270"/>
      <c r="G106" s="2270"/>
      <c r="H106" s="2270"/>
      <c r="I106" s="2270"/>
      <c r="J106" s="2270"/>
      <c r="K106" s="2270"/>
      <c r="L106" s="2270"/>
      <c r="M106" s="2270"/>
      <c r="N106" s="2270"/>
      <c r="O106" s="2270"/>
      <c r="P106" s="2270"/>
      <c r="Q106" s="2270"/>
    </row>
    <row r="107" spans="2:17" s="748" customFormat="1">
      <c r="B107" s="2270"/>
      <c r="C107" s="2270"/>
      <c r="D107" s="2270"/>
      <c r="E107" s="2270"/>
      <c r="F107" s="2270"/>
      <c r="G107" s="2270"/>
      <c r="H107" s="2270"/>
      <c r="I107" s="2270"/>
      <c r="J107" s="2270"/>
      <c r="K107" s="2270"/>
      <c r="L107" s="2270"/>
      <c r="M107" s="2270"/>
      <c r="N107" s="2270"/>
      <c r="O107" s="2270"/>
      <c r="P107" s="2270"/>
      <c r="Q107" s="2270"/>
    </row>
    <row r="108" spans="2:17" s="748" customFormat="1">
      <c r="B108" s="2270"/>
      <c r="C108" s="2270"/>
      <c r="D108" s="2270"/>
      <c r="E108" s="2270"/>
      <c r="F108" s="2270"/>
      <c r="G108" s="2270"/>
      <c r="H108" s="2270"/>
      <c r="I108" s="2270"/>
      <c r="J108" s="2270"/>
      <c r="K108" s="2270"/>
      <c r="L108" s="2270"/>
      <c r="M108" s="2270"/>
      <c r="N108" s="2270"/>
      <c r="O108" s="2270"/>
      <c r="P108" s="2270"/>
      <c r="Q108" s="2270"/>
    </row>
    <row r="109" spans="2:17" s="748" customFormat="1">
      <c r="B109" s="2270"/>
      <c r="C109" s="2270"/>
      <c r="D109" s="2270"/>
      <c r="E109" s="2270"/>
      <c r="F109" s="2270"/>
      <c r="G109" s="2270"/>
      <c r="H109" s="2270"/>
      <c r="I109" s="2270"/>
      <c r="J109" s="2270"/>
      <c r="K109" s="2270"/>
      <c r="L109" s="2270"/>
      <c r="M109" s="2270"/>
      <c r="N109" s="2270"/>
      <c r="O109" s="2270"/>
      <c r="P109" s="2270"/>
      <c r="Q109" s="2270"/>
    </row>
    <row r="110" spans="2:17" s="748" customFormat="1">
      <c r="B110" s="2270"/>
      <c r="C110" s="2270"/>
      <c r="D110" s="2270"/>
      <c r="E110" s="2270"/>
      <c r="F110" s="2270"/>
      <c r="G110" s="2270"/>
      <c r="H110" s="2270"/>
      <c r="I110" s="2270"/>
      <c r="J110" s="2270"/>
      <c r="K110" s="2270"/>
      <c r="L110" s="2270"/>
      <c r="M110" s="2270"/>
      <c r="N110" s="2270"/>
      <c r="O110" s="2270"/>
      <c r="P110" s="2270"/>
      <c r="Q110" s="2270"/>
    </row>
    <row r="111" spans="2:17" s="748" customFormat="1">
      <c r="B111" s="2270"/>
      <c r="C111" s="2270"/>
      <c r="D111" s="2270"/>
      <c r="E111" s="2270"/>
      <c r="F111" s="2270"/>
      <c r="G111" s="2270"/>
      <c r="H111" s="2270"/>
      <c r="I111" s="2270"/>
      <c r="J111" s="2270"/>
      <c r="K111" s="2270"/>
      <c r="L111" s="2270"/>
      <c r="M111" s="2270"/>
      <c r="N111" s="2270"/>
      <c r="O111" s="2270"/>
      <c r="P111" s="2270"/>
      <c r="Q111" s="2270"/>
    </row>
    <row r="112" spans="2:17" s="748" customFormat="1">
      <c r="B112" s="2270"/>
      <c r="C112" s="2270"/>
      <c r="D112" s="2270"/>
      <c r="E112" s="2270"/>
      <c r="F112" s="2270"/>
      <c r="G112" s="2270"/>
      <c r="H112" s="2270"/>
      <c r="I112" s="2270"/>
      <c r="J112" s="2270"/>
      <c r="K112" s="2270"/>
      <c r="L112" s="2270"/>
      <c r="M112" s="2270"/>
      <c r="N112" s="2270"/>
      <c r="O112" s="2270"/>
      <c r="P112" s="2270"/>
      <c r="Q112" s="2270"/>
    </row>
    <row r="113" spans="2:17" s="748" customFormat="1">
      <c r="B113" s="2270"/>
      <c r="C113" s="2270"/>
      <c r="D113" s="2270"/>
      <c r="E113" s="2270"/>
      <c r="F113" s="2270"/>
      <c r="G113" s="2270"/>
      <c r="H113" s="2270"/>
      <c r="I113" s="2270"/>
      <c r="J113" s="2270"/>
      <c r="K113" s="2270"/>
      <c r="L113" s="2270"/>
      <c r="M113" s="2270"/>
      <c r="N113" s="2270"/>
      <c r="O113" s="2270"/>
      <c r="P113" s="2270"/>
      <c r="Q113" s="2270"/>
    </row>
    <row r="114" spans="2:17" s="748" customFormat="1">
      <c r="B114" s="2270"/>
      <c r="C114" s="2270"/>
      <c r="D114" s="2270"/>
      <c r="E114" s="2270"/>
      <c r="F114" s="2270"/>
      <c r="G114" s="2270"/>
      <c r="H114" s="2270"/>
      <c r="I114" s="2270"/>
      <c r="J114" s="2270"/>
      <c r="K114" s="2270"/>
      <c r="L114" s="2270"/>
      <c r="M114" s="2270"/>
      <c r="N114" s="2270"/>
      <c r="O114" s="2270"/>
      <c r="P114" s="2270"/>
      <c r="Q114" s="2270"/>
    </row>
    <row r="115" spans="2:17" s="748" customFormat="1">
      <c r="B115" s="2270"/>
      <c r="C115" s="2270"/>
      <c r="D115" s="2270"/>
      <c r="E115" s="2270"/>
      <c r="F115" s="2270"/>
      <c r="G115" s="2270"/>
      <c r="H115" s="2270"/>
      <c r="I115" s="2270"/>
      <c r="J115" s="2270"/>
      <c r="K115" s="2270"/>
      <c r="L115" s="2270"/>
      <c r="M115" s="2270"/>
      <c r="N115" s="2270"/>
      <c r="O115" s="2270"/>
      <c r="P115" s="2270"/>
      <c r="Q115" s="2270"/>
    </row>
    <row r="116" spans="2:17" s="748" customFormat="1">
      <c r="B116" s="2270"/>
      <c r="C116" s="2270"/>
      <c r="D116" s="2270"/>
      <c r="E116" s="2270"/>
      <c r="F116" s="2270"/>
      <c r="G116" s="2270"/>
      <c r="H116" s="2270"/>
      <c r="I116" s="2270"/>
      <c r="J116" s="2270"/>
      <c r="K116" s="2270"/>
      <c r="L116" s="2270"/>
      <c r="M116" s="2270"/>
      <c r="N116" s="2270"/>
      <c r="O116" s="2270"/>
      <c r="P116" s="2270"/>
      <c r="Q116" s="2270"/>
    </row>
    <row r="117" spans="2:17" s="748" customFormat="1">
      <c r="B117" s="2270"/>
      <c r="C117" s="2270"/>
      <c r="D117" s="2270"/>
      <c r="E117" s="2270"/>
      <c r="F117" s="2270"/>
      <c r="G117" s="2270"/>
      <c r="H117" s="2270"/>
      <c r="I117" s="2270"/>
      <c r="J117" s="2270"/>
      <c r="K117" s="2270"/>
      <c r="L117" s="2270"/>
      <c r="M117" s="2270"/>
      <c r="N117" s="2270"/>
      <c r="O117" s="2270"/>
      <c r="P117" s="2270"/>
      <c r="Q117" s="2270"/>
    </row>
    <row r="118" spans="2:17" s="748" customFormat="1">
      <c r="B118" s="2270"/>
      <c r="C118" s="2270"/>
      <c r="D118" s="2270"/>
      <c r="E118" s="2270"/>
      <c r="F118" s="2270"/>
      <c r="G118" s="2270"/>
      <c r="H118" s="2270"/>
      <c r="I118" s="2270"/>
      <c r="J118" s="2270"/>
      <c r="K118" s="2270"/>
      <c r="L118" s="2270"/>
      <c r="M118" s="2270"/>
      <c r="N118" s="2270"/>
      <c r="O118" s="2270"/>
      <c r="P118" s="2270"/>
      <c r="Q118" s="2270"/>
    </row>
    <row r="119" spans="2:17" s="748" customFormat="1">
      <c r="B119" s="2270"/>
      <c r="C119" s="2270"/>
      <c r="D119" s="2270"/>
      <c r="E119" s="2270"/>
      <c r="F119" s="2270"/>
      <c r="G119" s="2270"/>
      <c r="H119" s="2270"/>
      <c r="I119" s="2270"/>
      <c r="J119" s="2270"/>
      <c r="K119" s="2270"/>
      <c r="L119" s="2270"/>
      <c r="M119" s="2270"/>
      <c r="N119" s="2270"/>
      <c r="O119" s="2270"/>
      <c r="P119" s="2270"/>
      <c r="Q119" s="2270"/>
    </row>
    <row r="120" spans="2:17" s="748" customFormat="1">
      <c r="B120" s="2270"/>
      <c r="C120" s="2270"/>
      <c r="D120" s="2270"/>
      <c r="E120" s="2270"/>
      <c r="F120" s="2270"/>
      <c r="G120" s="2270"/>
      <c r="H120" s="2270"/>
      <c r="I120" s="2270"/>
      <c r="J120" s="2270"/>
      <c r="K120" s="2270"/>
      <c r="L120" s="2270"/>
      <c r="M120" s="2270"/>
      <c r="N120" s="2270"/>
      <c r="O120" s="2270"/>
      <c r="P120" s="2270"/>
      <c r="Q120" s="2270"/>
    </row>
    <row r="121" spans="2:17" s="748" customFormat="1">
      <c r="B121" s="2270"/>
      <c r="C121" s="2270"/>
      <c r="D121" s="2270"/>
      <c r="E121" s="2270"/>
      <c r="F121" s="2270"/>
      <c r="G121" s="2270"/>
      <c r="H121" s="2270"/>
      <c r="I121" s="2270"/>
      <c r="J121" s="2270"/>
      <c r="K121" s="2270"/>
      <c r="L121" s="2270"/>
      <c r="M121" s="2270"/>
      <c r="N121" s="2270"/>
      <c r="O121" s="2270"/>
      <c r="P121" s="2270"/>
      <c r="Q121" s="2270"/>
    </row>
    <row r="122" spans="2:17" s="748" customFormat="1">
      <c r="B122" s="2270"/>
      <c r="C122" s="2270"/>
      <c r="D122" s="2270"/>
      <c r="E122" s="2270"/>
      <c r="F122" s="2270"/>
      <c r="G122" s="2270"/>
      <c r="H122" s="2270"/>
      <c r="I122" s="2270"/>
      <c r="J122" s="2270"/>
      <c r="K122" s="2270"/>
      <c r="L122" s="2270"/>
      <c r="M122" s="2270"/>
      <c r="N122" s="2270"/>
      <c r="O122" s="2270"/>
      <c r="P122" s="2270"/>
      <c r="Q122" s="2270"/>
    </row>
    <row r="123" spans="2:17" s="748" customFormat="1">
      <c r="B123" s="2270"/>
      <c r="C123" s="2270"/>
      <c r="D123" s="2270"/>
      <c r="E123" s="2270"/>
      <c r="F123" s="2270"/>
      <c r="G123" s="2270"/>
      <c r="H123" s="2270"/>
      <c r="I123" s="2270"/>
      <c r="J123" s="2270"/>
      <c r="K123" s="2270"/>
      <c r="L123" s="2270"/>
      <c r="M123" s="2270"/>
      <c r="N123" s="2270"/>
      <c r="O123" s="2270"/>
      <c r="P123" s="2270"/>
      <c r="Q123" s="2270"/>
    </row>
    <row r="124" spans="2:17" s="748" customFormat="1">
      <c r="B124" s="2270"/>
      <c r="C124" s="2270"/>
      <c r="D124" s="2270"/>
      <c r="E124" s="2270"/>
      <c r="F124" s="2270"/>
      <c r="G124" s="2270"/>
      <c r="H124" s="2270"/>
      <c r="I124" s="2270"/>
      <c r="J124" s="2270"/>
      <c r="K124" s="2270"/>
      <c r="L124" s="2270"/>
      <c r="M124" s="2270"/>
      <c r="N124" s="2270"/>
      <c r="O124" s="2270"/>
      <c r="P124" s="2270"/>
      <c r="Q124" s="2270"/>
    </row>
    <row r="125" spans="2:17" s="748" customFormat="1">
      <c r="B125" s="2270"/>
      <c r="C125" s="2270"/>
      <c r="D125" s="2270"/>
      <c r="E125" s="2270"/>
      <c r="F125" s="2270"/>
      <c r="G125" s="2270"/>
      <c r="H125" s="2270"/>
      <c r="I125" s="2270"/>
      <c r="J125" s="2270"/>
      <c r="K125" s="2270"/>
      <c r="L125" s="2270"/>
      <c r="M125" s="2270"/>
      <c r="N125" s="2270"/>
      <c r="O125" s="2270"/>
      <c r="P125" s="2270"/>
      <c r="Q125" s="2270"/>
    </row>
    <row r="126" spans="2:17" s="748" customFormat="1">
      <c r="B126" s="2270"/>
      <c r="C126" s="2270"/>
      <c r="D126" s="2270"/>
      <c r="E126" s="2270"/>
      <c r="F126" s="2270"/>
      <c r="G126" s="2270"/>
      <c r="H126" s="2270"/>
      <c r="I126" s="2270"/>
      <c r="J126" s="2270"/>
      <c r="K126" s="2270"/>
      <c r="L126" s="2270"/>
      <c r="M126" s="2270"/>
      <c r="N126" s="2270"/>
      <c r="O126" s="2270"/>
      <c r="P126" s="2270"/>
      <c r="Q126" s="2270"/>
    </row>
    <row r="127" spans="2:17" s="748" customFormat="1">
      <c r="B127" s="2270"/>
      <c r="C127" s="2270"/>
      <c r="D127" s="2270"/>
      <c r="E127" s="2270"/>
      <c r="F127" s="2270"/>
      <c r="G127" s="2270"/>
      <c r="H127" s="2270"/>
      <c r="I127" s="2270"/>
      <c r="J127" s="2270"/>
      <c r="K127" s="2270"/>
      <c r="L127" s="2270"/>
      <c r="M127" s="2270"/>
      <c r="N127" s="2270"/>
      <c r="O127" s="2270"/>
      <c r="P127" s="2270"/>
      <c r="Q127" s="2270"/>
    </row>
    <row r="128" spans="2:17" s="748" customFormat="1">
      <c r="B128" s="2270"/>
      <c r="C128" s="2270"/>
      <c r="D128" s="2270"/>
      <c r="E128" s="2270"/>
      <c r="F128" s="2270"/>
      <c r="G128" s="2270"/>
      <c r="H128" s="2270"/>
      <c r="I128" s="2270"/>
      <c r="J128" s="2270"/>
      <c r="K128" s="2270"/>
      <c r="L128" s="2270"/>
      <c r="M128" s="2270"/>
      <c r="N128" s="2270"/>
      <c r="O128" s="2270"/>
      <c r="P128" s="2270"/>
      <c r="Q128" s="2270"/>
    </row>
    <row r="129" spans="2:17" s="748" customFormat="1">
      <c r="B129" s="2270"/>
      <c r="C129" s="2270"/>
      <c r="D129" s="2270"/>
      <c r="E129" s="2270"/>
      <c r="F129" s="2270"/>
      <c r="G129" s="2270"/>
      <c r="H129" s="2270"/>
      <c r="I129" s="2270"/>
      <c r="J129" s="2270"/>
      <c r="K129" s="2270"/>
      <c r="L129" s="2270"/>
      <c r="M129" s="2270"/>
      <c r="N129" s="2270"/>
      <c r="O129" s="2270"/>
      <c r="P129" s="2270"/>
      <c r="Q129" s="2270"/>
    </row>
    <row r="130" spans="2:17" s="748" customFormat="1">
      <c r="B130" s="2270"/>
      <c r="C130" s="2270"/>
      <c r="D130" s="2270"/>
      <c r="E130" s="2270"/>
      <c r="F130" s="2270"/>
      <c r="G130" s="2270"/>
      <c r="H130" s="2270"/>
      <c r="I130" s="2270"/>
      <c r="J130" s="2270"/>
      <c r="K130" s="2270"/>
      <c r="L130" s="2270"/>
      <c r="M130" s="2270"/>
      <c r="N130" s="2270"/>
      <c r="O130" s="2270"/>
      <c r="P130" s="2270"/>
      <c r="Q130" s="2270"/>
    </row>
    <row r="131" spans="2:17" s="748" customFormat="1">
      <c r="B131" s="2270"/>
      <c r="C131" s="2270"/>
      <c r="D131" s="2270"/>
      <c r="E131" s="2270"/>
      <c r="F131" s="2270"/>
      <c r="G131" s="2270"/>
      <c r="H131" s="2270"/>
      <c r="I131" s="2270"/>
      <c r="J131" s="2270"/>
      <c r="K131" s="2270"/>
      <c r="L131" s="2270"/>
      <c r="M131" s="2270"/>
      <c r="N131" s="2270"/>
      <c r="O131" s="2270"/>
      <c r="P131" s="2270"/>
      <c r="Q131" s="2270"/>
    </row>
    <row r="132" spans="2:17" s="748" customFormat="1">
      <c r="B132" s="2270"/>
      <c r="C132" s="2270"/>
      <c r="D132" s="2270"/>
      <c r="E132" s="2270"/>
      <c r="F132" s="2270"/>
      <c r="G132" s="2270"/>
      <c r="H132" s="2270"/>
      <c r="I132" s="2270"/>
      <c r="J132" s="2270"/>
      <c r="K132" s="2270"/>
      <c r="L132" s="2270"/>
      <c r="M132" s="2270"/>
      <c r="N132" s="2270"/>
      <c r="O132" s="2270"/>
      <c r="P132" s="2270"/>
      <c r="Q132" s="2270"/>
    </row>
    <row r="133" spans="2:17" s="748" customFormat="1">
      <c r="B133" s="2270"/>
      <c r="C133" s="2270"/>
      <c r="D133" s="2270"/>
      <c r="E133" s="2270"/>
      <c r="F133" s="2270"/>
      <c r="G133" s="2270"/>
      <c r="H133" s="2270"/>
      <c r="I133" s="2270"/>
      <c r="J133" s="2270"/>
      <c r="K133" s="2270"/>
      <c r="L133" s="2270"/>
      <c r="M133" s="2270"/>
      <c r="N133" s="2270"/>
      <c r="O133" s="2270"/>
      <c r="P133" s="2270"/>
      <c r="Q133" s="2270"/>
    </row>
    <row r="134" spans="2:17" s="748" customFormat="1">
      <c r="B134" s="2270"/>
      <c r="C134" s="2270"/>
      <c r="D134" s="2270"/>
      <c r="E134" s="2270"/>
      <c r="F134" s="2270"/>
      <c r="G134" s="2270"/>
      <c r="H134" s="2270"/>
      <c r="I134" s="2270"/>
      <c r="J134" s="2270"/>
      <c r="K134" s="2270"/>
      <c r="L134" s="2270"/>
      <c r="M134" s="2270"/>
      <c r="N134" s="2270"/>
      <c r="O134" s="2270"/>
      <c r="P134" s="2270"/>
      <c r="Q134" s="2270"/>
    </row>
    <row r="135" spans="2:17" s="748" customFormat="1">
      <c r="B135" s="2270"/>
      <c r="C135" s="2270"/>
      <c r="D135" s="2270"/>
      <c r="E135" s="2270"/>
      <c r="F135" s="2270"/>
      <c r="G135" s="2270"/>
      <c r="H135" s="2270"/>
      <c r="I135" s="2270"/>
      <c r="J135" s="2270"/>
      <c r="K135" s="2270"/>
      <c r="L135" s="2270"/>
      <c r="M135" s="2270"/>
      <c r="N135" s="2270"/>
      <c r="O135" s="2270"/>
      <c r="P135" s="2270"/>
      <c r="Q135" s="2270"/>
    </row>
    <row r="136" spans="2:17" s="748" customFormat="1">
      <c r="B136" s="2270"/>
      <c r="C136" s="2270"/>
      <c r="D136" s="2270"/>
      <c r="E136" s="2270"/>
      <c r="F136" s="2270"/>
      <c r="G136" s="2270"/>
      <c r="H136" s="2270"/>
      <c r="I136" s="2270"/>
      <c r="J136" s="2270"/>
      <c r="K136" s="2270"/>
      <c r="L136" s="2270"/>
      <c r="M136" s="2270"/>
      <c r="N136" s="2270"/>
      <c r="O136" s="2270"/>
      <c r="P136" s="2270"/>
      <c r="Q136" s="2270"/>
    </row>
    <row r="137" spans="2:17" s="748" customFormat="1">
      <c r="B137" s="2270"/>
      <c r="C137" s="2270"/>
      <c r="D137" s="2270"/>
      <c r="E137" s="2270"/>
      <c r="F137" s="2270"/>
      <c r="G137" s="2270"/>
      <c r="H137" s="2270"/>
      <c r="I137" s="2270"/>
      <c r="J137" s="2270"/>
      <c r="K137" s="2270"/>
      <c r="L137" s="2270"/>
      <c r="M137" s="2270"/>
      <c r="N137" s="2270"/>
      <c r="O137" s="2270"/>
      <c r="P137" s="2270"/>
      <c r="Q137" s="2270"/>
    </row>
    <row r="138" spans="2:17" s="748" customFormat="1">
      <c r="B138" s="2270"/>
      <c r="C138" s="2270"/>
      <c r="D138" s="2270"/>
      <c r="E138" s="2270"/>
      <c r="F138" s="2270"/>
      <c r="G138" s="2270"/>
      <c r="H138" s="2270"/>
      <c r="I138" s="2270"/>
      <c r="J138" s="2270"/>
      <c r="K138" s="2270"/>
      <c r="L138" s="2270"/>
      <c r="M138" s="2270"/>
      <c r="N138" s="2270"/>
      <c r="O138" s="2270"/>
      <c r="P138" s="2270"/>
      <c r="Q138" s="2270"/>
    </row>
    <row r="139" spans="2:17" s="748" customFormat="1">
      <c r="B139" s="2270"/>
      <c r="C139" s="2270"/>
      <c r="D139" s="2270"/>
      <c r="E139" s="2270"/>
      <c r="F139" s="2270"/>
      <c r="G139" s="2270"/>
      <c r="H139" s="2270"/>
      <c r="I139" s="2270"/>
      <c r="J139" s="2270"/>
      <c r="K139" s="2270"/>
      <c r="L139" s="2270"/>
      <c r="M139" s="2270"/>
      <c r="N139" s="2270"/>
      <c r="O139" s="2270"/>
      <c r="P139" s="2270"/>
      <c r="Q139" s="2270"/>
    </row>
    <row r="140" spans="2:17" s="748" customFormat="1">
      <c r="B140" s="2270"/>
      <c r="C140" s="2270"/>
      <c r="D140" s="2270"/>
      <c r="E140" s="2270"/>
      <c r="F140" s="2270"/>
      <c r="G140" s="2270"/>
      <c r="H140" s="2270"/>
      <c r="I140" s="2270"/>
      <c r="J140" s="2270"/>
      <c r="K140" s="2270"/>
      <c r="L140" s="2270"/>
      <c r="M140" s="2270"/>
      <c r="N140" s="2270"/>
      <c r="O140" s="2270"/>
      <c r="P140" s="2270"/>
      <c r="Q140" s="2270"/>
    </row>
    <row r="141" spans="2:17" s="748" customFormat="1">
      <c r="B141" s="2270"/>
      <c r="C141" s="2270"/>
      <c r="D141" s="2270"/>
      <c r="E141" s="2270"/>
      <c r="F141" s="2270"/>
      <c r="G141" s="2270"/>
      <c r="H141" s="2270"/>
      <c r="I141" s="2270"/>
      <c r="J141" s="2270"/>
      <c r="K141" s="2270"/>
      <c r="L141" s="2270"/>
      <c r="M141" s="2270"/>
      <c r="N141" s="2270"/>
      <c r="O141" s="2270"/>
      <c r="P141" s="2270"/>
      <c r="Q141" s="2270"/>
    </row>
    <row r="142" spans="2:17" s="748" customFormat="1">
      <c r="B142" s="2270"/>
      <c r="C142" s="2270"/>
      <c r="D142" s="2270"/>
      <c r="E142" s="2270"/>
      <c r="F142" s="2270"/>
      <c r="G142" s="2270"/>
      <c r="H142" s="2270"/>
      <c r="I142" s="2270"/>
      <c r="J142" s="2270"/>
      <c r="K142" s="2270"/>
      <c r="L142" s="2270"/>
      <c r="M142" s="2270"/>
      <c r="N142" s="2270"/>
      <c r="O142" s="2270"/>
      <c r="P142" s="2270"/>
      <c r="Q142" s="2270"/>
    </row>
    <row r="143" spans="2:17" s="748" customFormat="1">
      <c r="B143" s="2270"/>
      <c r="C143" s="2270"/>
      <c r="D143" s="2270"/>
      <c r="E143" s="2270"/>
      <c r="F143" s="2270"/>
      <c r="G143" s="2270"/>
      <c r="H143" s="2270"/>
      <c r="I143" s="2270"/>
      <c r="J143" s="2270"/>
      <c r="K143" s="2270"/>
      <c r="L143" s="2270"/>
      <c r="M143" s="2270"/>
      <c r="N143" s="2270"/>
      <c r="O143" s="2270"/>
      <c r="P143" s="2270"/>
      <c r="Q143" s="2270"/>
    </row>
    <row r="144" spans="2:17" s="748" customFormat="1">
      <c r="B144" s="2270"/>
      <c r="C144" s="2270"/>
      <c r="D144" s="2270"/>
      <c r="E144" s="2270"/>
      <c r="F144" s="2270"/>
      <c r="G144" s="2270"/>
      <c r="H144" s="2270"/>
      <c r="I144" s="2270"/>
      <c r="J144" s="2270"/>
      <c r="K144" s="2270"/>
      <c r="L144" s="2270"/>
      <c r="M144" s="2270"/>
      <c r="N144" s="2270"/>
      <c r="O144" s="2270"/>
      <c r="P144" s="2270"/>
      <c r="Q144" s="2270"/>
    </row>
    <row r="145" spans="2:17" s="748" customFormat="1">
      <c r="B145" s="2270"/>
      <c r="C145" s="2270"/>
      <c r="D145" s="2270"/>
      <c r="E145" s="2270"/>
      <c r="F145" s="2270"/>
      <c r="G145" s="2270"/>
      <c r="H145" s="2270"/>
      <c r="I145" s="2270"/>
      <c r="J145" s="2270"/>
      <c r="K145" s="2270"/>
      <c r="L145" s="2270"/>
      <c r="M145" s="2270"/>
      <c r="N145" s="2270"/>
      <c r="O145" s="2270"/>
      <c r="P145" s="2270"/>
      <c r="Q145" s="2270"/>
    </row>
    <row r="146" spans="2:17" s="748" customFormat="1">
      <c r="B146" s="2270"/>
      <c r="C146" s="2270"/>
      <c r="D146" s="2270"/>
      <c r="E146" s="2270"/>
      <c r="F146" s="2270"/>
      <c r="G146" s="2270"/>
      <c r="H146" s="2270"/>
      <c r="I146" s="2270"/>
      <c r="J146" s="2270"/>
      <c r="K146" s="2270"/>
      <c r="L146" s="2270"/>
      <c r="M146" s="2270"/>
      <c r="N146" s="2270"/>
      <c r="O146" s="2270"/>
      <c r="P146" s="2270"/>
      <c r="Q146" s="2270"/>
    </row>
    <row r="147" spans="2:17" s="748" customFormat="1">
      <c r="B147" s="2270"/>
      <c r="C147" s="2270"/>
      <c r="D147" s="2270"/>
      <c r="E147" s="2270"/>
      <c r="F147" s="2270"/>
      <c r="G147" s="2270"/>
      <c r="H147" s="2270"/>
      <c r="I147" s="2270"/>
      <c r="J147" s="2270"/>
      <c r="K147" s="2270"/>
      <c r="L147" s="2270"/>
      <c r="M147" s="2270"/>
      <c r="N147" s="2270"/>
      <c r="O147" s="2270"/>
      <c r="P147" s="2270"/>
      <c r="Q147" s="2270"/>
    </row>
    <row r="148" spans="2:17" s="748" customFormat="1">
      <c r="B148" s="2270"/>
      <c r="C148" s="2270"/>
      <c r="D148" s="2270"/>
      <c r="E148" s="2270"/>
      <c r="F148" s="2270"/>
      <c r="G148" s="2270"/>
      <c r="H148" s="2270"/>
      <c r="I148" s="2270"/>
      <c r="J148" s="2270"/>
      <c r="K148" s="2270"/>
      <c r="L148" s="2270"/>
      <c r="M148" s="2270"/>
      <c r="N148" s="2270"/>
      <c r="O148" s="2270"/>
      <c r="P148" s="2270"/>
      <c r="Q148" s="2270"/>
    </row>
    <row r="149" spans="2:17" s="748" customFormat="1">
      <c r="B149" s="2270"/>
      <c r="C149" s="2270"/>
      <c r="D149" s="2270"/>
      <c r="E149" s="2270"/>
      <c r="F149" s="2270"/>
      <c r="G149" s="2270"/>
      <c r="H149" s="2270"/>
      <c r="I149" s="2270"/>
      <c r="J149" s="2270"/>
      <c r="K149" s="2270"/>
      <c r="L149" s="2270"/>
      <c r="M149" s="2270"/>
      <c r="N149" s="2270"/>
      <c r="O149" s="2270"/>
      <c r="P149" s="2270"/>
      <c r="Q149" s="2270"/>
    </row>
    <row r="150" spans="2:17" s="748" customFormat="1">
      <c r="B150" s="2270"/>
      <c r="C150" s="2270"/>
      <c r="D150" s="2270"/>
      <c r="E150" s="2270"/>
      <c r="F150" s="2270"/>
      <c r="G150" s="2270"/>
      <c r="H150" s="2270"/>
      <c r="I150" s="2270"/>
      <c r="J150" s="2270"/>
      <c r="K150" s="2270"/>
      <c r="L150" s="2270"/>
      <c r="M150" s="2270"/>
      <c r="N150" s="2270"/>
      <c r="O150" s="2270"/>
      <c r="P150" s="2270"/>
      <c r="Q150" s="2270"/>
    </row>
    <row r="151" spans="2:17" s="748" customFormat="1">
      <c r="B151" s="2270"/>
      <c r="C151" s="2270"/>
      <c r="D151" s="2270"/>
      <c r="E151" s="2270"/>
      <c r="F151" s="2270"/>
      <c r="G151" s="2270"/>
      <c r="H151" s="2270"/>
      <c r="I151" s="2270"/>
      <c r="J151" s="2270"/>
      <c r="K151" s="2270"/>
      <c r="L151" s="2270"/>
      <c r="M151" s="2270"/>
      <c r="N151" s="2270"/>
      <c r="O151" s="2270"/>
      <c r="P151" s="2270"/>
      <c r="Q151" s="2270"/>
    </row>
    <row r="152" spans="2:17" s="748" customFormat="1">
      <c r="B152" s="2270"/>
      <c r="C152" s="2270"/>
      <c r="D152" s="2270"/>
      <c r="E152" s="2270"/>
      <c r="F152" s="2270"/>
      <c r="G152" s="2270"/>
      <c r="H152" s="2270"/>
      <c r="I152" s="2270"/>
      <c r="J152" s="2270"/>
      <c r="K152" s="2270"/>
      <c r="L152" s="2270"/>
      <c r="M152" s="2270"/>
      <c r="N152" s="2270"/>
      <c r="O152" s="2270"/>
      <c r="P152" s="2270"/>
      <c r="Q152" s="2270"/>
    </row>
    <row r="153" spans="2:17" s="748" customFormat="1">
      <c r="B153" s="2270"/>
      <c r="C153" s="2270"/>
      <c r="D153" s="2270"/>
      <c r="E153" s="2270"/>
      <c r="F153" s="2270"/>
      <c r="G153" s="2270"/>
      <c r="H153" s="2270"/>
      <c r="I153" s="2270"/>
      <c r="J153" s="2270"/>
      <c r="K153" s="2270"/>
      <c r="L153" s="2270"/>
      <c r="M153" s="2270"/>
      <c r="N153" s="2270"/>
      <c r="O153" s="2270"/>
      <c r="P153" s="2270"/>
      <c r="Q153" s="2270"/>
    </row>
    <row r="154" spans="2:17" s="748" customFormat="1">
      <c r="B154" s="2270"/>
      <c r="C154" s="2270"/>
      <c r="D154" s="2270"/>
      <c r="E154" s="2270"/>
      <c r="F154" s="2270"/>
      <c r="G154" s="2270"/>
      <c r="H154" s="2270"/>
      <c r="I154" s="2270"/>
      <c r="J154" s="2270"/>
      <c r="K154" s="2270"/>
      <c r="L154" s="2270"/>
      <c r="M154" s="2270"/>
      <c r="N154" s="2270"/>
      <c r="O154" s="2270"/>
      <c r="P154" s="2270"/>
      <c r="Q154" s="2270"/>
    </row>
    <row r="155" spans="2:17" s="748" customFormat="1">
      <c r="B155" s="2270"/>
      <c r="C155" s="2270"/>
      <c r="D155" s="2270"/>
      <c r="E155" s="2270"/>
      <c r="F155" s="2270"/>
      <c r="G155" s="2270"/>
      <c r="H155" s="2270"/>
      <c r="I155" s="2270"/>
      <c r="J155" s="2270"/>
      <c r="K155" s="2270"/>
      <c r="L155" s="2270"/>
      <c r="M155" s="2270"/>
      <c r="N155" s="2270"/>
      <c r="O155" s="2270"/>
      <c r="P155" s="2270"/>
      <c r="Q155" s="2270"/>
    </row>
    <row r="156" spans="2:17" s="748" customFormat="1">
      <c r="B156" s="2270"/>
      <c r="C156" s="2270"/>
      <c r="D156" s="2270"/>
      <c r="E156" s="2270"/>
      <c r="F156" s="2270"/>
      <c r="G156" s="2270"/>
      <c r="H156" s="2270"/>
      <c r="I156" s="2270"/>
      <c r="J156" s="2270"/>
      <c r="K156" s="2270"/>
      <c r="L156" s="2270"/>
      <c r="M156" s="2270"/>
      <c r="N156" s="2270"/>
      <c r="O156" s="2270"/>
      <c r="P156" s="2270"/>
      <c r="Q156" s="2270"/>
    </row>
    <row r="157" spans="2:17" s="748" customFormat="1">
      <c r="B157" s="2270"/>
      <c r="C157" s="2270"/>
      <c r="D157" s="2270"/>
      <c r="E157" s="2270"/>
      <c r="F157" s="2270"/>
      <c r="G157" s="2270"/>
      <c r="H157" s="2270"/>
      <c r="I157" s="2270"/>
      <c r="J157" s="2270"/>
      <c r="K157" s="2270"/>
      <c r="L157" s="2270"/>
      <c r="M157" s="2270"/>
      <c r="N157" s="2270"/>
      <c r="O157" s="2270"/>
      <c r="P157" s="2270"/>
      <c r="Q157" s="2270"/>
    </row>
    <row r="158" spans="2:17" s="748" customFormat="1">
      <c r="B158" s="2270"/>
      <c r="C158" s="2270"/>
      <c r="D158" s="2270"/>
      <c r="E158" s="2270"/>
      <c r="F158" s="2270"/>
      <c r="G158" s="2270"/>
      <c r="H158" s="2270"/>
      <c r="I158" s="2270"/>
      <c r="J158" s="2270"/>
      <c r="K158" s="2270"/>
      <c r="L158" s="2270"/>
      <c r="M158" s="2270"/>
      <c r="N158" s="2270"/>
      <c r="O158" s="2270"/>
      <c r="P158" s="2270"/>
      <c r="Q158" s="2270"/>
    </row>
    <row r="159" spans="2:17" s="748" customFormat="1">
      <c r="B159" s="2270"/>
      <c r="C159" s="2270"/>
      <c r="D159" s="2270"/>
      <c r="E159" s="2270"/>
      <c r="F159" s="2270"/>
      <c r="G159" s="2270"/>
      <c r="H159" s="2270"/>
      <c r="I159" s="2270"/>
      <c r="J159" s="2270"/>
      <c r="K159" s="2270"/>
      <c r="L159" s="2270"/>
      <c r="M159" s="2270"/>
      <c r="N159" s="2270"/>
      <c r="O159" s="2270"/>
      <c r="P159" s="2270"/>
      <c r="Q159" s="2270"/>
    </row>
    <row r="160" spans="2:17" s="748" customFormat="1">
      <c r="B160" s="2270"/>
      <c r="C160" s="2270"/>
      <c r="D160" s="2270"/>
      <c r="E160" s="2270"/>
      <c r="F160" s="2270"/>
      <c r="G160" s="2270"/>
      <c r="H160" s="2270"/>
      <c r="I160" s="2270"/>
      <c r="J160" s="2270"/>
      <c r="K160" s="2270"/>
      <c r="L160" s="2270"/>
      <c r="M160" s="2270"/>
      <c r="N160" s="2270"/>
      <c r="O160" s="2270"/>
      <c r="P160" s="2270"/>
      <c r="Q160" s="2270"/>
    </row>
    <row r="161" spans="2:17" s="748" customFormat="1">
      <c r="B161" s="2270"/>
      <c r="C161" s="2270"/>
      <c r="D161" s="2270"/>
      <c r="E161" s="2270"/>
      <c r="F161" s="2270"/>
      <c r="G161" s="2270"/>
      <c r="H161" s="2270"/>
      <c r="I161" s="2270"/>
      <c r="J161" s="2270"/>
      <c r="K161" s="2270"/>
      <c r="L161" s="2270"/>
      <c r="M161" s="2270"/>
      <c r="N161" s="2270"/>
      <c r="O161" s="2270"/>
      <c r="P161" s="2270"/>
      <c r="Q161" s="2270"/>
    </row>
    <row r="162" spans="2:17" s="748" customFormat="1">
      <c r="B162" s="2270"/>
      <c r="C162" s="2270"/>
      <c r="D162" s="2270"/>
      <c r="E162" s="2270"/>
      <c r="F162" s="2270"/>
      <c r="G162" s="2270"/>
      <c r="H162" s="2270"/>
      <c r="I162" s="2270"/>
      <c r="J162" s="2270"/>
      <c r="K162" s="2270"/>
      <c r="L162" s="2270"/>
      <c r="M162" s="2270"/>
      <c r="N162" s="2270"/>
      <c r="O162" s="2270"/>
      <c r="P162" s="2270"/>
      <c r="Q162" s="2270"/>
    </row>
    <row r="163" spans="2:17" s="748" customFormat="1">
      <c r="B163" s="2270"/>
      <c r="C163" s="2270"/>
      <c r="D163" s="2270"/>
      <c r="E163" s="2270"/>
      <c r="F163" s="2270"/>
      <c r="G163" s="2270"/>
      <c r="H163" s="2270"/>
      <c r="I163" s="2270"/>
      <c r="J163" s="2270"/>
      <c r="K163" s="2270"/>
      <c r="L163" s="2270"/>
      <c r="M163" s="2270"/>
      <c r="N163" s="2270"/>
      <c r="O163" s="2270"/>
      <c r="P163" s="2270"/>
      <c r="Q163" s="2270"/>
    </row>
    <row r="164" spans="2:17" s="748" customFormat="1">
      <c r="B164" s="2270"/>
      <c r="C164" s="2270"/>
      <c r="D164" s="2270"/>
      <c r="E164" s="2270"/>
      <c r="F164" s="2270"/>
      <c r="G164" s="2270"/>
      <c r="H164" s="2270"/>
      <c r="I164" s="2270"/>
      <c r="J164" s="2270"/>
      <c r="K164" s="2270"/>
      <c r="L164" s="2270"/>
      <c r="M164" s="2270"/>
      <c r="N164" s="2270"/>
      <c r="O164" s="2270"/>
      <c r="P164" s="2270"/>
      <c r="Q164" s="2270"/>
    </row>
    <row r="165" spans="2:17" s="748" customFormat="1">
      <c r="B165" s="2270"/>
      <c r="C165" s="2270"/>
      <c r="D165" s="2270"/>
      <c r="E165" s="2270"/>
      <c r="F165" s="2270"/>
      <c r="G165" s="2270"/>
      <c r="H165" s="2270"/>
      <c r="I165" s="2270"/>
      <c r="J165" s="2270"/>
      <c r="K165" s="2270"/>
      <c r="L165" s="2270"/>
      <c r="M165" s="2270"/>
      <c r="N165" s="2270"/>
      <c r="O165" s="2270"/>
      <c r="P165" s="2270"/>
      <c r="Q165" s="2270"/>
    </row>
    <row r="166" spans="2:17" s="748" customFormat="1">
      <c r="B166" s="2270"/>
      <c r="C166" s="2270"/>
      <c r="D166" s="2270"/>
      <c r="E166" s="2270"/>
      <c r="F166" s="2270"/>
      <c r="G166" s="2270"/>
      <c r="H166" s="2270"/>
      <c r="I166" s="2270"/>
      <c r="J166" s="2270"/>
      <c r="K166" s="2270"/>
      <c r="L166" s="2270"/>
      <c r="M166" s="2270"/>
      <c r="N166" s="2270"/>
      <c r="O166" s="2270"/>
      <c r="P166" s="2270"/>
      <c r="Q166" s="2270"/>
    </row>
    <row r="167" spans="2:17" s="748" customFormat="1">
      <c r="B167" s="2270"/>
      <c r="C167" s="2270"/>
      <c r="D167" s="2270"/>
      <c r="E167" s="2270"/>
      <c r="F167" s="2270"/>
      <c r="G167" s="2270"/>
      <c r="H167" s="2270"/>
      <c r="I167" s="2270"/>
      <c r="J167" s="2270"/>
      <c r="K167" s="2270"/>
      <c r="L167" s="2270"/>
      <c r="M167" s="2270"/>
      <c r="N167" s="2270"/>
      <c r="O167" s="2270"/>
      <c r="P167" s="2270"/>
      <c r="Q167" s="2270"/>
    </row>
    <row r="168" spans="2:17" s="748" customFormat="1">
      <c r="B168" s="2270"/>
      <c r="C168" s="2270"/>
      <c r="D168" s="2270"/>
      <c r="E168" s="2270"/>
      <c r="F168" s="2270"/>
      <c r="G168" s="2270"/>
      <c r="H168" s="2270"/>
      <c r="I168" s="2270"/>
      <c r="J168" s="2270"/>
      <c r="K168" s="2270"/>
      <c r="L168" s="2270"/>
      <c r="M168" s="2270"/>
      <c r="N168" s="2270"/>
      <c r="O168" s="2270"/>
      <c r="P168" s="2270"/>
      <c r="Q168" s="2270"/>
    </row>
    <row r="169" spans="2:17" s="748" customFormat="1">
      <c r="B169" s="2270"/>
      <c r="C169" s="2270"/>
      <c r="D169" s="2270"/>
      <c r="E169" s="2270"/>
      <c r="F169" s="2270"/>
      <c r="G169" s="2270"/>
      <c r="H169" s="2270"/>
      <c r="I169" s="2270"/>
      <c r="J169" s="2270"/>
      <c r="K169" s="2270"/>
      <c r="L169" s="2270"/>
      <c r="M169" s="2270"/>
      <c r="N169" s="2270"/>
      <c r="O169" s="2270"/>
      <c r="P169" s="2270"/>
      <c r="Q169" s="2270"/>
    </row>
    <row r="170" spans="2:17" s="748" customFormat="1">
      <c r="B170" s="2270"/>
      <c r="C170" s="2270"/>
      <c r="D170" s="2270"/>
      <c r="E170" s="2270"/>
      <c r="F170" s="2270"/>
      <c r="G170" s="2270"/>
      <c r="H170" s="2270"/>
      <c r="I170" s="2270"/>
      <c r="J170" s="2270"/>
      <c r="K170" s="2270"/>
      <c r="L170" s="2270"/>
      <c r="M170" s="2270"/>
      <c r="N170" s="2270"/>
      <c r="O170" s="2270"/>
      <c r="P170" s="2270"/>
      <c r="Q170" s="2270"/>
    </row>
    <row r="171" spans="2:17" s="748" customFormat="1">
      <c r="B171" s="2270"/>
      <c r="C171" s="2270"/>
      <c r="D171" s="2270"/>
      <c r="E171" s="2270"/>
      <c r="F171" s="2270"/>
      <c r="G171" s="2270"/>
      <c r="H171" s="2270"/>
      <c r="I171" s="2270"/>
      <c r="J171" s="2270"/>
      <c r="K171" s="2270"/>
      <c r="L171" s="2270"/>
      <c r="M171" s="2270"/>
      <c r="N171" s="2270"/>
      <c r="O171" s="2270"/>
      <c r="P171" s="2270"/>
      <c r="Q171" s="2270"/>
    </row>
    <row r="172" spans="2:17" s="748" customFormat="1">
      <c r="B172" s="2270"/>
      <c r="C172" s="2270"/>
      <c r="D172" s="2270"/>
      <c r="E172" s="2270"/>
      <c r="F172" s="2270"/>
      <c r="G172" s="2270"/>
      <c r="H172" s="2270"/>
      <c r="I172" s="2270"/>
      <c r="J172" s="2270"/>
      <c r="K172" s="2270"/>
      <c r="L172" s="2270"/>
      <c r="M172" s="2270"/>
      <c r="N172" s="2270"/>
      <c r="O172" s="2270"/>
      <c r="P172" s="2270"/>
      <c r="Q172" s="2270"/>
    </row>
    <row r="173" spans="2:17" s="748" customFormat="1">
      <c r="B173" s="2270"/>
      <c r="C173" s="2270"/>
      <c r="D173" s="2270"/>
      <c r="E173" s="2270"/>
      <c r="F173" s="2270"/>
      <c r="G173" s="2270"/>
      <c r="H173" s="2270"/>
      <c r="I173" s="2270"/>
      <c r="J173" s="2270"/>
      <c r="K173" s="2270"/>
      <c r="L173" s="2270"/>
      <c r="M173" s="2270"/>
      <c r="N173" s="2270"/>
      <c r="O173" s="2270"/>
      <c r="P173" s="2270"/>
      <c r="Q173" s="2270"/>
    </row>
    <row r="174" spans="2:17" s="748" customFormat="1">
      <c r="B174" s="2270"/>
      <c r="C174" s="2270"/>
      <c r="D174" s="2270"/>
      <c r="E174" s="2270"/>
      <c r="F174" s="2270"/>
      <c r="G174" s="2270"/>
      <c r="H174" s="2270"/>
      <c r="I174" s="2270"/>
      <c r="J174" s="2270"/>
      <c r="K174" s="2270"/>
      <c r="L174" s="2270"/>
      <c r="M174" s="2270"/>
      <c r="N174" s="2270"/>
      <c r="O174" s="2270"/>
      <c r="P174" s="2270"/>
      <c r="Q174" s="2270"/>
    </row>
    <row r="175" spans="2:17" s="748" customFormat="1">
      <c r="B175" s="2270"/>
      <c r="C175" s="2270"/>
      <c r="D175" s="2270"/>
      <c r="E175" s="2270"/>
      <c r="F175" s="2270"/>
      <c r="G175" s="2270"/>
      <c r="H175" s="2270"/>
      <c r="I175" s="2270"/>
      <c r="J175" s="2270"/>
      <c r="K175" s="2270"/>
      <c r="L175" s="2270"/>
      <c r="M175" s="2270"/>
      <c r="N175" s="2270"/>
      <c r="O175" s="2270"/>
      <c r="P175" s="2270"/>
      <c r="Q175" s="2270"/>
    </row>
    <row r="176" spans="2:17" s="748" customFormat="1">
      <c r="B176" s="2270"/>
      <c r="C176" s="2270"/>
      <c r="D176" s="2270"/>
      <c r="E176" s="2270"/>
      <c r="F176" s="2270"/>
      <c r="G176" s="2270"/>
      <c r="H176" s="2270"/>
      <c r="I176" s="2270"/>
      <c r="J176" s="2270"/>
      <c r="K176" s="2270"/>
      <c r="L176" s="2270"/>
      <c r="M176" s="2270"/>
      <c r="N176" s="2270"/>
      <c r="O176" s="2270"/>
      <c r="P176" s="2270"/>
      <c r="Q176" s="2270"/>
    </row>
    <row r="177" spans="1:17" s="748" customFormat="1">
      <c r="B177" s="2270"/>
      <c r="C177" s="2270"/>
      <c r="D177" s="2270"/>
      <c r="E177" s="2270"/>
      <c r="F177" s="2270"/>
      <c r="G177" s="2270"/>
      <c r="H177" s="2270"/>
      <c r="I177" s="2270"/>
      <c r="J177" s="2270"/>
      <c r="K177" s="2270"/>
      <c r="L177" s="2270"/>
      <c r="M177" s="2270"/>
      <c r="N177" s="2270"/>
      <c r="O177" s="2270"/>
      <c r="P177" s="2270"/>
      <c r="Q177" s="2270"/>
    </row>
    <row r="178" spans="1:17" s="748" customFormat="1">
      <c r="B178" s="2270"/>
      <c r="C178" s="2270"/>
      <c r="D178" s="2270"/>
      <c r="E178" s="2270"/>
      <c r="F178" s="2270"/>
      <c r="G178" s="2270"/>
      <c r="H178" s="2270"/>
      <c r="I178" s="2270"/>
      <c r="J178" s="2270"/>
      <c r="K178" s="2270"/>
      <c r="L178" s="2270"/>
      <c r="M178" s="2270"/>
      <c r="N178" s="2270"/>
      <c r="O178" s="2270"/>
      <c r="P178" s="2270"/>
      <c r="Q178" s="2270"/>
    </row>
    <row r="179" spans="1:17" s="748" customFormat="1">
      <c r="B179" s="2270"/>
      <c r="C179" s="2270"/>
      <c r="D179" s="2270"/>
      <c r="E179" s="2270"/>
      <c r="F179" s="2270"/>
      <c r="G179" s="2270"/>
      <c r="H179" s="2270"/>
      <c r="I179" s="2270"/>
      <c r="J179" s="2270"/>
      <c r="K179" s="2270"/>
      <c r="L179" s="2270"/>
      <c r="M179" s="2270"/>
      <c r="N179" s="2270"/>
      <c r="O179" s="2270"/>
      <c r="P179" s="2270"/>
      <c r="Q179" s="2270"/>
    </row>
    <row r="180" spans="1:17" s="748" customFormat="1">
      <c r="B180" s="2270"/>
      <c r="C180" s="2270"/>
      <c r="D180" s="2270"/>
      <c r="E180" s="2270"/>
      <c r="F180" s="2270"/>
      <c r="G180" s="2270"/>
      <c r="H180" s="2270"/>
      <c r="I180" s="2270"/>
      <c r="J180" s="2270"/>
      <c r="K180" s="2270"/>
      <c r="L180" s="2270"/>
      <c r="M180" s="2270"/>
      <c r="N180" s="2270"/>
      <c r="O180" s="2270"/>
      <c r="P180" s="2270"/>
      <c r="Q180" s="2270"/>
    </row>
    <row r="181" spans="1:17" s="748" customFormat="1">
      <c r="B181" s="2270"/>
      <c r="C181" s="2270"/>
      <c r="D181" s="2270"/>
      <c r="E181" s="2270"/>
      <c r="F181" s="2270"/>
      <c r="G181" s="2270"/>
      <c r="H181" s="2270"/>
      <c r="I181" s="2270"/>
      <c r="J181" s="2270"/>
      <c r="K181" s="2270"/>
      <c r="L181" s="2270"/>
      <c r="M181" s="2270"/>
      <c r="N181" s="2270"/>
      <c r="O181" s="2270"/>
      <c r="P181" s="2270"/>
      <c r="Q181" s="2270"/>
    </row>
    <row r="182" spans="1:17" s="748" customFormat="1">
      <c r="B182" s="2270"/>
      <c r="C182" s="2270"/>
      <c r="D182" s="2270"/>
      <c r="E182" s="2270"/>
      <c r="F182" s="2270"/>
      <c r="G182" s="2270"/>
      <c r="H182" s="2270"/>
      <c r="I182" s="2270"/>
      <c r="J182" s="2270"/>
      <c r="K182" s="2270"/>
      <c r="L182" s="2270"/>
      <c r="M182" s="2270"/>
      <c r="N182" s="2270"/>
      <c r="O182" s="2270"/>
      <c r="P182" s="2270"/>
      <c r="Q182" s="2270"/>
    </row>
    <row r="183" spans="1:17" s="748" customFormat="1">
      <c r="B183" s="2270"/>
      <c r="C183" s="2270"/>
      <c r="D183" s="2270"/>
      <c r="E183" s="2270"/>
      <c r="F183" s="2270"/>
      <c r="G183" s="2270"/>
      <c r="H183" s="2270"/>
      <c r="I183" s="2270"/>
      <c r="J183" s="2270"/>
      <c r="K183" s="2270"/>
      <c r="L183" s="2270"/>
      <c r="M183" s="2270"/>
      <c r="N183" s="2270"/>
      <c r="O183" s="2270"/>
      <c r="P183" s="2270"/>
      <c r="Q183" s="2270"/>
    </row>
    <row r="184" spans="1:17" s="748" customFormat="1">
      <c r="B184" s="2270"/>
      <c r="C184" s="2270"/>
      <c r="D184" s="2270"/>
      <c r="E184" s="2270"/>
      <c r="F184" s="2270"/>
      <c r="G184" s="2270"/>
      <c r="H184" s="2270"/>
      <c r="I184" s="2270"/>
      <c r="J184" s="2270"/>
      <c r="K184" s="2270"/>
      <c r="L184" s="2270"/>
      <c r="M184" s="2270"/>
      <c r="N184" s="2270"/>
      <c r="O184" s="2270"/>
      <c r="P184" s="2270"/>
      <c r="Q184" s="2270"/>
    </row>
    <row r="185" spans="1:17" s="748" customFormat="1">
      <c r="B185" s="2270"/>
      <c r="C185" s="2270"/>
      <c r="D185" s="2270"/>
      <c r="E185" s="2270"/>
      <c r="F185" s="2270"/>
      <c r="G185" s="2270"/>
      <c r="H185" s="2270"/>
      <c r="I185" s="2270"/>
      <c r="J185" s="2270"/>
      <c r="K185" s="2270"/>
      <c r="L185" s="2270"/>
      <c r="M185" s="2270"/>
      <c r="N185" s="2270"/>
      <c r="O185" s="2270"/>
      <c r="P185" s="2270"/>
      <c r="Q185" s="2270"/>
    </row>
    <row r="186" spans="1:17">
      <c r="A186" s="748"/>
      <c r="B186" s="2270"/>
      <c r="C186" s="2270"/>
      <c r="E186" s="2270"/>
      <c r="F186" s="2270"/>
      <c r="G186" s="2270"/>
    </row>
    <row r="187" spans="1:17">
      <c r="A187" s="748"/>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I29" sqref="I29"/>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106355.86000000013</v>
      </c>
      <c r="C1" s="2454"/>
      <c r="D1" s="2454"/>
      <c r="E1" s="2454"/>
      <c r="F1" s="2454"/>
      <c r="G1" s="2455"/>
      <c r="H1" s="2455"/>
      <c r="I1" s="2455"/>
      <c r="J1" s="2455"/>
      <c r="K1" s="2455"/>
    </row>
    <row r="2" spans="1:11" ht="16.5">
      <c r="A2" s="2293" t="s">
        <v>653</v>
      </c>
      <c r="B2" s="2293">
        <f>SUM(C14:C23)</f>
        <v>39582.79</v>
      </c>
      <c r="C2" s="2454"/>
      <c r="D2" s="2454"/>
      <c r="E2" s="2454"/>
      <c r="F2" s="2454"/>
      <c r="G2" s="2455"/>
      <c r="H2" s="2455"/>
      <c r="I2" s="2455"/>
      <c r="J2" s="2455"/>
      <c r="K2" s="2455"/>
    </row>
    <row r="3" spans="1:11" ht="16.5">
      <c r="A3" s="2293" t="s">
        <v>662</v>
      </c>
      <c r="B3" s="2295">
        <f>项目基本情况!D3</f>
        <v>45639</v>
      </c>
      <c r="C3" s="2454"/>
      <c r="D3" s="2454"/>
      <c r="E3" s="2454"/>
      <c r="F3" s="2454"/>
      <c r="G3" s="2455"/>
      <c r="H3" s="2455"/>
      <c r="I3" s="2455"/>
      <c r="J3" s="2455"/>
      <c r="K3" s="2455"/>
    </row>
    <row r="4" spans="1:11" ht="33">
      <c r="A4" s="2293" t="s">
        <v>661</v>
      </c>
      <c r="B4" s="2293" t="s">
        <v>660</v>
      </c>
      <c r="C4" s="2293" t="s">
        <v>659</v>
      </c>
      <c r="D4" s="2293" t="s">
        <v>658</v>
      </c>
      <c r="E4" s="2454"/>
      <c r="F4" s="2455"/>
      <c r="G4" s="2455"/>
      <c r="H4" s="2455"/>
      <c r="I4" s="2455"/>
      <c r="J4" s="2455"/>
      <c r="K4" s="2455"/>
    </row>
    <row r="5" spans="1:11" ht="16.5">
      <c r="A5" s="2293" t="s">
        <v>657</v>
      </c>
      <c r="B5" s="2293">
        <f ca="1">SUM(D14:D23)</f>
        <v>259876</v>
      </c>
      <c r="C5" s="2293">
        <f ca="1">IF(B5=D14,结果表!H102,ROUND(B5*10000/$B$1,0))</f>
        <v>24435</v>
      </c>
      <c r="D5" s="2293">
        <f ca="1">ROUND(B5*10000/$B$2,0)</f>
        <v>65654</v>
      </c>
      <c r="E5" s="2454"/>
      <c r="F5" s="2455"/>
      <c r="G5" s="2455"/>
      <c r="H5" s="2455"/>
      <c r="I5" s="2455"/>
      <c r="J5" s="2455"/>
      <c r="K5" s="2455"/>
    </row>
    <row r="6" spans="1:11" ht="16.5">
      <c r="A6" s="2293" t="s">
        <v>656</v>
      </c>
      <c r="B6" s="2293">
        <f ca="1">SUM(G14:G23)</f>
        <v>259876</v>
      </c>
      <c r="C6" s="2293">
        <f ca="1">IF(B6=G14,结果表!H108,ROUND(B6*10000/$B$1,0))</f>
        <v>24435</v>
      </c>
      <c r="D6" s="2293">
        <f ca="1">ROUND(B6*10000/$B$2,0)</f>
        <v>65654</v>
      </c>
      <c r="E6" s="2454"/>
      <c r="F6" s="2455"/>
      <c r="G6" s="2455"/>
      <c r="H6" s="2455"/>
      <c r="I6" s="2455"/>
      <c r="J6" s="2455"/>
      <c r="K6" s="2455"/>
    </row>
    <row r="7" spans="1:11" ht="16.5">
      <c r="A7" s="2293" t="s">
        <v>664</v>
      </c>
      <c r="B7" s="2293">
        <f>SUM(H14:H23)</f>
        <v>0</v>
      </c>
      <c r="C7" s="2293" t="str">
        <f>IF(B7=H14,结果表!H110,ROUND(B7*10000/$B$1,0))</f>
        <v>——</v>
      </c>
      <c r="D7" s="2293">
        <f>ROUND(B7*10000/$B$2,0)</f>
        <v>0</v>
      </c>
      <c r="E7" s="2454"/>
      <c r="F7" s="2455"/>
      <c r="G7" s="2455"/>
      <c r="H7" s="2455"/>
      <c r="I7" s="2455"/>
      <c r="J7" s="2455"/>
      <c r="K7" s="2455"/>
    </row>
    <row r="8" spans="1:11" ht="16.5">
      <c r="A8" s="2293" t="s">
        <v>587</v>
      </c>
      <c r="B8" s="2293">
        <f>SUM(I14:I23)</f>
        <v>0</v>
      </c>
      <c r="C8" s="2293" t="str">
        <f>IF(B8=I14,结果表!H112,ROUND(B8*10000/$B$1,0))</f>
        <v>——</v>
      </c>
      <c r="D8" s="2293">
        <f>ROUND(B8*10000/$B$2,0)</f>
        <v>0</v>
      </c>
      <c r="E8" s="2454"/>
      <c r="F8" s="2455"/>
      <c r="G8" s="2455"/>
      <c r="H8" s="2455"/>
      <c r="I8" s="2455"/>
      <c r="J8" s="2455"/>
      <c r="K8" s="2455"/>
    </row>
    <row r="9" spans="1:11" ht="16.5">
      <c r="A9" s="2293" t="s">
        <v>655</v>
      </c>
      <c r="B9" s="1241"/>
      <c r="C9" s="2454"/>
      <c r="D9" s="2454"/>
      <c r="E9" s="2454"/>
      <c r="F9" s="2455"/>
      <c r="G9" s="2455"/>
      <c r="H9" s="2455"/>
      <c r="I9" s="2455"/>
      <c r="J9" s="2455"/>
      <c r="K9" s="2455"/>
    </row>
    <row r="10" spans="1:11" ht="16.5">
      <c r="A10" s="2293" t="s">
        <v>654</v>
      </c>
      <c r="B10" s="2293">
        <f>IF(E10="",0,ROUND(B1*(E10*365/G10)/10000,0))</f>
        <v>0</v>
      </c>
      <c r="C10" s="2293" t="s">
        <v>3353</v>
      </c>
      <c r="D10" s="2293" t="s">
        <v>3354</v>
      </c>
      <c r="E10" s="3129"/>
      <c r="F10" s="3133" t="s">
        <v>3355</v>
      </c>
      <c r="G10" s="3130"/>
      <c r="H10" s="2455"/>
      <c r="I10" s="2455"/>
      <c r="J10" s="2455"/>
      <c r="K10" s="2455"/>
    </row>
    <row r="11" spans="1:11" ht="16.5">
      <c r="A11" s="2293" t="s">
        <v>670</v>
      </c>
      <c r="B11" s="1241"/>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6" t="s">
        <v>669</v>
      </c>
      <c r="B13" s="2297" t="s">
        <v>666</v>
      </c>
      <c r="C13" s="2297" t="s">
        <v>668</v>
      </c>
      <c r="D13" s="2297" t="s">
        <v>667</v>
      </c>
      <c r="E13" s="2293" t="s">
        <v>659</v>
      </c>
      <c r="F13" s="2293" t="s">
        <v>658</v>
      </c>
      <c r="G13" s="2297" t="s">
        <v>652</v>
      </c>
      <c r="H13" s="2297" t="s">
        <v>663</v>
      </c>
      <c r="I13" s="2297" t="s">
        <v>651</v>
      </c>
      <c r="J13" s="2455"/>
      <c r="K13" s="2455"/>
    </row>
    <row r="14" spans="1:11" ht="16.5">
      <c r="A14" s="2298" t="s">
        <v>650</v>
      </c>
      <c r="B14" s="2299">
        <f>结果表!B118</f>
        <v>106355.86000000013</v>
      </c>
      <c r="C14" s="2299">
        <f>结果表!C118</f>
        <v>39582.79</v>
      </c>
      <c r="D14" s="2299">
        <f ca="1">结果表!H118</f>
        <v>259876</v>
      </c>
      <c r="E14" s="2299">
        <f ca="1">ROUND(D14*10000/B14,0)</f>
        <v>24435</v>
      </c>
      <c r="F14" s="2299">
        <f ca="1">ROUND(D14*10000/C14,0)</f>
        <v>65654</v>
      </c>
      <c r="G14" s="2299">
        <f ca="1">D14</f>
        <v>259876</v>
      </c>
      <c r="H14" s="2299"/>
      <c r="I14" s="2299"/>
      <c r="J14" s="2455"/>
      <c r="K14" s="2455"/>
    </row>
    <row r="15" spans="1:11" ht="16.5">
      <c r="A15" s="2298" t="s">
        <v>649</v>
      </c>
      <c r="B15" s="2300"/>
      <c r="C15" s="2300"/>
      <c r="D15" s="2300"/>
      <c r="E15" s="2299" t="e">
        <f t="shared" ref="E15:E23" si="0">ROUND(D15*10000/B15,0)</f>
        <v>#DIV/0!</v>
      </c>
      <c r="F15" s="2299" t="e">
        <f t="shared" ref="F15:F23" si="1">ROUND(D15*10000/C15,0)</f>
        <v>#DIV/0!</v>
      </c>
      <c r="G15" s="1241"/>
      <c r="H15" s="1241"/>
      <c r="I15" s="2300"/>
      <c r="J15" s="2455"/>
      <c r="K15" s="2455"/>
    </row>
    <row r="16" spans="1:11" ht="16.5">
      <c r="A16" s="2298" t="s">
        <v>648</v>
      </c>
      <c r="B16" s="2300"/>
      <c r="C16" s="2300"/>
      <c r="D16" s="2300"/>
      <c r="E16" s="2299" t="e">
        <f t="shared" si="0"/>
        <v>#DIV/0!</v>
      </c>
      <c r="F16" s="2299" t="e">
        <f t="shared" si="1"/>
        <v>#DIV/0!</v>
      </c>
      <c r="G16" s="1241"/>
      <c r="H16" s="1241"/>
      <c r="I16" s="2300"/>
      <c r="J16" s="2455"/>
      <c r="K16" s="2455"/>
    </row>
    <row r="17" spans="1:11" ht="16.5">
      <c r="A17" s="2298" t="s">
        <v>647</v>
      </c>
      <c r="B17" s="2300"/>
      <c r="C17" s="2300"/>
      <c r="D17" s="2300"/>
      <c r="E17" s="2299" t="e">
        <f t="shared" si="0"/>
        <v>#DIV/0!</v>
      </c>
      <c r="F17" s="2299" t="e">
        <f t="shared" si="1"/>
        <v>#DIV/0!</v>
      </c>
      <c r="G17" s="1241"/>
      <c r="H17" s="1241"/>
      <c r="I17" s="2300"/>
      <c r="J17" s="2455"/>
      <c r="K17" s="2455"/>
    </row>
    <row r="18" spans="1:11" ht="16.5">
      <c r="A18" s="2298" t="s">
        <v>646</v>
      </c>
      <c r="B18" s="2300"/>
      <c r="C18" s="2300"/>
      <c r="D18" s="2300"/>
      <c r="E18" s="2299" t="e">
        <f t="shared" si="0"/>
        <v>#DIV/0!</v>
      </c>
      <c r="F18" s="2299" t="e">
        <f t="shared" si="1"/>
        <v>#DIV/0!</v>
      </c>
      <c r="G18" s="2300"/>
      <c r="H18" s="2300"/>
      <c r="I18" s="2300"/>
      <c r="J18" s="2455"/>
      <c r="K18" s="2455"/>
    </row>
    <row r="19" spans="1:11" ht="16.5">
      <c r="A19" s="2298" t="s">
        <v>645</v>
      </c>
      <c r="B19" s="2300"/>
      <c r="C19" s="2300"/>
      <c r="D19" s="2300"/>
      <c r="E19" s="2299" t="e">
        <f t="shared" si="0"/>
        <v>#DIV/0!</v>
      </c>
      <c r="F19" s="2299" t="e">
        <f t="shared" si="1"/>
        <v>#DIV/0!</v>
      </c>
      <c r="G19" s="2300"/>
      <c r="H19" s="2300"/>
      <c r="I19" s="2300"/>
      <c r="J19" s="2455"/>
      <c r="K19" s="2455"/>
    </row>
    <row r="20" spans="1:11" ht="16.5">
      <c r="A20" s="2298" t="s">
        <v>644</v>
      </c>
      <c r="B20" s="2300"/>
      <c r="C20" s="2300"/>
      <c r="D20" s="2300"/>
      <c r="E20" s="2299" t="e">
        <f t="shared" si="0"/>
        <v>#DIV/0!</v>
      </c>
      <c r="F20" s="2299" t="e">
        <f t="shared" si="1"/>
        <v>#DIV/0!</v>
      </c>
      <c r="G20" s="2300"/>
      <c r="H20" s="2300"/>
      <c r="I20" s="2300"/>
      <c r="J20" s="2455"/>
      <c r="K20" s="2455"/>
    </row>
    <row r="21" spans="1:11" ht="16.5">
      <c r="A21" s="2298" t="s">
        <v>643</v>
      </c>
      <c r="B21" s="2300"/>
      <c r="C21" s="2300"/>
      <c r="D21" s="2300"/>
      <c r="E21" s="2299" t="e">
        <f t="shared" si="0"/>
        <v>#DIV/0!</v>
      </c>
      <c r="F21" s="2299" t="e">
        <f t="shared" si="1"/>
        <v>#DIV/0!</v>
      </c>
      <c r="G21" s="2300"/>
      <c r="H21" s="2300"/>
      <c r="I21" s="2300"/>
      <c r="J21" s="2455"/>
      <c r="K21" s="2455"/>
    </row>
    <row r="22" spans="1:11" ht="16.5">
      <c r="A22" s="2298" t="s">
        <v>642</v>
      </c>
      <c r="B22" s="2300"/>
      <c r="C22" s="2300"/>
      <c r="D22" s="2300"/>
      <c r="E22" s="2299" t="e">
        <f t="shared" si="0"/>
        <v>#DIV/0!</v>
      </c>
      <c r="F22" s="2299" t="e">
        <f t="shared" si="1"/>
        <v>#DIV/0!</v>
      </c>
      <c r="G22" s="2300"/>
      <c r="H22" s="2300"/>
      <c r="I22" s="2300"/>
      <c r="J22" s="2455"/>
      <c r="K22" s="2455"/>
    </row>
    <row r="23" spans="1:11" ht="16.5">
      <c r="A23" s="2298" t="s">
        <v>641</v>
      </c>
      <c r="B23" s="2300"/>
      <c r="C23" s="2300"/>
      <c r="D23" s="2300"/>
      <c r="E23" s="1241" t="e">
        <f t="shared" si="0"/>
        <v>#DIV/0!</v>
      </c>
      <c r="F23" s="1241"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16" t="str">
        <f>项目基本情况!B1</f>
        <v>北京市顺义区顺义新城第1街区01-01-09地块R2二类居住用地、01-01-04地块A334托幼用地出让国有建设用地使用权及在建建筑物房地产抵押价值预评估</v>
      </c>
      <c r="C37" s="3216"/>
      <c r="D37" s="3216"/>
      <c r="E37" s="3216"/>
      <c r="F37" s="3216"/>
      <c r="G37" s="3216"/>
      <c r="H37" s="3216"/>
      <c r="I37" s="3216"/>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 ca="1">项目基本情况!K4</f>
        <v>吴薇（注册号：1419970001)、（注册号：0)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09" zoomScaleNormal="100" zoomScaleSheetLayoutView="100" zoomScalePageLayoutView="80" workbookViewId="0">
      <selection activeCell="D122" sqref="D122:I123"/>
    </sheetView>
  </sheetViews>
  <sheetFormatPr defaultColWidth="12.625" defaultRowHeight="21.75" customHeight="1"/>
  <cols>
    <col min="1" max="2" width="12.625" style="1558"/>
    <col min="3" max="4" width="12.625" style="1558" customWidth="1"/>
    <col min="5" max="9" width="12.625" style="1558"/>
    <col min="10" max="11" width="12.625" style="681" customWidth="1"/>
    <col min="12" max="12" width="12.625" style="681"/>
    <col min="13" max="13" width="14.125" style="681" bestFit="1" customWidth="1"/>
    <col min="14" max="26" width="12.625" style="681"/>
    <col min="27" max="35" width="12.625" style="1619"/>
    <col min="36" max="16384" width="12.625" style="1558"/>
  </cols>
  <sheetData>
    <row r="1" spans="1:12" ht="21.75" customHeight="1" thickBot="1">
      <c r="A1" s="1518" t="s">
        <v>1262</v>
      </c>
      <c r="B1" s="643"/>
      <c r="C1" s="1616"/>
      <c r="D1" s="643"/>
      <c r="E1" s="643"/>
      <c r="F1" s="1617" t="s">
        <v>1263</v>
      </c>
      <c r="G1" s="1450" t="s">
        <v>4304</v>
      </c>
      <c r="H1" s="1617" t="str">
        <f>IF(G1="现房","——","估价对象范围")</f>
        <v>估价对象范围</v>
      </c>
      <c r="I1" s="1618" t="s">
        <v>4305</v>
      </c>
    </row>
    <row r="2" spans="1:12" ht="21.75" customHeight="1" thickBot="1">
      <c r="A2" s="3355" t="str">
        <f>项目基本情况!S2</f>
        <v>北京市顺义区顺义新城第1街区01-01-09地块R2二类居住用地、01-01-04地块A334托幼用地出让国有建设用地使用权及在建建筑物房地产</v>
      </c>
      <c r="B2" s="3356"/>
      <c r="C2" s="3356"/>
      <c r="D2" s="3356"/>
      <c r="E2" s="3356"/>
      <c r="F2" s="3356"/>
      <c r="G2" s="3356"/>
      <c r="H2" s="3356"/>
      <c r="I2" s="3357"/>
    </row>
    <row r="3" spans="1:12" ht="12.75">
      <c r="A3" s="3359" t="s">
        <v>1264</v>
      </c>
      <c r="B3" s="3360"/>
      <c r="C3" s="3360"/>
      <c r="D3" s="3360"/>
      <c r="E3" s="3360"/>
      <c r="F3" s="3360"/>
      <c r="G3" s="3360"/>
      <c r="H3" s="3360"/>
      <c r="I3" s="3360"/>
    </row>
    <row r="4" spans="1:12" ht="14.25">
      <c r="A4" s="1620" t="s">
        <v>1265</v>
      </c>
      <c r="B4" s="1621" t="s">
        <v>1266</v>
      </c>
      <c r="C4" s="1622" t="s">
        <v>4306</v>
      </c>
      <c r="D4" s="1622" t="s">
        <v>4307</v>
      </c>
      <c r="E4" s="3361" t="s">
        <v>1267</v>
      </c>
      <c r="F4" s="3362"/>
      <c r="G4" s="3362"/>
      <c r="H4" s="3362"/>
      <c r="I4" s="3363"/>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假设开发法</v>
      </c>
    </row>
    <row r="5" spans="1:12" ht="12.75">
      <c r="A5" s="3335" t="s">
        <v>1268</v>
      </c>
      <c r="B5" s="3322">
        <v>25</v>
      </c>
      <c r="C5" s="3338"/>
      <c r="D5" s="3358"/>
      <c r="E5" s="121" t="s">
        <v>1269</v>
      </c>
      <c r="F5" s="1623"/>
      <c r="G5" s="1623"/>
      <c r="H5" s="1623"/>
      <c r="I5" s="1278"/>
    </row>
    <row r="6" spans="1:12" ht="12.75">
      <c r="A6" s="3335"/>
      <c r="B6" s="3322"/>
      <c r="C6" s="3339"/>
      <c r="D6" s="3358"/>
      <c r="E6" s="121" t="s">
        <v>1270</v>
      </c>
      <c r="F6" s="1623"/>
      <c r="G6" s="1623"/>
      <c r="H6" s="1623"/>
      <c r="I6" s="1278"/>
    </row>
    <row r="7" spans="1:12" ht="12.75">
      <c r="A7" s="3335"/>
      <c r="B7" s="3322"/>
      <c r="C7" s="3340"/>
      <c r="D7" s="3358"/>
      <c r="E7" s="121" t="s">
        <v>1271</v>
      </c>
      <c r="F7" s="1623"/>
      <c r="G7" s="1623"/>
      <c r="H7" s="1623"/>
      <c r="I7" s="1278"/>
    </row>
    <row r="8" spans="1:12" ht="12.75">
      <c r="A8" s="3335" t="s">
        <v>1272</v>
      </c>
      <c r="B8" s="3322">
        <v>15</v>
      </c>
      <c r="C8" s="3338"/>
      <c r="D8" s="3358"/>
      <c r="E8" s="121" t="s">
        <v>1273</v>
      </c>
      <c r="F8" s="1623"/>
      <c r="G8" s="1623"/>
      <c r="H8" s="1623"/>
      <c r="I8" s="1278"/>
    </row>
    <row r="9" spans="1:12" ht="12.75">
      <c r="A9" s="3335"/>
      <c r="B9" s="3322"/>
      <c r="C9" s="3340"/>
      <c r="D9" s="3358"/>
      <c r="E9" s="121" t="s">
        <v>1274</v>
      </c>
      <c r="F9" s="1623"/>
      <c r="G9" s="1623"/>
      <c r="H9" s="1623"/>
      <c r="I9" s="1278"/>
    </row>
    <row r="10" spans="1:12" ht="12.75">
      <c r="A10" s="3335" t="s">
        <v>1275</v>
      </c>
      <c r="B10" s="3322">
        <v>15</v>
      </c>
      <c r="C10" s="3338"/>
      <c r="D10" s="3358"/>
      <c r="E10" s="121" t="s">
        <v>1276</v>
      </c>
      <c r="F10" s="1623"/>
      <c r="G10" s="1623"/>
      <c r="H10" s="1623"/>
      <c r="I10" s="1278"/>
    </row>
    <row r="11" spans="1:12" ht="12.75">
      <c r="A11" s="3335"/>
      <c r="B11" s="3322"/>
      <c r="C11" s="3340"/>
      <c r="D11" s="3358"/>
      <c r="E11" s="121" t="s">
        <v>1277</v>
      </c>
      <c r="F11" s="1623"/>
      <c r="G11" s="1623"/>
      <c r="H11" s="1623"/>
      <c r="I11" s="1278"/>
    </row>
    <row r="12" spans="1:12" ht="12.75">
      <c r="A12" s="3335" t="s">
        <v>1278</v>
      </c>
      <c r="B12" s="3322">
        <v>15</v>
      </c>
      <c r="C12" s="3338"/>
      <c r="D12" s="3358"/>
      <c r="E12" s="121" t="s">
        <v>1279</v>
      </c>
      <c r="F12" s="1623"/>
      <c r="G12" s="1623"/>
      <c r="H12" s="1623"/>
      <c r="I12" s="1278"/>
    </row>
    <row r="13" spans="1:12" ht="12.75">
      <c r="A13" s="3335"/>
      <c r="B13" s="3322"/>
      <c r="C13" s="3340"/>
      <c r="D13" s="3358"/>
      <c r="E13" s="121" t="s">
        <v>1280</v>
      </c>
      <c r="F13" s="1623"/>
      <c r="G13" s="1623"/>
      <c r="H13" s="1623"/>
      <c r="I13" s="1278"/>
    </row>
    <row r="14" spans="1:12" ht="12.75">
      <c r="A14" s="3335" t="s">
        <v>1281</v>
      </c>
      <c r="B14" s="3322">
        <v>30</v>
      </c>
      <c r="C14" s="3338">
        <v>5</v>
      </c>
      <c r="D14" s="3358">
        <v>5</v>
      </c>
      <c r="E14" s="121" t="s">
        <v>1282</v>
      </c>
      <c r="F14" s="1623"/>
      <c r="G14" s="1623"/>
      <c r="H14" s="1623"/>
      <c r="I14" s="1278"/>
    </row>
    <row r="15" spans="1:12" ht="12.75">
      <c r="A15" s="3335"/>
      <c r="B15" s="3322"/>
      <c r="C15" s="3339"/>
      <c r="D15" s="3358"/>
      <c r="E15" s="121" t="s">
        <v>1283</v>
      </c>
      <c r="F15" s="1623"/>
      <c r="G15" s="1623"/>
      <c r="H15" s="1623"/>
      <c r="I15" s="1278"/>
    </row>
    <row r="16" spans="1:12" ht="12.75">
      <c r="A16" s="3335"/>
      <c r="B16" s="3322"/>
      <c r="C16" s="3340"/>
      <c r="D16" s="3358"/>
      <c r="E16" s="121" t="s">
        <v>1284</v>
      </c>
      <c r="F16" s="1623"/>
      <c r="G16" s="1623"/>
      <c r="H16" s="1623"/>
      <c r="I16" s="1278"/>
    </row>
    <row r="17" spans="1:36" ht="15">
      <c r="A17" s="1624" t="s">
        <v>1285</v>
      </c>
      <c r="B17" s="53"/>
      <c r="C17" s="122">
        <f>SUM(C5:C16)</f>
        <v>5</v>
      </c>
      <c r="D17" s="122">
        <f>SUM(D5:D16)</f>
        <v>5</v>
      </c>
      <c r="E17" s="119"/>
      <c r="F17" s="119"/>
      <c r="G17" s="119"/>
      <c r="H17" s="119"/>
      <c r="I17" s="119"/>
      <c r="K17" s="292"/>
      <c r="L17" s="292" t="s">
        <v>1286</v>
      </c>
      <c r="M17" s="292" t="s">
        <v>1287</v>
      </c>
    </row>
    <row r="18" spans="1:36" ht="31.9" customHeight="1" thickBot="1">
      <c r="A18" s="1625" t="s">
        <v>1288</v>
      </c>
      <c r="B18" s="1539"/>
      <c r="C18" s="123">
        <f>ROUND(C17/SUM(C17:D17),2)</f>
        <v>0.5</v>
      </c>
      <c r="D18" s="123">
        <f>1-C18</f>
        <v>0.5</v>
      </c>
      <c r="E18" s="3345" t="s">
        <v>2130</v>
      </c>
      <c r="F18" s="3346"/>
      <c r="G18" s="3346"/>
      <c r="H18" s="3346"/>
      <c r="I18" s="3346"/>
      <c r="K18" s="292" t="s">
        <v>1289</v>
      </c>
      <c r="L18" s="292">
        <f>IF(C1="",'数据-汇总表'!E3,SUMIF(项目类型,C1,'数据-汇总表'!E17:E26)+SUMIF(项目类型,C1,'数据-汇总表'!I17:I26))</f>
        <v>106355.86000000013</v>
      </c>
      <c r="M18" s="292">
        <f>IF(C1="",'数据-汇总表'!E3,SUMIF(项目类型,C1,'数据-汇总表'!E17:E26))</f>
        <v>106355.86000000013</v>
      </c>
    </row>
    <row r="19" spans="1:36" ht="15">
      <c r="A19" s="1626" t="s">
        <v>1290</v>
      </c>
      <c r="B19" s="1627" t="s">
        <v>1291</v>
      </c>
      <c r="C19" s="124">
        <f ca="1">SUMIF(INDIRECT("'"&amp;C4&amp;"'"&amp;"!A:A"),结果表!B19,INDIRECT("'"&amp;C4&amp;"'"&amp;"!B:B"))</f>
        <v>285365</v>
      </c>
      <c r="D19" s="125">
        <f ca="1">SUMIF(INDIRECT("'"&amp;D4&amp;"'"&amp;"!A:A"),结果表!B19,INDIRECT("'"&amp;D4&amp;"'"&amp;"!B:B"))</f>
        <v>234386</v>
      </c>
      <c r="E19" s="1626" t="s">
        <v>1292</v>
      </c>
      <c r="F19" s="1627" t="s">
        <v>1291</v>
      </c>
      <c r="G19" s="126">
        <f ca="1">ROUND(C19*$C$18+D19*$D$18,0)</f>
        <v>259876</v>
      </c>
      <c r="H19" s="1628" t="s">
        <v>1293</v>
      </c>
      <c r="I19" s="119"/>
      <c r="K19" s="292" t="s">
        <v>1294</v>
      </c>
      <c r="L19" s="292">
        <f>IF(C1="",'数据-汇总表'!D3,SUMIF(项目类型,C1,'数据-汇总表'!D17:D26)+SUMIF(项目类型,C1,'数据-汇总表'!H17:H27))</f>
        <v>39582.79</v>
      </c>
      <c r="M19" s="292">
        <f>IF(C1="",'数据-汇总表'!D3,SUMIF(项目类型,C1,'数据-汇总表'!D17:D26))</f>
        <v>39582.79</v>
      </c>
    </row>
    <row r="20" spans="1:36" ht="15">
      <c r="A20" s="1629"/>
      <c r="B20" s="43" t="s">
        <v>1295</v>
      </c>
      <c r="C20" s="127">
        <f ca="1">SUMIF(INDIRECT("'"&amp;C4&amp;"'"&amp;"!A:A"),结果表!B20,INDIRECT("'"&amp;C4&amp;"'"&amp;"!B:B"))</f>
        <v>26831</v>
      </c>
      <c r="D20" s="128">
        <f ca="1">SUMIF(INDIRECT("'"&amp;D4&amp;"'"&amp;"!A:A"),结果表!B20,INDIRECT("'"&amp;D4&amp;"'"&amp;"!B:B"))</f>
        <v>22038</v>
      </c>
      <c r="E20" s="1629"/>
      <c r="F20" s="43" t="s">
        <v>1295</v>
      </c>
      <c r="G20" s="129">
        <f ca="1">ROUND(C20*$C$18+D20*$D$18,0)</f>
        <v>24435</v>
      </c>
      <c r="H20" s="757" t="s">
        <v>1296</v>
      </c>
      <c r="I20" s="119"/>
    </row>
    <row r="21" spans="1:36" ht="15" customHeight="1" thickBot="1">
      <c r="A21" s="447"/>
      <c r="B21" s="92" t="s">
        <v>1297</v>
      </c>
      <c r="C21" s="675">
        <f ca="1">ROUND(C19*10000/L19,0)</f>
        <v>72093</v>
      </c>
      <c r="D21" s="676">
        <f ca="1">ROUND(D19*10000/L19,0)</f>
        <v>59214</v>
      </c>
      <c r="E21" s="447"/>
      <c r="F21" s="92" t="s">
        <v>1297</v>
      </c>
      <c r="G21" s="130">
        <f ca="1">ROUND(G19*10000/L19,0)</f>
        <v>65654</v>
      </c>
      <c r="H21" s="1630" t="s">
        <v>1296</v>
      </c>
      <c r="I21" s="119"/>
    </row>
    <row r="22" spans="1:36" ht="15" thickBot="1">
      <c r="A22" s="1561" t="s">
        <v>1298</v>
      </c>
      <c r="B22" s="1631"/>
      <c r="C22" s="1632"/>
      <c r="D22" s="677">
        <f ca="1">IF(C19&lt;D19,D19/C19-1,C19/D19-1)</f>
        <v>0.21750019199098913</v>
      </c>
      <c r="E22" s="119"/>
      <c r="F22" s="119"/>
      <c r="G22" s="119"/>
      <c r="H22" s="119"/>
      <c r="I22" s="119"/>
    </row>
    <row r="23" spans="1:36" ht="13.5" thickBot="1">
      <c r="A23" s="643"/>
      <c r="B23" s="643"/>
      <c r="C23" s="643"/>
      <c r="D23" s="643"/>
      <c r="E23" s="119"/>
      <c r="F23" s="119"/>
      <c r="G23" s="119"/>
      <c r="H23" s="119"/>
      <c r="I23" s="119"/>
    </row>
    <row r="24" spans="1:36" ht="14.25">
      <c r="A24" s="3329" t="s">
        <v>1299</v>
      </c>
      <c r="B24" s="1627" t="s">
        <v>1291</v>
      </c>
      <c r="C24" s="126">
        <f>IF(B30=0,0,D30)</f>
        <v>0</v>
      </c>
      <c r="D24" s="1633"/>
      <c r="E24" s="119"/>
      <c r="F24" s="119"/>
      <c r="G24" s="119"/>
      <c r="H24" s="119"/>
      <c r="I24" s="119"/>
    </row>
    <row r="25" spans="1:36" ht="14.25">
      <c r="A25" s="3330"/>
      <c r="B25" s="43" t="s">
        <v>1295</v>
      </c>
      <c r="C25" s="131">
        <f>IF(B30=0,0,C30)</f>
        <v>0</v>
      </c>
      <c r="D25" s="1634"/>
      <c r="E25" s="119"/>
      <c r="F25" s="119"/>
      <c r="G25" s="119"/>
      <c r="H25" s="119"/>
      <c r="I25" s="119"/>
    </row>
    <row r="26" spans="1:36" ht="13.5" customHeight="1">
      <c r="A26" s="1635" t="s">
        <v>1300</v>
      </c>
      <c r="B26" s="132" t="s">
        <v>1301</v>
      </c>
      <c r="C26" s="132" t="s">
        <v>1302</v>
      </c>
      <c r="D26" s="133" t="s">
        <v>1303</v>
      </c>
      <c r="E26" s="119"/>
      <c r="F26" s="119"/>
      <c r="G26" s="119"/>
      <c r="H26" s="119"/>
      <c r="I26" s="119"/>
    </row>
    <row r="27" spans="1:36" ht="14.25">
      <c r="A27" s="1635"/>
      <c r="B27" s="132">
        <v>0</v>
      </c>
      <c r="C27" s="132">
        <v>0</v>
      </c>
      <c r="D27" s="133">
        <f>ROUND(C27*B27/10000,0)</f>
        <v>0</v>
      </c>
      <c r="E27" s="119"/>
      <c r="F27" s="119"/>
      <c r="G27" s="119"/>
      <c r="H27" s="119"/>
      <c r="I27" s="119"/>
    </row>
    <row r="28" spans="1:36" ht="14.25">
      <c r="A28" s="1635"/>
      <c r="B28" s="132"/>
      <c r="C28" s="132"/>
      <c r="D28" s="133"/>
      <c r="E28" s="119"/>
      <c r="F28" s="119"/>
      <c r="G28" s="119"/>
      <c r="H28" s="119"/>
      <c r="I28" s="119"/>
    </row>
    <row r="29" spans="1:36" ht="14.25">
      <c r="A29" s="1635"/>
      <c r="B29" s="132"/>
      <c r="C29" s="132"/>
      <c r="D29" s="133"/>
      <c r="E29" s="119"/>
      <c r="F29" s="119"/>
      <c r="G29" s="119"/>
      <c r="H29" s="119"/>
      <c r="I29" s="119"/>
    </row>
    <row r="30" spans="1:36" ht="15" thickBot="1">
      <c r="A30" s="132" t="s">
        <v>1304</v>
      </c>
      <c r="B30" s="132"/>
      <c r="C30" s="132"/>
      <c r="D30" s="132"/>
      <c r="E30" s="2123" t="s">
        <v>2131</v>
      </c>
      <c r="F30" s="119"/>
      <c r="G30" s="119"/>
      <c r="H30" s="119"/>
      <c r="I30" s="119"/>
    </row>
    <row r="31" spans="1:36" s="2129" customFormat="1" ht="26.45" customHeight="1" thickTop="1" thickBot="1">
      <c r="A31" s="2124"/>
      <c r="B31" s="2125"/>
      <c r="C31" s="2125"/>
      <c r="D31" s="2125"/>
      <c r="E31" s="2125"/>
      <c r="F31" s="2125"/>
      <c r="G31" s="2125"/>
      <c r="H31" s="2125"/>
      <c r="I31" s="2126" t="s">
        <v>2132</v>
      </c>
      <c r="J31" s="2456"/>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6" t="s">
        <v>1305</v>
      </c>
      <c r="B32" s="1532"/>
      <c r="C32" s="134">
        <f ca="1">IF(D32="总价",G19-C24,G20-C25)</f>
        <v>259876</v>
      </c>
      <c r="D32" s="1637" t="s">
        <v>4308</v>
      </c>
      <c r="E32" s="119"/>
      <c r="F32" s="119"/>
      <c r="G32" s="119"/>
      <c r="H32" s="119"/>
      <c r="I32" s="119"/>
    </row>
    <row r="33" spans="1:15" ht="15">
      <c r="A33" s="737" t="s">
        <v>1306</v>
      </c>
      <c r="B33" s="121"/>
      <c r="C33" s="1638" t="s">
        <v>4309</v>
      </c>
      <c r="D33" s="1639" t="s">
        <v>4306</v>
      </c>
      <c r="E33" s="1640" t="s">
        <v>1307</v>
      </c>
      <c r="F33" s="1641" t="str">
        <f>IF(D32="楼面单价","取值（单价）","取值（总价）")</f>
        <v>取值（总价）</v>
      </c>
      <c r="G33" s="119"/>
      <c r="H33" s="119"/>
      <c r="I33" s="119"/>
    </row>
    <row r="34" spans="1:15" ht="15">
      <c r="A34" s="1642"/>
      <c r="B34" s="1643" t="s">
        <v>1308</v>
      </c>
      <c r="C34" s="138">
        <f ca="1">IF(C33="自定义",F34,C32-C35)</f>
        <v>207381</v>
      </c>
      <c r="D34" s="805">
        <f ca="1">IF(C33="自定义",ROUND(C34/C32,3),IF(C33="收益比率",SUMIF(INDIRECT("'"&amp;D33&amp;"'"&amp;"!b:b"),"土地收益比率",INDIRECT("'"&amp;D33&amp;"'"&amp;"!c:c")),SUMIF(INDIRECT("'"&amp;D33&amp;"'"&amp;"!b:b"),"土地成本比率",INDIRECT("'"&amp;D33&amp;"'"&amp;"!c:c"))))</f>
        <v>0.79800000000000004</v>
      </c>
      <c r="E34" s="1644" t="s">
        <v>1309</v>
      </c>
      <c r="F34" s="1240"/>
      <c r="G34" s="119"/>
      <c r="H34" s="119"/>
      <c r="I34" s="119"/>
    </row>
    <row r="35" spans="1:15" ht="15.75" thickBot="1">
      <c r="A35" s="1645"/>
      <c r="B35" s="1646" t="s">
        <v>1310</v>
      </c>
      <c r="C35" s="1087">
        <f ca="1">IF(C33="自定义",F35,ROUND(C32*D35,0))</f>
        <v>52495</v>
      </c>
      <c r="D35" s="1088">
        <f ca="1">IF(C33="自定义",ROUND(C35/C32,3),IF(C33="收益比率",SUMIF(INDIRECT("'"&amp;D33&amp;"'"&amp;"!b:b"),"建筑物收益比率",INDIRECT("'"&amp;D33&amp;"'"&amp;"!c:c")),SUMIF(INDIRECT("'"&amp;D33&amp;"'"&amp;"!b:b"),"建筑物成本比率",INDIRECT("'"&amp;D33&amp;"'"&amp;"!c:c"))))</f>
        <v>0.20200000000000001</v>
      </c>
      <c r="E35" s="1647" t="s">
        <v>1311</v>
      </c>
      <c r="F35" s="144"/>
      <c r="G35" s="119"/>
      <c r="H35" s="119"/>
      <c r="I35" s="119"/>
    </row>
    <row r="36" spans="1:15" ht="15.75" thickBot="1">
      <c r="A36" s="3349" t="s">
        <v>1312</v>
      </c>
      <c r="B36" s="1648" t="s">
        <v>1313</v>
      </c>
      <c r="C36" s="135"/>
      <c r="D36" s="1649"/>
      <c r="E36" s="1564"/>
      <c r="F36" s="1650"/>
      <c r="G36" s="119"/>
      <c r="H36" s="119"/>
      <c r="I36" s="119"/>
    </row>
    <row r="37" spans="1:15" ht="15.75" thickBot="1">
      <c r="A37" s="3350"/>
      <c r="B37" s="1552" t="s">
        <v>1314</v>
      </c>
      <c r="C37" s="137"/>
      <c r="D37" s="1068"/>
      <c r="E37" s="1068"/>
      <c r="F37" s="1650"/>
      <c r="G37" s="119"/>
      <c r="H37" s="119"/>
      <c r="I37" s="119"/>
    </row>
    <row r="38" spans="1:15" ht="15.75" thickBot="1">
      <c r="A38" s="3351"/>
      <c r="B38" s="1651" t="s">
        <v>1315</v>
      </c>
      <c r="C38" s="638"/>
      <c r="D38" s="1652" t="s">
        <v>1316</v>
      </c>
      <c r="E38" s="1068"/>
      <c r="F38" s="1650"/>
      <c r="G38" s="119"/>
      <c r="H38" s="119"/>
      <c r="I38" s="119"/>
    </row>
    <row r="39" spans="1:15" ht="15">
      <c r="A39" s="1629" t="s">
        <v>1317</v>
      </c>
      <c r="B39" s="1653" t="s">
        <v>1318</v>
      </c>
      <c r="C39" s="1654" t="s">
        <v>1319</v>
      </c>
      <c r="D39" s="1654" t="s">
        <v>1320</v>
      </c>
      <c r="E39" s="1655" t="s">
        <v>1321</v>
      </c>
      <c r="F39" s="1650"/>
      <c r="G39" s="119"/>
      <c r="H39" s="119"/>
      <c r="I39" s="119"/>
    </row>
    <row r="40" spans="1:15" ht="14.25">
      <c r="A40" s="1656" t="s">
        <v>1322</v>
      </c>
      <c r="B40" s="139"/>
      <c r="C40" s="140"/>
      <c r="D40" s="140"/>
      <c r="E40" s="141"/>
      <c r="F40" s="1650"/>
      <c r="G40" s="119"/>
      <c r="H40" s="119"/>
      <c r="I40" s="119"/>
    </row>
    <row r="41" spans="1:15" ht="14.25">
      <c r="A41" s="1656" t="s">
        <v>1323</v>
      </c>
      <c r="B41" s="139"/>
      <c r="C41" s="140"/>
      <c r="D41" s="140"/>
      <c r="E41" s="141"/>
      <c r="F41" s="1650"/>
      <c r="G41" s="119"/>
      <c r="H41" s="119"/>
      <c r="I41" s="119"/>
    </row>
    <row r="42" spans="1:15" ht="15" thickBot="1">
      <c r="A42" s="1657"/>
      <c r="B42" s="142"/>
      <c r="C42" s="143"/>
      <c r="D42" s="143"/>
      <c r="E42" s="144"/>
      <c r="F42" s="1650"/>
      <c r="G42" s="119"/>
      <c r="H42" s="119"/>
      <c r="I42" s="119"/>
    </row>
    <row r="43" spans="1:15" ht="12.75">
      <c r="A43" s="1464"/>
      <c r="B43" s="1464"/>
      <c r="C43" s="1464"/>
      <c r="D43" s="1464"/>
      <c r="E43" s="1464"/>
      <c r="F43" s="1658"/>
      <c r="G43" s="1658"/>
      <c r="H43" s="1658"/>
      <c r="I43" s="1659"/>
    </row>
    <row r="44" spans="1:15" ht="18.75">
      <c r="A44" s="1461" t="s">
        <v>1324</v>
      </c>
      <c r="B44" s="1660"/>
      <c r="C44" s="1660"/>
      <c r="D44" s="1661"/>
      <c r="E44" s="1661"/>
      <c r="F44" s="1662"/>
      <c r="G44" s="1662"/>
      <c r="H44" s="1662"/>
      <c r="I44" s="1662"/>
      <c r="J44" s="1663" t="s">
        <v>1325</v>
      </c>
      <c r="K44" s="4"/>
      <c r="L44" s="4"/>
      <c r="M44" s="4"/>
      <c r="N44" s="4"/>
      <c r="O44" s="4"/>
    </row>
    <row r="45" spans="1:15" ht="14.25" customHeight="1" thickBot="1">
      <c r="A45" s="3326" t="s">
        <v>1326</v>
      </c>
      <c r="B45" s="3327"/>
      <c r="C45" s="3328"/>
      <c r="D45" s="145">
        <f ca="1">ROUND(H101*F45,0)</f>
        <v>259876</v>
      </c>
      <c r="E45" s="146" t="s">
        <v>1327</v>
      </c>
      <c r="F45" s="147">
        <v>1</v>
      </c>
      <c r="G45" s="148" t="s">
        <v>1328</v>
      </c>
      <c r="H45" s="119"/>
      <c r="I45" s="119"/>
      <c r="J45" s="3404" t="s">
        <v>1329</v>
      </c>
      <c r="K45" s="3404"/>
      <c r="L45" s="3404"/>
      <c r="M45" s="3404"/>
      <c r="N45" s="3404"/>
      <c r="O45" s="3404"/>
    </row>
    <row r="46" spans="1:15" ht="14.25" customHeight="1">
      <c r="A46" s="3323" t="s">
        <v>1330</v>
      </c>
      <c r="B46" s="3324"/>
      <c r="C46" s="3324"/>
      <c r="D46" s="3324"/>
      <c r="E46" s="3324"/>
      <c r="F46" s="3324"/>
      <c r="G46" s="3325"/>
      <c r="H46" s="1664"/>
      <c r="I46" s="149"/>
      <c r="J46" s="2303">
        <v>1</v>
      </c>
      <c r="K46" s="3385" t="s">
        <v>1331</v>
      </c>
      <c r="L46" s="3385"/>
      <c r="M46" s="3405"/>
      <c r="N46" s="3405"/>
      <c r="O46" s="3405"/>
    </row>
    <row r="47" spans="1:15" ht="12" customHeight="1">
      <c r="A47" s="150" t="s">
        <v>1332</v>
      </c>
      <c r="B47" s="151"/>
      <c r="C47" s="152"/>
      <c r="D47" s="1021" t="s">
        <v>1333</v>
      </c>
      <c r="E47" s="292" t="s">
        <v>1334</v>
      </c>
      <c r="F47" s="153" t="s">
        <v>1335</v>
      </c>
      <c r="G47" s="2326" t="s">
        <v>1336</v>
      </c>
      <c r="H47" s="2327"/>
      <c r="I47" s="149"/>
      <c r="J47" s="2303">
        <v>2</v>
      </c>
      <c r="K47" s="3385" t="s">
        <v>1337</v>
      </c>
      <c r="L47" s="3385"/>
      <c r="M47" s="3406">
        <f>'数据-取费表'!B2</f>
        <v>45639</v>
      </c>
      <c r="N47" s="3406"/>
      <c r="O47" s="3406"/>
    </row>
    <row r="48" spans="1:15" ht="25.5">
      <c r="A48" s="3354" t="s">
        <v>1338</v>
      </c>
      <c r="B48" s="3337"/>
      <c r="C48" s="3337"/>
      <c r="D48" s="12" t="b">
        <f>IF(H48="情况1",0,IF(H48="情况2",D52,IF(H48="情况3",D53,IF(H48="情况4",D54))))</f>
        <v>0</v>
      </c>
      <c r="E48" s="1253" t="str">
        <f>IF(H48="情况4","(销售额-原购置价)×税（费）率","销售额×税（费）率")</f>
        <v>销售额×税（费）率</v>
      </c>
      <c r="F48" s="2328">
        <f>IF(H48="情况1","免征",'数据-取费表'!B41)</f>
        <v>5.6000000000000001E-2</v>
      </c>
      <c r="G48" s="2329" t="s">
        <v>1339</v>
      </c>
      <c r="H48" s="2330"/>
      <c r="I48" s="1664"/>
      <c r="J48" s="2303">
        <v>3</v>
      </c>
      <c r="K48" s="3385" t="s">
        <v>1340</v>
      </c>
      <c r="L48" s="3385"/>
      <c r="M48" s="3407">
        <f ca="1">H101</f>
        <v>259876</v>
      </c>
      <c r="N48" s="3407"/>
      <c r="O48" s="3407"/>
    </row>
    <row r="49" spans="1:35" ht="25.5" customHeight="1">
      <c r="A49" s="2148" t="s">
        <v>1341</v>
      </c>
      <c r="B49" s="3321" t="s">
        <v>1342</v>
      </c>
      <c r="C49" s="3321"/>
      <c r="D49" s="1475">
        <v>0</v>
      </c>
      <c r="E49" s="314" t="s">
        <v>1343</v>
      </c>
      <c r="F49" s="2229" t="s">
        <v>28</v>
      </c>
      <c r="G49" s="3391"/>
      <c r="H49" s="2130" t="s">
        <v>2133</v>
      </c>
      <c r="I49" s="2131"/>
      <c r="J49" s="2303">
        <v>4</v>
      </c>
      <c r="K49" s="3385" t="str">
        <f>IF(项目基本情况!E8="房地产抵押价值","房地产抵押价值","抵押担保权已注销时的房地产抵押价值")</f>
        <v>房地产抵押价值</v>
      </c>
      <c r="L49" s="3385"/>
      <c r="M49" s="3407">
        <f ca="1">IF(项目基本情况!E8="房地产抵押价值",H107,H109)</f>
        <v>259876</v>
      </c>
      <c r="N49" s="3407"/>
      <c r="O49" s="3407"/>
    </row>
    <row r="50" spans="1:35" ht="25.5" customHeight="1">
      <c r="A50" s="2331"/>
      <c r="B50" s="3321" t="s">
        <v>1344</v>
      </c>
      <c r="C50" s="3321"/>
      <c r="D50" s="2185"/>
      <c r="E50" s="321"/>
      <c r="F50" s="2229"/>
      <c r="G50" s="3392"/>
      <c r="H50" s="2132" t="s">
        <v>2134</v>
      </c>
      <c r="I50" s="2131"/>
      <c r="J50" s="3404" t="s">
        <v>1345</v>
      </c>
      <c r="K50" s="3404"/>
      <c r="L50" s="3404"/>
      <c r="M50" s="3404"/>
      <c r="N50" s="3404"/>
      <c r="O50" s="3404"/>
    </row>
    <row r="51" spans="1:35" ht="20.45" customHeight="1">
      <c r="A51" s="2332"/>
      <c r="B51" s="3321" t="s">
        <v>1346</v>
      </c>
      <c r="C51" s="3321"/>
      <c r="D51" s="1021"/>
      <c r="E51" s="317"/>
      <c r="F51" s="2229"/>
      <c r="G51" s="3393"/>
      <c r="H51" s="2132" t="s">
        <v>2135</v>
      </c>
      <c r="I51" s="2131"/>
      <c r="J51" s="2304" t="s">
        <v>1347</v>
      </c>
      <c r="K51" s="3385" t="s">
        <v>1348</v>
      </c>
      <c r="L51" s="3385"/>
      <c r="M51" s="2304" t="s">
        <v>1349</v>
      </c>
      <c r="N51" s="2304" t="s">
        <v>1350</v>
      </c>
      <c r="O51" s="2304" t="s">
        <v>1351</v>
      </c>
    </row>
    <row r="52" spans="1:35" ht="24" customHeight="1">
      <c r="A52" s="2149" t="s">
        <v>1352</v>
      </c>
      <c r="B52" s="3321" t="s">
        <v>1353</v>
      </c>
      <c r="C52" s="3321"/>
      <c r="D52" s="1021">
        <f ca="1">ROUND(D45*'数据-取费表'!B41/(1+'数据-取费表'!C42),0)</f>
        <v>13860</v>
      </c>
      <c r="E52" s="1253" t="s">
        <v>1354</v>
      </c>
      <c r="F52" s="2333">
        <f>'数据-取费表'!B41</f>
        <v>5.6000000000000001E-2</v>
      </c>
      <c r="G52" s="2334"/>
      <c r="H52" s="2324"/>
      <c r="I52" s="1665"/>
      <c r="J52" s="2303">
        <v>1</v>
      </c>
      <c r="K52" s="3386" t="s">
        <v>1355</v>
      </c>
      <c r="L52" s="3386"/>
      <c r="M52" s="2305" t="b">
        <f>D48</f>
        <v>0</v>
      </c>
      <c r="N52" s="2303" t="str">
        <f>E48</f>
        <v>销售额×税（费）率</v>
      </c>
      <c r="O52" s="2306">
        <f>F48</f>
        <v>5.6000000000000001E-2</v>
      </c>
    </row>
    <row r="53" spans="1:35" ht="12" customHeight="1">
      <c r="A53" s="2149" t="s">
        <v>1356</v>
      </c>
      <c r="B53" s="3347" t="s">
        <v>2286</v>
      </c>
      <c r="C53" s="3348"/>
      <c r="D53" s="1021">
        <f ca="1">ROUND(D45*'数据-取费表'!B41/(1+'数据-取费表'!C42),0)</f>
        <v>13860</v>
      </c>
      <c r="E53" s="1253" t="s">
        <v>1354</v>
      </c>
      <c r="F53" s="2333">
        <f>'数据-取费表'!B41</f>
        <v>5.6000000000000001E-2</v>
      </c>
      <c r="G53" s="2334"/>
      <c r="H53" s="2324"/>
      <c r="I53" s="1665"/>
      <c r="J53" s="2303">
        <v>2</v>
      </c>
      <c r="K53" s="3386" t="s">
        <v>1357</v>
      </c>
      <c r="L53" s="3386"/>
      <c r="M53" s="2305">
        <f t="shared" ref="M53:O54" ca="1" si="0">D55</f>
        <v>130</v>
      </c>
      <c r="N53" s="2303" t="str">
        <f t="shared" si="0"/>
        <v>销售额×税（费）率</v>
      </c>
      <c r="O53" s="2306" t="str">
        <f t="shared" si="0"/>
        <v>免征</v>
      </c>
    </row>
    <row r="54" spans="1:35" ht="12" customHeight="1">
      <c r="A54" s="2149" t="s">
        <v>1358</v>
      </c>
      <c r="B54" s="3347" t="s">
        <v>2287</v>
      </c>
      <c r="C54" s="3348"/>
      <c r="D54" s="1021">
        <f ca="1">C68</f>
        <v>13860</v>
      </c>
      <c r="E54" s="317" t="s">
        <v>1359</v>
      </c>
      <c r="F54" s="2333">
        <f>'数据-取费表'!B41</f>
        <v>5.6000000000000001E-2</v>
      </c>
      <c r="G54" s="2334"/>
      <c r="H54" s="2335"/>
      <c r="I54" s="1665"/>
      <c r="J54" s="2303">
        <v>3</v>
      </c>
      <c r="K54" s="3386" t="s">
        <v>1360</v>
      </c>
      <c r="L54" s="3386"/>
      <c r="M54" s="2305">
        <f t="shared" ca="1" si="0"/>
        <v>147090</v>
      </c>
      <c r="N54" s="2303" t="str">
        <f t="shared" si="0"/>
        <v>增值额×税（费）率</v>
      </c>
      <c r="O54" s="2307" t="str">
        <f t="shared" si="0"/>
        <v>免征</v>
      </c>
    </row>
    <row r="55" spans="1:35" ht="24" customHeight="1">
      <c r="A55" s="3336" t="s">
        <v>1361</v>
      </c>
      <c r="B55" s="3337"/>
      <c r="C55" s="3337"/>
      <c r="D55" s="12">
        <f ca="1">IF(H55="个人住宅",0,ROUND(D45*I55,0))</f>
        <v>130</v>
      </c>
      <c r="E55" s="1253" t="s">
        <v>1362</v>
      </c>
      <c r="F55" s="2333" t="str">
        <f>IF(H55="正常",I55,"免征")</f>
        <v>免征</v>
      </c>
      <c r="G55" s="2334"/>
      <c r="H55" s="2330"/>
      <c r="I55" s="155">
        <f>'数据-取费表'!B49</f>
        <v>5.0000000000000001E-4</v>
      </c>
      <c r="J55" s="2303">
        <f>IF(H59="非个人房产","",4)</f>
        <v>4</v>
      </c>
      <c r="K55" s="3386" t="str">
        <f>IF(H59="非个人房产","——","个人所得税")</f>
        <v>个人所得税</v>
      </c>
      <c r="L55" s="3386"/>
      <c r="M55" s="2308">
        <f ca="1">D59</f>
        <v>2475</v>
      </c>
      <c r="N55" s="1879" t="str">
        <f>E59</f>
        <v>差额计税</v>
      </c>
      <c r="O55" s="2309">
        <f>F59</f>
        <v>0.01</v>
      </c>
    </row>
    <row r="56" spans="1:35" ht="24.75">
      <c r="A56" s="3336" t="s">
        <v>1363</v>
      </c>
      <c r="B56" s="3337"/>
      <c r="C56" s="3337"/>
      <c r="D56" s="12">
        <f ca="1">IF(H56="个人住宅",D57,D58)</f>
        <v>147090</v>
      </c>
      <c r="E56" s="1253" t="s">
        <v>1364</v>
      </c>
      <c r="F56" s="2333" t="str">
        <f>IF(H56="正常",F58,"免征")</f>
        <v>免征</v>
      </c>
      <c r="G56" s="2336" t="s">
        <v>1365</v>
      </c>
      <c r="H56" s="2337"/>
      <c r="I56" s="1666"/>
      <c r="J56" s="2303" t="str">
        <f>IF(项目基本情况!K6="上海银行",IF(J55="",4,J55+1),"")</f>
        <v/>
      </c>
      <c r="K56" s="3409" t="str">
        <f>IF(项目基本情况!K6="上海银行","其他处置费用","")</f>
        <v/>
      </c>
      <c r="L56" s="3410"/>
      <c r="M56" s="2305" t="str">
        <f>IF(项目基本情况!K6="上海银行",M69,"")</f>
        <v/>
      </c>
      <c r="N56" s="3409" t="str">
        <f>IF(项目基本情况!K6="上海银行","包含处置中涉及的律师、诉讼、拍卖、评估等费用","")</f>
        <v/>
      </c>
      <c r="O56" s="3412"/>
    </row>
    <row r="57" spans="1:35" ht="12.75">
      <c r="A57" s="2149" t="s">
        <v>1341</v>
      </c>
      <c r="B57" s="3347" t="s">
        <v>1366</v>
      </c>
      <c r="C57" s="3348"/>
      <c r="D57" s="1475">
        <v>0</v>
      </c>
      <c r="E57" s="314" t="s">
        <v>1343</v>
      </c>
      <c r="F57" s="292"/>
      <c r="G57" s="2334"/>
      <c r="H57" s="2338"/>
      <c r="I57" s="1666"/>
      <c r="J57" s="3386">
        <f>IF(AND(J55="",J56=""),4,IF(项目基本情况!K6="上海银行",结果表!J56+1,结果表!J55+1))</f>
        <v>5</v>
      </c>
      <c r="K57" s="3386" t="s">
        <v>1367</v>
      </c>
      <c r="L57" s="2310" t="s">
        <v>1368</v>
      </c>
      <c r="M57" s="2311"/>
      <c r="N57" s="2312">
        <f ca="1">SUMIF(M52:M56,"&lt;9e307")</f>
        <v>149695</v>
      </c>
      <c r="O57" s="2313"/>
      <c r="P57" s="2457">
        <f ca="1">N57/M49</f>
        <v>0.57602471948159895</v>
      </c>
    </row>
    <row r="58" spans="1:35" ht="24.75">
      <c r="A58" s="2149" t="s">
        <v>1352</v>
      </c>
      <c r="B58" s="3347" t="s">
        <v>1369</v>
      </c>
      <c r="C58" s="3321"/>
      <c r="D58" s="12">
        <f ca="1">IF(H58="转让取得",C81,C97)</f>
        <v>147090</v>
      </c>
      <c r="E58" s="1253" t="s">
        <v>1364</v>
      </c>
      <c r="F58" s="292" t="s">
        <v>28</v>
      </c>
      <c r="G58" s="2334"/>
      <c r="H58" s="2337"/>
      <c r="I58" s="1666"/>
      <c r="J58" s="3386"/>
      <c r="K58" s="3386"/>
      <c r="L58" s="2310" t="s">
        <v>1370</v>
      </c>
      <c r="M58" s="2314"/>
      <c r="N58" s="2315" t="str">
        <f ca="1">NUMBERSTRING(INT(N57*10000),2)&amp;"元整"</f>
        <v>壹拾肆亿玖仟陆佰玖拾伍万元整</v>
      </c>
      <c r="O58" s="2316"/>
    </row>
    <row r="59" spans="1:35" ht="24.75" thickBot="1">
      <c r="A59" s="3389" t="s">
        <v>1371</v>
      </c>
      <c r="B59" s="3390"/>
      <c r="C59" s="3390"/>
      <c r="D59" s="2339">
        <f ca="1">IF(H59="非个人房产","——",IF(H59="个人住宅（满五唯一有凭证）",0,IF(H59="个人其他（无凭证）",ROUND(D45*F59,0),ROUND(C67*F59,0))))</f>
        <v>2475</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4"/>
      <c r="I59" s="2133" t="s">
        <v>2136</v>
      </c>
      <c r="J59" s="3387">
        <f>J57+1</f>
        <v>6</v>
      </c>
      <c r="K59" s="3386" t="s">
        <v>1372</v>
      </c>
      <c r="L59" s="2303" t="s">
        <v>1368</v>
      </c>
      <c r="M59" s="2317"/>
      <c r="N59" s="2318">
        <f ca="1">M49-N57</f>
        <v>110181</v>
      </c>
      <c r="O59" s="2319"/>
    </row>
    <row r="60" spans="1:35" ht="12" customHeight="1">
      <c r="A60" s="1667"/>
      <c r="B60" s="643"/>
      <c r="C60" s="643"/>
      <c r="D60" s="643"/>
      <c r="E60" s="1463"/>
      <c r="F60" s="1666"/>
      <c r="G60" s="1666"/>
      <c r="H60" s="149"/>
      <c r="I60" s="119"/>
      <c r="J60" s="3388"/>
      <c r="K60" s="3386"/>
      <c r="L60" s="2310" t="s">
        <v>1370</v>
      </c>
      <c r="M60" s="2314"/>
      <c r="N60" s="2315" t="str">
        <f ca="1">NUMBERSTRING(INT(N59*10000),2)&amp;"元整"</f>
        <v>壹拾壹亿零壹佰捌拾壹万元整</v>
      </c>
      <c r="O60" s="2316"/>
    </row>
    <row r="61" spans="1:35" ht="13.5" thickBot="1">
      <c r="A61" s="3334" t="s">
        <v>1373</v>
      </c>
      <c r="B61" s="3334"/>
      <c r="C61" s="3334"/>
      <c r="D61" s="3334"/>
      <c r="E61" s="3334"/>
      <c r="F61" s="1666"/>
      <c r="G61" s="1666"/>
      <c r="H61" s="149"/>
      <c r="I61" s="119"/>
      <c r="J61" s="2303">
        <f>J59+1</f>
        <v>7</v>
      </c>
      <c r="K61" s="3386" t="s">
        <v>1374</v>
      </c>
      <c r="L61" s="3386"/>
      <c r="M61" s="2320"/>
      <c r="N61" s="2321">
        <f ca="1">ROUND(N59*10000/'数据-汇总表'!E3,0)</f>
        <v>10360</v>
      </c>
      <c r="O61" s="2322"/>
    </row>
    <row r="62" spans="1:35" ht="12.75">
      <c r="A62" s="3352" t="s">
        <v>1375</v>
      </c>
      <c r="B62" s="3353"/>
      <c r="C62" s="1861"/>
      <c r="D62" s="1861" t="s">
        <v>1376</v>
      </c>
      <c r="E62" s="156" t="s">
        <v>1377</v>
      </c>
      <c r="F62" s="1666"/>
      <c r="G62" s="1666"/>
      <c r="H62" s="149"/>
      <c r="I62" s="119"/>
    </row>
    <row r="63" spans="1:35" ht="12.75">
      <c r="A63" s="163" t="s">
        <v>330</v>
      </c>
      <c r="B63" s="157" t="s">
        <v>1378</v>
      </c>
      <c r="C63" s="2343">
        <f ca="1">ROUND((C64+C65)/(1+'数据-取费表'!C42),0)</f>
        <v>247501</v>
      </c>
      <c r="D63" s="157"/>
      <c r="E63" s="158"/>
      <c r="F63" s="1666"/>
      <c r="G63" s="1666"/>
      <c r="H63" s="149"/>
      <c r="I63" s="119"/>
      <c r="J63" s="3411" t="s">
        <v>1379</v>
      </c>
      <c r="K63" s="1242" t="s">
        <v>1380</v>
      </c>
      <c r="L63" s="1242">
        <f ca="1">IF(M49&gt;10000,M49*0.5%,IF(AND(M49&gt;1000,M49&lt;=10000),M49*1%,IF(AND(M49&gt;100,M49&lt;=1000),M49*3%,IF(AND(M49&gt;10,M49&lt;=100),M49*5%,M49*8%))))</f>
        <v>1299.3800000000001</v>
      </c>
      <c r="M63" s="292">
        <f ca="1">ROUND(L63,1)</f>
        <v>1299.4000000000001</v>
      </c>
      <c r="N63" s="2323"/>
      <c r="Z63" s="1619"/>
      <c r="AI63" s="1558"/>
    </row>
    <row r="64" spans="1:35" ht="14.25" customHeight="1">
      <c r="A64" s="159" t="s">
        <v>325</v>
      </c>
      <c r="B64" s="160" t="s">
        <v>1381</v>
      </c>
      <c r="C64" s="2344">
        <f ca="1">D45</f>
        <v>259876</v>
      </c>
      <c r="D64" s="160" t="s">
        <v>26</v>
      </c>
      <c r="E64" s="162"/>
      <c r="F64" s="1666"/>
      <c r="G64" s="1666"/>
      <c r="H64" s="149"/>
      <c r="I64" s="119"/>
      <c r="J64" s="3411"/>
      <c r="K64" s="1242" t="s">
        <v>1382</v>
      </c>
      <c r="L64" s="1242">
        <f ca="1">IF(M49&gt;2000,M49*0.5%,IF(AND(M49&gt;1000,M49&lt;=2000),M49*0.6%,IF(AND(M49&gt;500,M49&lt;=1000),M49*0.7%,IF(AND(M49&gt;200,M49&lt;=500),M49*0.8%,IF(AND(M49&gt;100,M49&lt;=200),M49*0.9%,IF(AND(M49&gt;50,M49&lt;=100),M49*1%,IF(AND(M49&gt;20,M49&lt;=50),M49*1.5%,IF(AND(M49&gt;10,M49&lt;=20),M49*2%,IF(AND(M49&gt;1,M49&lt;=10),M49*2.5%)))))))))</f>
        <v>1299.3800000000001</v>
      </c>
      <c r="M64" s="292">
        <f t="shared" ref="M64:M65" ca="1" si="1">ROUND(L64,1)</f>
        <v>1299.4000000000001</v>
      </c>
      <c r="N64" s="2324" t="s">
        <v>1383</v>
      </c>
      <c r="Z64" s="1619"/>
      <c r="AI64" s="1558"/>
    </row>
    <row r="65" spans="1:35" ht="14.25" customHeight="1">
      <c r="A65" s="159" t="s">
        <v>326</v>
      </c>
      <c r="B65" s="160" t="s">
        <v>1384</v>
      </c>
      <c r="C65" s="2345"/>
      <c r="D65" s="160"/>
      <c r="E65" s="162"/>
      <c r="F65" s="1666"/>
      <c r="G65" s="1666"/>
      <c r="H65" s="149"/>
      <c r="I65" s="119"/>
      <c r="J65" s="3411"/>
      <c r="K65" s="1242" t="s">
        <v>1385</v>
      </c>
      <c r="L65" s="1242">
        <f ca="1">IF(M49&gt;1000,M49*0.1%,IF(AND(M49&gt;500,M49&lt;=1000),M49*0.5%,IF(AND(M49&gt;50,M49&lt;=500),M49*1%,IF(AND(M49&gt;1,M49&lt;=50),M49*1.5%))))</f>
        <v>259.87600000000003</v>
      </c>
      <c r="M65" s="292">
        <f t="shared" ca="1" si="1"/>
        <v>259.89999999999998</v>
      </c>
      <c r="N65" s="2324" t="s">
        <v>1383</v>
      </c>
      <c r="Z65" s="1619"/>
      <c r="AI65" s="1558"/>
    </row>
    <row r="66" spans="1:35" ht="14.25" customHeight="1">
      <c r="A66" s="163" t="s">
        <v>327</v>
      </c>
      <c r="B66" s="164" t="s">
        <v>1386</v>
      </c>
      <c r="C66" s="2346"/>
      <c r="D66" s="164" t="s">
        <v>26</v>
      </c>
      <c r="E66" s="1248" t="s">
        <v>671</v>
      </c>
      <c r="F66" s="1666"/>
      <c r="G66" s="1666"/>
      <c r="H66" s="149"/>
      <c r="I66" s="119"/>
      <c r="J66" s="3411"/>
      <c r="K66" s="1242" t="s">
        <v>1387</v>
      </c>
      <c r="L66" s="1242">
        <f ca="1">M49*0.5%</f>
        <v>1299.3800000000001</v>
      </c>
      <c r="M66" s="292">
        <f ca="1">IF(L66&gt;0.5,0.5,ROUND(L66,0))</f>
        <v>0.5</v>
      </c>
      <c r="N66" s="2324" t="s">
        <v>1388</v>
      </c>
      <c r="Z66" s="1619"/>
      <c r="AI66" s="1558"/>
    </row>
    <row r="67" spans="1:35" ht="14.25" customHeight="1">
      <c r="A67" s="163" t="s">
        <v>328</v>
      </c>
      <c r="B67" s="164" t="s">
        <v>1389</v>
      </c>
      <c r="C67" s="2347">
        <f ca="1">C63-C66</f>
        <v>247501</v>
      </c>
      <c r="D67" s="160" t="s">
        <v>26</v>
      </c>
      <c r="E67" s="162"/>
      <c r="F67" s="1666"/>
      <c r="G67" s="1666"/>
      <c r="H67" s="149"/>
      <c r="I67" s="119"/>
      <c r="J67" s="3411"/>
      <c r="K67" s="1242" t="s">
        <v>1390</v>
      </c>
      <c r="L67" s="1242">
        <f ca="1">IF(M49&gt;=10000,(8.25+(M49-10000)*0.01%),IF(AND(M49&gt;=8000,M49&lt;10000),(7.85+(M49-8000)*0.02%),IF(AND(M49&gt;=5000,M49&lt;8000),(6.65+(M49-5000)*0.04%),IF(AND(M49&gt;=2000,M49&lt;5000),(4.25+(PM49-2000)*0.08%),IF(AND(M49&gt;=1000,M49&lt;2000),(2.75+(M49-1000)*0.15%),IF(AND(M49&gt;=100,M49&lt;1000),(0.5+(M49-100)*0.25%),IF(AND(M49&gt;0,M49&lt;100),M49*0.5%)))))))</f>
        <v>33.2376</v>
      </c>
      <c r="M67" s="292">
        <f ca="1">ROUND(L67*0.9,1)</f>
        <v>29.9</v>
      </c>
      <c r="N67" s="2323"/>
      <c r="Z67" s="1619"/>
      <c r="AI67" s="1558"/>
    </row>
    <row r="68" spans="1:35" ht="14.25" customHeight="1" thickBot="1">
      <c r="A68" s="166" t="s">
        <v>329</v>
      </c>
      <c r="B68" s="167" t="s">
        <v>1391</v>
      </c>
      <c r="C68" s="2348">
        <f ca="1">IF(C67&lt;=0,0,ROUND(C67*D68,0))</f>
        <v>13860</v>
      </c>
      <c r="D68" s="2349">
        <f>'数据-取费表'!B41</f>
        <v>5.6000000000000001E-2</v>
      </c>
      <c r="E68" s="168"/>
      <c r="F68" s="1666"/>
      <c r="G68" s="1666"/>
      <c r="H68" s="149"/>
      <c r="I68" s="119"/>
      <c r="J68" s="3411"/>
      <c r="K68" s="1242" t="s">
        <v>1392</v>
      </c>
      <c r="L68" s="1242">
        <f ca="1">IF(M49&gt;10000,M49*0.5%,IF(AND(M49&gt;5000,M49&lt;=10000),M49*1%,IF(AND(M49&gt;1000,M49&lt;=5000),M49*2%,IF(AND(M49&gt;200,M49&lt;=1000),M49*3%,M49*5%))))</f>
        <v>1299.3800000000001</v>
      </c>
      <c r="M68" s="292">
        <f ca="1">ROUND(L68,1)</f>
        <v>1299.4000000000001</v>
      </c>
      <c r="N68" s="2323"/>
      <c r="Z68" s="1619"/>
      <c r="AI68" s="1558"/>
    </row>
    <row r="69" spans="1:35" ht="16.5" customHeight="1">
      <c r="A69" s="1668"/>
      <c r="B69" s="1669"/>
      <c r="C69" s="1670"/>
      <c r="D69" s="1671"/>
      <c r="E69" s="1672"/>
      <c r="F69" s="1463"/>
      <c r="G69" s="1463"/>
      <c r="H69" s="1464"/>
      <c r="I69" s="643"/>
      <c r="J69" s="3411"/>
      <c r="K69" s="1242" t="s">
        <v>1393</v>
      </c>
      <c r="L69" s="1242"/>
      <c r="M69" s="292">
        <f ca="1">ROUND(SUM(M63:M68),0)</f>
        <v>4189</v>
      </c>
      <c r="N69" s="2325">
        <f ca="1">M69/M49</f>
        <v>1.6119226092444087E-2</v>
      </c>
      <c r="Z69" s="1619"/>
      <c r="AI69" s="1558"/>
    </row>
    <row r="70" spans="1:35" s="639" customFormat="1" ht="15" thickBot="1">
      <c r="A70" s="3373" t="s">
        <v>1394</v>
      </c>
      <c r="B70" s="3374"/>
      <c r="C70" s="3374"/>
      <c r="D70" s="3374"/>
      <c r="E70" s="3374"/>
      <c r="F70" s="3374"/>
      <c r="G70" s="3374"/>
      <c r="H70" s="3374"/>
      <c r="I70" s="1673"/>
      <c r="J70" s="457"/>
      <c r="K70" s="457"/>
      <c r="L70" s="457"/>
      <c r="M70" s="457"/>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39" customFormat="1" ht="14.25">
      <c r="A71" s="3352" t="s">
        <v>1375</v>
      </c>
      <c r="B71" s="3353"/>
      <c r="C71" s="1861"/>
      <c r="D71" s="1861" t="s">
        <v>1376</v>
      </c>
      <c r="E71" s="169" t="s">
        <v>1377</v>
      </c>
      <c r="F71" s="170"/>
      <c r="G71" s="170"/>
      <c r="H71" s="171"/>
      <c r="I71" s="1676"/>
      <c r="J71" s="457"/>
      <c r="K71" s="457"/>
      <c r="L71" s="457"/>
      <c r="M71" s="457"/>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39" customFormat="1" ht="14.25">
      <c r="A72" s="163" t="s">
        <v>330</v>
      </c>
      <c r="B72" s="164" t="s">
        <v>1395</v>
      </c>
      <c r="C72" s="2347">
        <f ca="1">ROUND(D45/(1+'数据-取费表'!C42),0)</f>
        <v>247501</v>
      </c>
      <c r="D72" s="160" t="s">
        <v>26</v>
      </c>
      <c r="E72" s="1254"/>
      <c r="F72" s="1252"/>
      <c r="G72" s="1252"/>
      <c r="H72" s="172"/>
      <c r="I72" s="1676"/>
      <c r="J72" s="457"/>
      <c r="K72" s="457"/>
      <c r="L72" s="457"/>
      <c r="M72" s="457"/>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39" customFormat="1" ht="14.25">
      <c r="A73" s="163" t="s">
        <v>327</v>
      </c>
      <c r="B73" s="153" t="s">
        <v>1396</v>
      </c>
      <c r="C73" s="2347">
        <f ca="1">C74+C78</f>
        <v>1485</v>
      </c>
      <c r="D73" s="160" t="s">
        <v>26</v>
      </c>
      <c r="E73" s="1254"/>
      <c r="F73" s="1252"/>
      <c r="G73" s="1252"/>
      <c r="H73" s="172"/>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39" customFormat="1" ht="24">
      <c r="A74" s="159" t="s">
        <v>325</v>
      </c>
      <c r="B74" s="160" t="s">
        <v>1397</v>
      </c>
      <c r="C74" s="160">
        <f>ROUND(IF(G77="2016年5月1日后购买",C75/(1+'数据-取费表'!C42)+C76+C77,C75+C76+C77),0)</f>
        <v>0</v>
      </c>
      <c r="D74" s="160" t="s">
        <v>26</v>
      </c>
      <c r="E74" s="1254"/>
      <c r="F74" s="1252"/>
      <c r="G74" s="1252"/>
      <c r="H74" s="172"/>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39" customFormat="1" ht="14.25">
      <c r="A75" s="159" t="s">
        <v>331</v>
      </c>
      <c r="B75" s="160" t="s">
        <v>1398</v>
      </c>
      <c r="C75" s="2350"/>
      <c r="D75" s="160" t="s">
        <v>26</v>
      </c>
      <c r="E75" s="174" t="s">
        <v>1399</v>
      </c>
      <c r="F75" s="2351"/>
      <c r="G75" s="174" t="s">
        <v>1400</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39" customFormat="1" ht="24.75" customHeight="1">
      <c r="A76" s="159" t="s">
        <v>332</v>
      </c>
      <c r="B76" s="175" t="s">
        <v>1401</v>
      </c>
      <c r="C76" s="160">
        <f>IF(F75="购房发票",ROUND(C75*H75*D76,0),0)</f>
        <v>0</v>
      </c>
      <c r="D76" s="2353">
        <v>0.05</v>
      </c>
      <c r="E76" s="3347" t="s">
        <v>1402</v>
      </c>
      <c r="F76" s="3321"/>
      <c r="G76" s="3321"/>
      <c r="H76" s="3372"/>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39"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39" customFormat="1" ht="24.75" customHeight="1">
      <c r="A78" s="159" t="s">
        <v>326</v>
      </c>
      <c r="B78" s="160" t="s">
        <v>1405</v>
      </c>
      <c r="C78" s="2355">
        <f ca="1">ROUND(D45*D78/(1+'数据-取费表'!C42),0)</f>
        <v>1485</v>
      </c>
      <c r="D78" s="2356">
        <f>'数据-取费表'!B43</f>
        <v>6.000000000000001E-3</v>
      </c>
      <c r="E78" s="3331" t="s">
        <v>1406</v>
      </c>
      <c r="F78" s="3332"/>
      <c r="G78" s="3332"/>
      <c r="H78" s="3341"/>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39" customFormat="1" ht="14.25">
      <c r="A79" s="163" t="s">
        <v>334</v>
      </c>
      <c r="B79" s="164" t="s">
        <v>1407</v>
      </c>
      <c r="C79" s="2347">
        <f ca="1">C72-C73</f>
        <v>246016</v>
      </c>
      <c r="D79" s="160" t="s">
        <v>26</v>
      </c>
      <c r="E79" s="1254"/>
      <c r="F79" s="1252"/>
      <c r="G79" s="1252"/>
      <c r="H79" s="172"/>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39" customFormat="1" ht="24">
      <c r="A80" s="163" t="s">
        <v>335</v>
      </c>
      <c r="B80" s="164" t="s">
        <v>1408</v>
      </c>
      <c r="C80" s="2357">
        <f ca="1">IF(C79&lt;=0,0,C79/C73)</f>
        <v>165.66734006734006</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39" customFormat="1" ht="24.75" thickBot="1">
      <c r="A81" s="166" t="s">
        <v>336</v>
      </c>
      <c r="B81" s="167" t="s">
        <v>1409</v>
      </c>
      <c r="C81" s="2358">
        <f ca="1">ROUND(IF(C79&lt;=0,0,IF(C80&gt;=200%,C79*60%-C73*35%,IF(C80&gt;=100%,C79*50%-C73*15%,IF(C80&gt;=50%,C79*40%-C73*5%,IF(C80&lt;50%,C79*30%,0))))),0)</f>
        <v>147090</v>
      </c>
      <c r="D81" s="2359"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39" customFormat="1" ht="7.5" customHeight="1">
      <c r="A82" s="4"/>
      <c r="B82" s="644"/>
      <c r="C82" s="4"/>
      <c r="D82" s="4"/>
      <c r="E82" s="644"/>
      <c r="F82" s="644"/>
      <c r="G82" s="644"/>
      <c r="H82" s="645"/>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39" customFormat="1" ht="15" thickBot="1">
      <c r="A83" s="3373" t="s">
        <v>1410</v>
      </c>
      <c r="B83" s="3374"/>
      <c r="C83" s="3374"/>
      <c r="D83" s="3374"/>
      <c r="E83" s="3374"/>
      <c r="F83" s="3374"/>
      <c r="G83" s="3374"/>
      <c r="H83" s="3374"/>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39" customFormat="1" ht="14.25">
      <c r="A84" s="3352" t="s">
        <v>1375</v>
      </c>
      <c r="B84" s="3353"/>
      <c r="C84" s="1861"/>
      <c r="D84" s="1861" t="s">
        <v>1376</v>
      </c>
      <c r="E84" s="169" t="s">
        <v>1377</v>
      </c>
      <c r="F84" s="170"/>
      <c r="G84" s="170"/>
      <c r="H84" s="181"/>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39" customFormat="1" ht="14.25">
      <c r="A85" s="163" t="s">
        <v>330</v>
      </c>
      <c r="B85" s="164" t="s">
        <v>1395</v>
      </c>
      <c r="C85" s="2347">
        <f ca="1">ROUND(D45/(1+'数据-取费表'!C42),0)</f>
        <v>247501</v>
      </c>
      <c r="D85" s="160" t="s">
        <v>26</v>
      </c>
      <c r="E85" s="1254"/>
      <c r="F85" s="1252"/>
      <c r="G85" s="1252"/>
      <c r="H85" s="182"/>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39" customFormat="1" ht="14.25">
      <c r="A86" s="163" t="s">
        <v>327</v>
      </c>
      <c r="B86" s="153" t="s">
        <v>1396</v>
      </c>
      <c r="C86" s="2347">
        <f ca="1">IF(H88="仅含出让金",C87+C90+C91+C92+C93+C94,C87+C91+C92+C93+C94)</f>
        <v>1485</v>
      </c>
      <c r="D86" s="2360"/>
      <c r="E86" s="1254"/>
      <c r="F86" s="1252"/>
      <c r="G86" s="1252"/>
      <c r="H86" s="182"/>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39" customFormat="1" ht="14.25">
      <c r="A87" s="159" t="s">
        <v>325</v>
      </c>
      <c r="B87" s="160" t="s">
        <v>1411</v>
      </c>
      <c r="C87" s="2355">
        <f>C88+C89</f>
        <v>0</v>
      </c>
      <c r="D87" s="2356"/>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39" customFormat="1" ht="14.25">
      <c r="A88" s="159" t="s">
        <v>331</v>
      </c>
      <c r="B88" s="160" t="s">
        <v>1412</v>
      </c>
      <c r="C88" s="2361"/>
      <c r="D88" s="2356"/>
      <c r="E88" s="183" t="s">
        <v>1413</v>
      </c>
      <c r="F88" s="2144"/>
      <c r="G88" s="184" t="s">
        <v>1414</v>
      </c>
      <c r="H88" s="1680"/>
      <c r="I88" s="1677"/>
      <c r="J88" s="2301" t="s">
        <v>2283</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39" customFormat="1" ht="14.25">
      <c r="A89" s="159" t="s">
        <v>332</v>
      </c>
      <c r="B89" s="160" t="s">
        <v>1403</v>
      </c>
      <c r="C89" s="2355">
        <f>ROUND(C88*D89,0)</f>
        <v>0</v>
      </c>
      <c r="D89" s="2356">
        <f>'数据-取费表'!B48+'数据-取费表'!B49</f>
        <v>3.0499999999999999E-2</v>
      </c>
      <c r="E89" s="183" t="s">
        <v>1415</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39" customFormat="1" ht="14.25">
      <c r="A90" s="159" t="s">
        <v>326</v>
      </c>
      <c r="B90" s="160" t="s">
        <v>1416</v>
      </c>
      <c r="C90" s="2361"/>
      <c r="D90" s="2356"/>
      <c r="E90" s="183" t="str">
        <f>IF(H88="-","土地取得成本中已包含该笔费用"," ")</f>
        <v xml:space="preserve"> </v>
      </c>
      <c r="F90" s="2144"/>
      <c r="G90" s="3413" t="s">
        <v>2128</v>
      </c>
      <c r="H90" s="3414"/>
      <c r="I90" s="1677"/>
      <c r="J90" s="2301" t="s">
        <v>2284</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39" customFormat="1" ht="27.75" customHeight="1">
      <c r="A91" s="159" t="s">
        <v>1417</v>
      </c>
      <c r="B91" s="160" t="s">
        <v>1418</v>
      </c>
      <c r="C91" s="2355">
        <f>IF(H91="——",成本法!C33,I91)</f>
        <v>0</v>
      </c>
      <c r="D91" s="2356"/>
      <c r="E91" s="3331" t="s">
        <v>1419</v>
      </c>
      <c r="F91" s="3332"/>
      <c r="G91" s="3332"/>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39" customFormat="1" ht="25.5" customHeight="1">
      <c r="A92" s="159" t="s">
        <v>1420</v>
      </c>
      <c r="B92" s="160" t="s">
        <v>1421</v>
      </c>
      <c r="C92" s="2355">
        <f>ROUND((C87+C90+C91)*D92,0)</f>
        <v>0</v>
      </c>
      <c r="D92" s="2362"/>
      <c r="E92" s="3331" t="s">
        <v>1422</v>
      </c>
      <c r="F92" s="3332"/>
      <c r="G92" s="3332"/>
      <c r="H92" s="3341"/>
      <c r="I92" s="1677"/>
      <c r="J92" s="2302" t="s">
        <v>2285</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39" customFormat="1" ht="25.5" customHeight="1">
      <c r="A93" s="159" t="s">
        <v>1423</v>
      </c>
      <c r="B93" s="160" t="s">
        <v>1405</v>
      </c>
      <c r="C93" s="2355">
        <f ca="1">ROUND(D45*D93/(1+'数据-取费表'!C42),0)</f>
        <v>1485</v>
      </c>
      <c r="D93" s="2356">
        <f>'数据-取费表'!B43</f>
        <v>6.000000000000001E-3</v>
      </c>
      <c r="E93" s="3331" t="s">
        <v>1406</v>
      </c>
      <c r="F93" s="3332"/>
      <c r="G93" s="3332"/>
      <c r="H93" s="3341"/>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39" customFormat="1" ht="36.75" customHeight="1">
      <c r="A94" s="159" t="s">
        <v>1424</v>
      </c>
      <c r="B94" s="160" t="s">
        <v>1425</v>
      </c>
      <c r="C94" s="2361">
        <f>ROUND((C87+C90+C91)*D94,0)</f>
        <v>0</v>
      </c>
      <c r="D94" s="2356">
        <v>0.2</v>
      </c>
      <c r="E94" s="3342" t="s">
        <v>1426</v>
      </c>
      <c r="F94" s="3343"/>
      <c r="G94" s="3343"/>
      <c r="H94" s="3344"/>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39" customFormat="1" ht="14.25">
      <c r="A95" s="163" t="s">
        <v>334</v>
      </c>
      <c r="B95" s="164" t="s">
        <v>1407</v>
      </c>
      <c r="C95" s="2347">
        <f ca="1">ROUND(C85-C86,0)</f>
        <v>246016</v>
      </c>
      <c r="D95" s="160" t="s">
        <v>26</v>
      </c>
      <c r="E95" s="1254"/>
      <c r="F95" s="1252"/>
      <c r="G95" s="1252"/>
      <c r="H95" s="182"/>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39" customFormat="1" ht="24">
      <c r="A96" s="163" t="s">
        <v>335</v>
      </c>
      <c r="B96" s="164" t="s">
        <v>1408</v>
      </c>
      <c r="C96" s="2357">
        <f ca="1">IF(C95&lt;=0,0,C95/C86)</f>
        <v>165.66734006734006</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39" customFormat="1" ht="24.75" thickBot="1">
      <c r="A97" s="166" t="s">
        <v>336</v>
      </c>
      <c r="B97" s="167" t="s">
        <v>1409</v>
      </c>
      <c r="C97" s="2358">
        <f ca="1">ROUND(IF(C95&lt;=0,0,IF(C96&gt;=200%,C95*60%-C86*35%,IF(C96&gt;=100%,C95*50%-C86*15%,IF(C96&gt;=50%,C95*40%-C86*5%,IF(C96&lt;50%,C95*30%,0))))),0)</f>
        <v>147090</v>
      </c>
      <c r="D97" s="2359"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3"/>
      <c r="C98" s="643"/>
      <c r="D98" s="643"/>
      <c r="E98" s="1463"/>
      <c r="F98" s="1463"/>
      <c r="G98" s="1463"/>
      <c r="H98" s="1464"/>
      <c r="I98" s="119"/>
    </row>
    <row r="99" spans="1:35" ht="21.75" customHeight="1" thickBot="1">
      <c r="A99" s="1461" t="s">
        <v>1427</v>
      </c>
      <c r="B99" s="643"/>
      <c r="C99" s="643"/>
      <c r="D99" s="643"/>
      <c r="E99" s="1463"/>
      <c r="F99" s="1463"/>
      <c r="G99" s="1463"/>
      <c r="H99" s="1464"/>
      <c r="I99" s="119"/>
    </row>
    <row r="100" spans="1:35" ht="18.75" customHeight="1">
      <c r="A100" s="3315" t="s">
        <v>1428</v>
      </c>
      <c r="B100" s="3316"/>
      <c r="C100" s="3316"/>
      <c r="D100" s="3333"/>
      <c r="E100" s="3316" t="s">
        <v>1429</v>
      </c>
      <c r="F100" s="3316"/>
      <c r="G100" s="3316"/>
      <c r="H100" s="3333"/>
      <c r="I100" s="119"/>
    </row>
    <row r="101" spans="1:35" ht="18.75" customHeight="1">
      <c r="A101" s="3394" t="s">
        <v>1430</v>
      </c>
      <c r="B101" s="3395"/>
      <c r="C101" s="2364" t="str">
        <f>C4</f>
        <v>成本法</v>
      </c>
      <c r="D101" s="2365" t="str">
        <f>D4</f>
        <v>假设开发法</v>
      </c>
      <c r="E101" s="3408" t="s">
        <v>1431</v>
      </c>
      <c r="F101" s="3365"/>
      <c r="G101" s="1683" t="s">
        <v>1432</v>
      </c>
      <c r="H101" s="2374">
        <f ca="1">H118</f>
        <v>259876</v>
      </c>
      <c r="I101" s="119"/>
    </row>
    <row r="102" spans="1:35" ht="18.75" customHeight="1">
      <c r="A102" s="3367" t="s">
        <v>1433</v>
      </c>
      <c r="B102" s="2363" t="s">
        <v>1432</v>
      </c>
      <c r="C102" s="2364">
        <f ca="1">IF(D32="楼面单价",ROUND(C19,0),C19)</f>
        <v>285365</v>
      </c>
      <c r="D102" s="2365">
        <f ca="1">IF(D32="楼面单价",ROUND(D19,0),D19)</f>
        <v>234386</v>
      </c>
      <c r="E102" s="3408"/>
      <c r="F102" s="3365"/>
      <c r="G102" s="1683" t="s">
        <v>1434</v>
      </c>
      <c r="H102" s="2334">
        <f ca="1">I118</f>
        <v>24435</v>
      </c>
      <c r="I102" s="119"/>
    </row>
    <row r="103" spans="1:35" ht="42.75" customHeight="1">
      <c r="A103" s="3367"/>
      <c r="B103" s="2363" t="s">
        <v>1434</v>
      </c>
      <c r="C103" s="2366">
        <f ca="1">C20</f>
        <v>26831</v>
      </c>
      <c r="D103" s="2367">
        <f ca="1">D20</f>
        <v>22038</v>
      </c>
      <c r="E103" s="3402" t="s">
        <v>1435</v>
      </c>
      <c r="F103" s="3403"/>
      <c r="G103" s="1684" t="s">
        <v>1436</v>
      </c>
      <c r="H103" s="2374">
        <f>IF(D36="正常操作",H104+H105+H106,H105+H106)</f>
        <v>0</v>
      </c>
      <c r="I103" s="119"/>
    </row>
    <row r="104" spans="1:35" ht="18.75" customHeight="1">
      <c r="A104" s="3367" t="s">
        <v>1437</v>
      </c>
      <c r="B104" s="2368" t="s">
        <v>1432</v>
      </c>
      <c r="C104" s="2369">
        <f ca="1">H118</f>
        <v>259876</v>
      </c>
      <c r="D104" s="2370"/>
      <c r="E104" s="1552" t="s">
        <v>1438</v>
      </c>
      <c r="F104" s="1545"/>
      <c r="G104" s="1684" t="s">
        <v>1436</v>
      </c>
      <c r="H104" s="2375">
        <f>IF(D36="同一抵押权人同一抵押物续贷",C36&amp;"（续贷，未扣减，详见特别提示）",C36)</f>
        <v>0</v>
      </c>
      <c r="I104" s="119"/>
    </row>
    <row r="105" spans="1:35" ht="18.75" customHeight="1" thickBot="1">
      <c r="A105" s="3368"/>
      <c r="B105" s="2371" t="s">
        <v>1434</v>
      </c>
      <c r="C105" s="2372">
        <f ca="1">I118</f>
        <v>24435</v>
      </c>
      <c r="D105" s="2373"/>
      <c r="E105" s="1552" t="s">
        <v>1439</v>
      </c>
      <c r="F105" s="1545"/>
      <c r="G105" s="1684" t="s">
        <v>1436</v>
      </c>
      <c r="H105" s="2376">
        <f>C37</f>
        <v>0</v>
      </c>
      <c r="I105" s="119"/>
    </row>
    <row r="106" spans="1:35" ht="18.75" customHeight="1">
      <c r="A106" s="643" t="s">
        <v>1440</v>
      </c>
      <c r="B106" s="643"/>
      <c r="C106" s="643"/>
      <c r="D106" s="643"/>
      <c r="E106" s="1685" t="s">
        <v>1441</v>
      </c>
      <c r="F106" s="1545"/>
      <c r="G106" s="1684" t="s">
        <v>1436</v>
      </c>
      <c r="H106" s="2376">
        <f>C38</f>
        <v>0</v>
      </c>
      <c r="I106" s="119"/>
    </row>
    <row r="107" spans="1:35" ht="18.75" customHeight="1">
      <c r="A107" s="119"/>
      <c r="B107" s="119"/>
      <c r="C107" s="119"/>
      <c r="D107" s="119"/>
      <c r="E107" s="3364" t="str">
        <f>IF(项目基本情况!E8="已注销","——","3.房地产抵押价值")</f>
        <v>3.房地产抵押价值</v>
      </c>
      <c r="F107" s="3365"/>
      <c r="G107" s="1683" t="s">
        <v>1432</v>
      </c>
      <c r="H107" s="2374">
        <f ca="1">IF(E107="——","——",H101-H103)</f>
        <v>259876</v>
      </c>
      <c r="I107" s="119"/>
    </row>
    <row r="108" spans="1:35" ht="18.75" customHeight="1">
      <c r="A108" s="119"/>
      <c r="B108" s="119"/>
      <c r="C108" s="119"/>
      <c r="D108" s="119"/>
      <c r="E108" s="3364"/>
      <c r="F108" s="3365"/>
      <c r="G108" s="1683" t="s">
        <v>1434</v>
      </c>
      <c r="H108" s="2334">
        <f ca="1">IF(H107=H101,H102,ROUND(H107*10000/'数据-汇总表'!E3,0))</f>
        <v>24435</v>
      </c>
      <c r="I108" s="119"/>
    </row>
    <row r="109" spans="1:35" ht="18.75" customHeight="1">
      <c r="A109" s="119"/>
      <c r="B109" s="119"/>
      <c r="C109" s="119"/>
      <c r="D109" s="119"/>
      <c r="E109" s="3364" t="str">
        <f>IF(项目基本情况!E8="已注销及未注销","4.抵押担保权已注销时的房地产抵押价值",IF(项目基本情况!E8="已注销","3.抵押担保权已注销时的房地产抵押价值","——"))</f>
        <v>——</v>
      </c>
      <c r="F109" s="3365"/>
      <c r="G109" s="1683" t="s">
        <v>1432</v>
      </c>
      <c r="H109" s="2377" t="str">
        <f>IF(E109="——","——",H101-H105-H106)</f>
        <v>——</v>
      </c>
      <c r="I109" s="119"/>
    </row>
    <row r="110" spans="1:35" ht="18.75" customHeight="1">
      <c r="A110" s="119"/>
      <c r="B110" s="119"/>
      <c r="C110" s="119"/>
      <c r="D110" s="119"/>
      <c r="E110" s="3364"/>
      <c r="F110" s="3365"/>
      <c r="G110" s="1683" t="s">
        <v>1434</v>
      </c>
      <c r="H110" s="2334" t="str">
        <f>IF(H109="——","——",ROUND(H109*10000/'数据-汇总表'!E3,0))</f>
        <v>——</v>
      </c>
      <c r="I110" s="119"/>
    </row>
    <row r="111" spans="1:35" ht="18.75" customHeight="1">
      <c r="A111" s="119"/>
      <c r="B111" s="119"/>
      <c r="C111" s="119"/>
      <c r="D111" s="119"/>
      <c r="E111" s="3396" t="str">
        <f>IF(项目基本情况!E9="抵押净值",IF(OR(项目基本情况!E8="已注销",项目基本情况!E8="房地产抵押价值"),"4.抵押净值","5.抵押净值"),"——")</f>
        <v>——</v>
      </c>
      <c r="F111" s="3366"/>
      <c r="G111" s="1683" t="s">
        <v>1432</v>
      </c>
      <c r="H111" s="2374" t="str">
        <f>IF(E111="——","——",N59)</f>
        <v>——</v>
      </c>
      <c r="I111" s="119"/>
    </row>
    <row r="112" spans="1:35" ht="18.75" customHeight="1" thickBot="1">
      <c r="A112" s="119"/>
      <c r="B112" s="119"/>
      <c r="C112" s="119"/>
      <c r="D112" s="119"/>
      <c r="E112" s="3397"/>
      <c r="F112" s="3398"/>
      <c r="G112" s="1686" t="s">
        <v>1434</v>
      </c>
      <c r="H112" s="2378" t="str">
        <f>IF(E111="——","——",N61)</f>
        <v>——</v>
      </c>
      <c r="I112" s="119"/>
    </row>
    <row r="113" spans="1:27" ht="18.75" customHeight="1">
      <c r="A113" s="119"/>
      <c r="B113" s="119"/>
      <c r="C113" s="119"/>
      <c r="D113" s="119"/>
      <c r="E113" s="3369" t="s">
        <v>1440</v>
      </c>
      <c r="F113" s="3369"/>
      <c r="G113" s="3369"/>
      <c r="H113" s="3369"/>
      <c r="I113" s="119"/>
    </row>
    <row r="114" spans="1:27" ht="3.75" customHeight="1">
      <c r="A114" s="643"/>
      <c r="B114" s="643"/>
      <c r="C114" s="643"/>
      <c r="D114" s="643"/>
      <c r="E114" s="1667"/>
      <c r="F114" s="1667"/>
      <c r="G114" s="1667"/>
      <c r="H114" s="1667"/>
      <c r="I114" s="643"/>
    </row>
    <row r="115" spans="1:27" ht="18.75" customHeight="1">
      <c r="A115" s="3379" t="s">
        <v>1442</v>
      </c>
      <c r="B115" s="3380"/>
      <c r="C115" s="3380"/>
      <c r="D115" s="3380"/>
      <c r="E115" s="3380"/>
      <c r="F115" s="3380"/>
      <c r="G115" s="3380"/>
      <c r="H115" s="3380"/>
      <c r="I115" s="3381"/>
    </row>
    <row r="116" spans="1:27" ht="27" customHeight="1">
      <c r="A116" s="3335" t="s">
        <v>1443</v>
      </c>
      <c r="B116" s="3370" t="s">
        <v>1444</v>
      </c>
      <c r="C116" s="3370" t="s">
        <v>1445</v>
      </c>
      <c r="D116" s="3383" t="s">
        <v>1446</v>
      </c>
      <c r="E116" s="3384"/>
      <c r="F116" s="3378" t="s">
        <v>1447</v>
      </c>
      <c r="G116" s="3378"/>
      <c r="H116" s="3335" t="s">
        <v>1448</v>
      </c>
      <c r="I116" s="3335"/>
    </row>
    <row r="117" spans="1:27" ht="18.75" customHeight="1">
      <c r="A117" s="3335"/>
      <c r="B117" s="3371"/>
      <c r="C117" s="3371"/>
      <c r="D117" s="2146" t="s">
        <v>1449</v>
      </c>
      <c r="E117" s="2146" t="s">
        <v>1450</v>
      </c>
      <c r="F117" s="2146" t="s">
        <v>1449</v>
      </c>
      <c r="G117" s="2146" t="s">
        <v>1451</v>
      </c>
      <c r="H117" s="2146" t="s">
        <v>1449</v>
      </c>
      <c r="I117" s="2146" t="s">
        <v>1451</v>
      </c>
    </row>
    <row r="118" spans="1:27" ht="24.75" customHeight="1">
      <c r="A118" s="2379" t="str">
        <f>项目基本情况!S2</f>
        <v>北京市顺义区顺义新城第1街区01-01-09地块R2二类居住用地、01-01-04地块A334托幼用地出让国有建设用地使用权及在建建筑物房地产</v>
      </c>
      <c r="B118" s="2146">
        <f>M18</f>
        <v>106355.86000000013</v>
      </c>
      <c r="C118" s="2146">
        <f>M19</f>
        <v>39582.79</v>
      </c>
      <c r="D118" s="2146">
        <f ca="1">ROUND(IF(D32="总价",C34,E118*B118/10000),0)</f>
        <v>207381</v>
      </c>
      <c r="E118" s="2146">
        <f ca="1">ROUND(IF(C33="自定义",IF(D32="楼面单价",C34,D118*10000/B118),I118-G118),0)</f>
        <v>19499</v>
      </c>
      <c r="F118" s="2146">
        <f ca="1">ROUND(IF(D32="总价",C35,G118*B118/10000),0)</f>
        <v>52495</v>
      </c>
      <c r="G118" s="2146">
        <f ca="1">ROUND(IF(D32="楼面单价",C35,F118*10000/B118),0)</f>
        <v>4936</v>
      </c>
      <c r="H118" s="2146">
        <f ca="1">ROUND(IF(D32="总价",C32,I118*B118/10000),0)</f>
        <v>259876</v>
      </c>
      <c r="I118" s="2146">
        <f ca="1">ROUND(IF(D32="楼面单价",C32,H118*10000/B118),0)</f>
        <v>24435</v>
      </c>
    </row>
    <row r="119" spans="1:27" ht="18.75" customHeight="1">
      <c r="A119" s="3335" t="s">
        <v>1452</v>
      </c>
      <c r="B119" s="3335"/>
      <c r="C119" s="3335"/>
      <c r="D119" s="3375" t="str">
        <f ca="1">NUMBERSTRING(INT(D118*10000),2)&amp;"元整"</f>
        <v>贰拾亿柒仟叁佰捌拾壹万元整</v>
      </c>
      <c r="E119" s="3377"/>
      <c r="F119" s="3375" t="str">
        <f ca="1">NUMBERSTRING(INT(F118*10000),2)&amp;"元整"</f>
        <v>伍亿贰仟肆佰玖拾伍万元整</v>
      </c>
      <c r="G119" s="3377"/>
      <c r="H119" s="3375" t="str">
        <f ca="1">NUMBERSTRING(INT(H118*10000),2)&amp;"元整"</f>
        <v>贰拾伍亿玖仟捌佰柒拾陆万元整</v>
      </c>
      <c r="I119" s="3377"/>
    </row>
    <row r="120" spans="1:27" ht="18.75" customHeight="1">
      <c r="A120" s="3399" t="str">
        <f>IF(项目基本情况!B9="房地产市场价值","",MID(E103,3,LEN(E103)-2))</f>
        <v>估价师知悉的法定优先受偿款</v>
      </c>
      <c r="B120" s="3400"/>
      <c r="C120" s="3401"/>
      <c r="D120" s="3399">
        <f>H103</f>
        <v>0</v>
      </c>
      <c r="E120" s="3400"/>
      <c r="F120" s="3400"/>
      <c r="G120" s="3400"/>
      <c r="H120" s="3400"/>
      <c r="I120" s="3401"/>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75" t="s">
        <v>1452</v>
      </c>
      <c r="B121" s="3376"/>
      <c r="C121" s="3377"/>
      <c r="D121" s="3375" t="str">
        <f>IF(D120=0,"零元整",NUMBERSTRING(INT(D120*10000),2)&amp;"元整")</f>
        <v>零元整</v>
      </c>
      <c r="E121" s="3376"/>
      <c r="F121" s="3376"/>
      <c r="G121" s="3376"/>
      <c r="H121" s="3376"/>
      <c r="I121" s="3377"/>
      <c r="AA121" s="681"/>
    </row>
    <row r="122" spans="1:27" ht="18.75" customHeight="1">
      <c r="A122" s="3366" t="str">
        <f>IF(项目基本情况!B9="房地产市场价值","",MID(E107,3,LEN(E107)-2))</f>
        <v>房地产抵押价值</v>
      </c>
      <c r="B122" s="3366"/>
      <c r="C122" s="3366"/>
      <c r="D122" s="3399">
        <f ca="1">H107</f>
        <v>259876</v>
      </c>
      <c r="E122" s="3400"/>
      <c r="F122" s="3400"/>
      <c r="G122" s="3400"/>
      <c r="H122" s="3400"/>
      <c r="I122" s="3401"/>
      <c r="AA122" s="681"/>
    </row>
    <row r="123" spans="1:27" ht="18.75" customHeight="1">
      <c r="A123" s="3335" t="s">
        <v>1452</v>
      </c>
      <c r="B123" s="3335"/>
      <c r="C123" s="3335"/>
      <c r="D123" s="3375" t="str">
        <f ca="1">NUMBERSTRING(INT(D122*10000),2)&amp;"元整"</f>
        <v>贰拾伍亿玖仟捌佰柒拾陆万元整</v>
      </c>
      <c r="E123" s="3376"/>
      <c r="F123" s="3376"/>
      <c r="G123" s="3376"/>
      <c r="H123" s="3376"/>
      <c r="I123" s="3377"/>
      <c r="AA123" s="681"/>
    </row>
    <row r="124" spans="1:27" ht="18.75" customHeight="1">
      <c r="A124" s="3366" t="str">
        <f>IF(项目基本情况!B9="房地产市场价值","",MID(E109,3,LEN(E109)-2))</f>
        <v/>
      </c>
      <c r="B124" s="3366"/>
      <c r="C124" s="3366"/>
      <c r="D124" s="3399" t="str">
        <f>H109</f>
        <v>——</v>
      </c>
      <c r="E124" s="3400"/>
      <c r="F124" s="3400"/>
      <c r="G124" s="3400"/>
      <c r="H124" s="3400"/>
      <c r="I124" s="3401"/>
      <c r="AA124" s="681"/>
    </row>
    <row r="125" spans="1:27" ht="18.75" customHeight="1">
      <c r="A125" s="3335" t="s">
        <v>1452</v>
      </c>
      <c r="B125" s="3335"/>
      <c r="C125" s="3335"/>
      <c r="D125" s="3375" t="e">
        <f>NUMBERSTRING(INT(D124*10000),2)&amp;"元整"</f>
        <v>#VALUE!</v>
      </c>
      <c r="E125" s="3376"/>
      <c r="F125" s="3376"/>
      <c r="G125" s="3376"/>
      <c r="H125" s="3376"/>
      <c r="I125" s="3377"/>
      <c r="AA125" s="681"/>
    </row>
    <row r="126" spans="1:27" ht="18.75" customHeight="1">
      <c r="A126" s="3366" t="str">
        <f>IF(项目基本情况!B9="房地产市场价值","",MID(E111,3,LEN(E111)-2))</f>
        <v/>
      </c>
      <c r="B126" s="3366"/>
      <c r="C126" s="3366"/>
      <c r="D126" s="3399" t="str">
        <f>H111</f>
        <v>——</v>
      </c>
      <c r="E126" s="3400"/>
      <c r="F126" s="3400"/>
      <c r="G126" s="3400"/>
      <c r="H126" s="3400"/>
      <c r="I126" s="3401"/>
      <c r="AA126" s="681"/>
    </row>
    <row r="127" spans="1:27" ht="18.75" customHeight="1">
      <c r="A127" s="3335" t="s">
        <v>1452</v>
      </c>
      <c r="B127" s="3335"/>
      <c r="C127" s="3335"/>
      <c r="D127" s="3375" t="e">
        <f>NUMBERSTRING(INT(D126*10000),2)&amp;"元整"</f>
        <v>#VALUE!</v>
      </c>
      <c r="E127" s="3376"/>
      <c r="F127" s="3376"/>
      <c r="G127" s="3376"/>
      <c r="H127" s="3376"/>
      <c r="I127" s="3377"/>
      <c r="AA127" s="681"/>
    </row>
    <row r="128" spans="1:27" ht="21.75" customHeight="1">
      <c r="A128" s="3382" t="s">
        <v>1453</v>
      </c>
      <c r="B128" s="3382"/>
      <c r="C128" s="3382"/>
      <c r="D128" s="3382"/>
      <c r="E128" s="3382"/>
      <c r="F128" s="3382"/>
      <c r="G128" s="3382"/>
      <c r="H128" s="3382"/>
      <c r="I128" s="3382"/>
      <c r="AA128" s="681"/>
    </row>
    <row r="129" spans="1:35" ht="21.75" customHeight="1">
      <c r="A129" s="1687" t="s">
        <v>1454</v>
      </c>
      <c r="B129" s="1688"/>
      <c r="C129" s="1689" t="s">
        <v>1455</v>
      </c>
      <c r="D129" s="1690"/>
      <c r="E129" s="1690"/>
      <c r="F129" s="1690"/>
      <c r="G129" s="1690"/>
      <c r="H129" s="1691"/>
      <c r="I129" s="1692"/>
      <c r="AA129" s="681"/>
    </row>
    <row r="130" spans="1:35" ht="21.75" customHeight="1">
      <c r="A130" s="1693">
        <v>1</v>
      </c>
      <c r="B130" s="1694"/>
      <c r="C130" s="1694"/>
      <c r="D130" s="685"/>
      <c r="E130" s="685"/>
      <c r="F130" s="685"/>
      <c r="G130" s="685"/>
      <c r="H130" s="684"/>
      <c r="I130" s="1695"/>
      <c r="AA130" s="681"/>
    </row>
    <row r="131" spans="1:35" ht="21.75" customHeight="1">
      <c r="A131" s="1693">
        <v>2</v>
      </c>
      <c r="B131" s="1694"/>
      <c r="C131" s="1694"/>
      <c r="D131" s="685"/>
      <c r="E131" s="685"/>
      <c r="F131" s="685"/>
      <c r="G131" s="685"/>
      <c r="H131" s="684"/>
      <c r="I131" s="1695"/>
      <c r="AA131" s="681"/>
    </row>
    <row r="132" spans="1:35" ht="21.75" customHeight="1">
      <c r="A132" s="1693">
        <v>3</v>
      </c>
      <c r="B132" s="1694"/>
      <c r="C132" s="1694"/>
      <c r="D132" s="685"/>
      <c r="E132" s="685"/>
      <c r="F132" s="685"/>
      <c r="G132" s="685"/>
      <c r="H132" s="684"/>
      <c r="I132" s="1695"/>
      <c r="AA132" s="681"/>
    </row>
    <row r="133" spans="1:35" ht="21.75" customHeight="1">
      <c r="A133" s="1696"/>
      <c r="B133" s="1697"/>
      <c r="C133" s="1697"/>
      <c r="D133" s="1698"/>
      <c r="E133" s="1698"/>
      <c r="F133" s="1698"/>
      <c r="G133" s="1698"/>
      <c r="H133" s="1699"/>
      <c r="I133" s="1700"/>
    </row>
    <row r="134" spans="1:35" ht="21.75" customHeight="1">
      <c r="A134" s="1694"/>
      <c r="B134" s="1694"/>
      <c r="C134" s="1694"/>
      <c r="D134" s="685"/>
      <c r="E134" s="685"/>
      <c r="F134" s="685"/>
      <c r="G134" s="685"/>
      <c r="H134" s="684"/>
      <c r="I134" s="681"/>
    </row>
    <row r="135" spans="1:35" ht="21.75" customHeight="1">
      <c r="A135" s="681"/>
      <c r="B135" s="681"/>
      <c r="C135" s="681"/>
      <c r="D135" s="681"/>
      <c r="E135" s="681"/>
      <c r="F135" s="1701" t="s">
        <v>1456</v>
      </c>
      <c r="G135" s="1702"/>
      <c r="H135" s="1702"/>
      <c r="I135" s="1703" t="s">
        <v>1457</v>
      </c>
    </row>
    <row r="136" spans="1:35" ht="21.75" customHeight="1">
      <c r="A136" s="681"/>
      <c r="B136" s="1704" t="s">
        <v>1458</v>
      </c>
      <c r="C136" s="681"/>
      <c r="D136" s="681"/>
      <c r="E136" s="681"/>
      <c r="F136" s="681"/>
      <c r="G136" s="681"/>
      <c r="H136" s="681"/>
      <c r="I136" s="681"/>
    </row>
    <row r="137" spans="1:35" ht="21.75" customHeight="1">
      <c r="A137" s="681"/>
      <c r="B137" s="681"/>
      <c r="C137" s="681"/>
      <c r="D137" s="681"/>
      <c r="E137" s="681"/>
      <c r="F137" s="681"/>
      <c r="G137" s="681"/>
      <c r="H137" s="681"/>
      <c r="I137" s="681"/>
    </row>
    <row r="138" spans="1:35" ht="21.75" customHeight="1">
      <c r="A138" s="681"/>
      <c r="B138" s="1702"/>
      <c r="C138" s="1702"/>
      <c r="D138" s="1702"/>
      <c r="E138" s="1702"/>
      <c r="F138" s="1702"/>
      <c r="G138" s="1702"/>
      <c r="H138" s="1702"/>
      <c r="I138" s="1703" t="s">
        <v>1459</v>
      </c>
    </row>
    <row r="139" spans="1:35" ht="21.75" customHeight="1">
      <c r="A139" s="681"/>
      <c r="B139" s="1704" t="s">
        <v>1460</v>
      </c>
      <c r="C139" s="681"/>
      <c r="D139" s="681"/>
      <c r="E139" s="681"/>
      <c r="F139" s="681"/>
      <c r="G139" s="681"/>
      <c r="H139" s="681"/>
      <c r="I139" s="681"/>
    </row>
    <row r="140" spans="1:35" ht="21.75" customHeight="1">
      <c r="A140" s="681"/>
      <c r="B140" s="1704"/>
      <c r="C140" s="681"/>
      <c r="D140" s="681"/>
      <c r="E140" s="681"/>
      <c r="F140" s="681"/>
      <c r="G140" s="681"/>
      <c r="H140" s="681"/>
      <c r="I140" s="681"/>
    </row>
    <row r="141" spans="1:35" ht="21.75" customHeight="1">
      <c r="A141" s="681"/>
      <c r="B141" s="1702"/>
      <c r="C141" s="1702"/>
      <c r="D141" s="1702"/>
      <c r="E141" s="1702"/>
      <c r="F141" s="1702"/>
      <c r="G141" s="1702"/>
      <c r="H141" s="1702"/>
      <c r="I141" s="1703" t="s">
        <v>1459</v>
      </c>
    </row>
    <row r="142" spans="1:35" ht="21.75" customHeight="1">
      <c r="A142" s="681"/>
      <c r="B142" s="1704"/>
      <c r="C142" s="1705"/>
      <c r="D142" s="1706"/>
      <c r="E142" s="1706"/>
      <c r="F142" s="1610"/>
      <c r="G142" s="681"/>
      <c r="H142" s="681"/>
      <c r="I142" s="681"/>
    </row>
    <row r="143" spans="1:35" s="120" customFormat="1" ht="21.75" customHeight="1">
      <c r="A143" s="681"/>
      <c r="B143" s="1704"/>
      <c r="C143" s="1705"/>
      <c r="D143" s="1706"/>
      <c r="E143" s="1706"/>
      <c r="F143" s="1610"/>
      <c r="G143" s="681"/>
      <c r="H143" s="681"/>
      <c r="I143" s="681"/>
      <c r="J143" s="681"/>
      <c r="K143" s="681"/>
      <c r="L143" s="681"/>
      <c r="M143" s="681"/>
      <c r="N143" s="681"/>
      <c r="O143" s="681"/>
      <c r="P143" s="681"/>
      <c r="Q143" s="681"/>
      <c r="R143" s="681"/>
      <c r="S143" s="681"/>
      <c r="T143" s="681"/>
      <c r="U143" s="681"/>
      <c r="V143" s="681"/>
      <c r="W143" s="681"/>
      <c r="X143" s="681"/>
      <c r="Y143" s="681"/>
      <c r="Z143" s="681"/>
      <c r="AA143" s="681"/>
      <c r="AB143" s="681"/>
      <c r="AC143" s="681"/>
      <c r="AD143" s="681"/>
      <c r="AE143" s="681"/>
      <c r="AF143" s="681"/>
      <c r="AG143" s="681"/>
      <c r="AH143" s="681"/>
      <c r="AI143" s="681"/>
    </row>
    <row r="144" spans="1:35" s="120" customFormat="1" ht="21.75" customHeight="1">
      <c r="A144" s="681"/>
      <c r="B144" s="681"/>
      <c r="C144" s="681"/>
      <c r="D144" s="681"/>
      <c r="E144" s="681"/>
      <c r="F144" s="681"/>
      <c r="G144" s="681"/>
      <c r="H144" s="681"/>
      <c r="I144" s="681"/>
      <c r="J144" s="681"/>
      <c r="K144" s="681"/>
      <c r="L144" s="681"/>
      <c r="M144" s="681"/>
      <c r="N144" s="681"/>
      <c r="O144" s="681"/>
      <c r="P144" s="681"/>
      <c r="Q144" s="681"/>
      <c r="R144" s="681"/>
      <c r="S144" s="681"/>
      <c r="T144" s="681"/>
      <c r="U144" s="681"/>
      <c r="V144" s="681"/>
      <c r="W144" s="681"/>
      <c r="X144" s="681"/>
      <c r="Y144" s="681"/>
      <c r="Z144" s="681"/>
      <c r="AA144" s="681"/>
      <c r="AB144" s="681"/>
      <c r="AC144" s="681"/>
      <c r="AD144" s="681"/>
      <c r="AE144" s="681"/>
      <c r="AF144" s="681"/>
      <c r="AG144" s="681"/>
      <c r="AH144" s="681"/>
      <c r="AI144" s="681"/>
    </row>
    <row r="145" spans="1:35" s="120" customFormat="1" ht="21.75" customHeight="1">
      <c r="A145" s="681"/>
      <c r="B145" s="681"/>
      <c r="C145" s="681"/>
      <c r="D145" s="681"/>
      <c r="E145" s="681"/>
      <c r="F145" s="681"/>
      <c r="G145" s="681"/>
      <c r="H145" s="681"/>
      <c r="I145" s="681"/>
      <c r="J145" s="681"/>
      <c r="K145" s="681"/>
      <c r="L145" s="681"/>
      <c r="M145" s="681"/>
      <c r="N145" s="681"/>
      <c r="O145" s="681"/>
      <c r="P145" s="681"/>
      <c r="Q145" s="681"/>
      <c r="R145" s="681"/>
      <c r="S145" s="681"/>
      <c r="T145" s="681"/>
      <c r="U145" s="681"/>
      <c r="V145" s="681"/>
      <c r="W145" s="681"/>
      <c r="X145" s="681"/>
      <c r="Y145" s="681"/>
      <c r="Z145" s="681"/>
      <c r="AA145" s="681"/>
      <c r="AB145" s="681"/>
      <c r="AC145" s="681"/>
      <c r="AD145" s="681"/>
      <c r="AE145" s="681"/>
      <c r="AF145" s="681"/>
      <c r="AG145" s="681"/>
      <c r="AH145" s="681"/>
      <c r="AI145" s="681"/>
    </row>
    <row r="146" spans="1:35" s="681" customFormat="1" ht="21.75" customHeight="1"/>
    <row r="147" spans="1:35" s="681" customFormat="1" ht="21.75" customHeight="1"/>
    <row r="148" spans="1:35" s="681" customFormat="1" ht="21.75" customHeight="1"/>
    <row r="149" spans="1:35" s="681" customFormat="1" ht="21.75" customHeight="1"/>
    <row r="150" spans="1:35" s="681" customFormat="1" ht="21.75" customHeight="1"/>
    <row r="151" spans="1:35" s="681" customFormat="1" ht="21.75" customHeight="1"/>
    <row r="152" spans="1:35" s="681" customFormat="1" ht="21.75" customHeight="1"/>
    <row r="153" spans="1:35" s="681" customFormat="1" ht="21.75" customHeight="1"/>
    <row r="154" spans="1:35" s="681" customFormat="1" ht="21.75" customHeight="1"/>
    <row r="155" spans="1:35" s="681" customFormat="1" ht="21.75" customHeight="1"/>
    <row r="156" spans="1:35" s="681" customFormat="1" ht="21.75" customHeight="1"/>
    <row r="157" spans="1:35" s="681" customFormat="1" ht="21.75" customHeight="1"/>
    <row r="158" spans="1:35" s="681" customFormat="1" ht="21.75" customHeight="1"/>
    <row r="159" spans="1:35" s="681" customFormat="1" ht="21.75" customHeight="1"/>
    <row r="160" spans="1:35" s="681" customFormat="1" ht="21.75" customHeight="1"/>
    <row r="161" s="681" customFormat="1" ht="21.75" customHeight="1"/>
    <row r="162" s="681" customFormat="1" ht="21.75" customHeight="1"/>
    <row r="163" s="681" customFormat="1" ht="21.75" customHeight="1"/>
    <row r="164" s="681" customFormat="1" ht="21.75" customHeight="1"/>
    <row r="165" s="681" customFormat="1" ht="21.75" customHeight="1"/>
    <row r="166" s="681" customFormat="1" ht="21.75" customHeight="1"/>
    <row r="167" s="681" customFormat="1" ht="21.75" customHeight="1"/>
    <row r="168" s="681" customFormat="1" ht="21.75" customHeight="1"/>
    <row r="169" s="681" customFormat="1" ht="21.75" customHeight="1"/>
    <row r="170" s="681" customFormat="1" ht="21.75" customHeight="1"/>
    <row r="171" s="681" customFormat="1" ht="21.75" customHeight="1"/>
    <row r="172" s="681" customFormat="1" ht="21.75" customHeight="1"/>
    <row r="173" s="681" customFormat="1" ht="21.75" customHeight="1"/>
    <row r="174" s="681" customFormat="1" ht="21.75" customHeight="1"/>
    <row r="175" s="681" customFormat="1" ht="21.75" customHeight="1"/>
    <row r="176" s="681" customFormat="1" ht="21.75" customHeight="1"/>
    <row r="177" s="681" customFormat="1" ht="21.75" customHeight="1"/>
    <row r="178" s="681" customFormat="1" ht="21.75" customHeight="1"/>
    <row r="179" s="681" customFormat="1" ht="21.75" customHeight="1"/>
    <row r="180" s="681" customFormat="1" ht="21.75" customHeight="1"/>
    <row r="181" s="681" customFormat="1" ht="21.75" customHeight="1"/>
    <row r="182" s="681" customFormat="1" ht="21.75" customHeight="1"/>
    <row r="183" s="681" customFormat="1" ht="21.75" customHeight="1"/>
    <row r="184" s="681" customFormat="1" ht="21.75" customHeight="1"/>
    <row r="185" s="681" customFormat="1" ht="21.75" customHeight="1"/>
    <row r="186" s="681" customFormat="1" ht="21.75" customHeight="1"/>
    <row r="187" s="681" customFormat="1" ht="21.75" customHeight="1"/>
    <row r="188" s="681" customFormat="1" ht="21.75" customHeight="1"/>
    <row r="189" s="681" customFormat="1" ht="21.75" customHeight="1"/>
    <row r="190" s="681" customFormat="1" ht="21.75" customHeight="1"/>
    <row r="191" s="681" customFormat="1" ht="21.75" customHeight="1"/>
    <row r="192" s="681" customFormat="1" ht="21.75" customHeight="1"/>
    <row r="193" s="681" customFormat="1" ht="21.75" customHeight="1"/>
    <row r="194" s="681" customFormat="1" ht="21.75" customHeight="1"/>
    <row r="195" s="681" customFormat="1" ht="21.75" customHeight="1"/>
    <row r="196" s="681" customFormat="1" ht="21.75" customHeight="1"/>
    <row r="197" s="681" customFormat="1" ht="21.75" customHeight="1"/>
    <row r="198" s="681" customFormat="1" ht="21.75" customHeight="1"/>
    <row r="199" s="681" customFormat="1" ht="21.75" customHeight="1"/>
    <row r="200" s="681" customFormat="1" ht="21.75" customHeight="1"/>
    <row r="201" s="681" customFormat="1" ht="21.75" customHeight="1"/>
    <row r="202" s="681" customFormat="1" ht="21.75" customHeight="1"/>
    <row r="203" s="681" customFormat="1" ht="21.75" customHeight="1"/>
    <row r="204" s="681" customFormat="1" ht="21.75" customHeight="1"/>
    <row r="205" s="681" customFormat="1" ht="21.75" customHeight="1"/>
    <row r="206" s="681" customFormat="1" ht="21.75" customHeight="1"/>
    <row r="207" s="681" customFormat="1" ht="21.75" customHeight="1"/>
    <row r="208" s="681" customFormat="1" ht="21.75" customHeight="1"/>
    <row r="209" s="681" customFormat="1" ht="21.75" customHeight="1"/>
    <row r="210" s="681" customFormat="1" ht="21.75" customHeight="1"/>
    <row r="211" s="681" customFormat="1" ht="21.75" customHeight="1"/>
    <row r="212" s="681" customFormat="1" ht="21.75" customHeight="1"/>
    <row r="213" s="681" customFormat="1" ht="21.75" customHeight="1"/>
    <row r="214" s="681" customFormat="1" ht="21.75" customHeight="1"/>
    <row r="215" s="681" customFormat="1" ht="21.75" customHeight="1"/>
    <row r="216" s="681" customFormat="1" ht="21.75" customHeight="1"/>
    <row r="217" s="681" customFormat="1" ht="21.75" customHeight="1"/>
    <row r="218" s="681" customFormat="1" ht="21.75" customHeight="1"/>
    <row r="219" s="681" customFormat="1" ht="21.75" customHeight="1"/>
    <row r="220" s="681" customFormat="1" ht="21.75" customHeight="1"/>
    <row r="221" s="681" customFormat="1" ht="21.75" customHeight="1"/>
    <row r="222" s="681" customFormat="1" ht="21.75" customHeight="1"/>
    <row r="223" s="681" customFormat="1" ht="21.75" customHeight="1"/>
    <row r="224" s="681" customFormat="1" ht="21.75" customHeight="1"/>
    <row r="225" s="681" customFormat="1" ht="21.75" customHeight="1"/>
    <row r="226" s="681" customFormat="1" ht="21.75" customHeight="1"/>
    <row r="227" s="681" customFormat="1" ht="21.75" customHeight="1"/>
    <row r="228" s="681" customFormat="1" ht="21.75" customHeight="1"/>
    <row r="229" s="681" customFormat="1" ht="21.75" customHeight="1"/>
    <row r="230" s="681" customFormat="1" ht="21.75" customHeight="1"/>
    <row r="231" s="681" customFormat="1" ht="21.75" customHeight="1"/>
    <row r="232" s="681" customFormat="1" ht="21.75" customHeight="1"/>
    <row r="233" s="681" customFormat="1" ht="21.75" customHeight="1"/>
    <row r="234" s="681" customFormat="1" ht="21.75" customHeight="1"/>
    <row r="235" s="681" customFormat="1" ht="21.75" customHeight="1"/>
    <row r="236" s="681" customFormat="1" ht="21.75" customHeight="1"/>
    <row r="237" s="681" customFormat="1" ht="21.75" customHeight="1"/>
    <row r="238" s="681" customFormat="1" ht="21.75" customHeight="1"/>
    <row r="239" s="681" customFormat="1" ht="21.75" customHeight="1"/>
    <row r="240" s="681" customFormat="1" ht="21.75" customHeight="1"/>
    <row r="241" s="681" customFormat="1" ht="21.75" customHeight="1"/>
    <row r="242" s="681" customFormat="1" ht="21.75" customHeight="1"/>
    <row r="243" s="681" customFormat="1" ht="21.75" customHeight="1"/>
    <row r="244" s="681" customFormat="1" ht="21.75" customHeight="1"/>
    <row r="245" s="681" customFormat="1" ht="21.75" customHeight="1"/>
    <row r="246" s="681" customFormat="1" ht="21.75" customHeight="1"/>
    <row r="247" s="681" customFormat="1" ht="21.75" customHeight="1"/>
    <row r="248" s="681" customFormat="1" ht="21.75" customHeight="1"/>
    <row r="249" s="681" customFormat="1" ht="21.75" customHeight="1"/>
    <row r="250" s="681" customFormat="1" ht="21.75" customHeight="1"/>
    <row r="251" s="681" customFormat="1" ht="21.75" customHeight="1"/>
    <row r="252" s="681" customFormat="1" ht="21.75" customHeight="1"/>
    <row r="253" s="681" customFormat="1" ht="21.75" customHeight="1"/>
    <row r="254" s="681" customFormat="1" ht="21.75" customHeight="1"/>
    <row r="255" s="681" customFormat="1" ht="21.75" customHeight="1"/>
    <row r="256" s="681" customFormat="1" ht="21.75" customHeight="1"/>
    <row r="257" s="681" customFormat="1" ht="21.75" customHeight="1"/>
    <row r="258" s="681" customFormat="1" ht="21.75" customHeight="1"/>
    <row r="259" s="681" customFormat="1" ht="21.75" customHeight="1"/>
    <row r="260" s="681" customFormat="1" ht="21.75" customHeight="1"/>
    <row r="261" s="681" customFormat="1" ht="21.75" customHeight="1"/>
    <row r="262" s="681" customFormat="1" ht="21.75" customHeight="1"/>
    <row r="263" s="681" customFormat="1" ht="21.75" customHeight="1"/>
    <row r="264" s="681" customFormat="1" ht="21.75" customHeight="1"/>
    <row r="265" s="681" customFormat="1" ht="21.75" customHeight="1"/>
    <row r="266" s="681" customFormat="1" ht="21.75" customHeight="1"/>
    <row r="267" s="681" customFormat="1" ht="21.75" customHeight="1"/>
    <row r="268" s="681" customFormat="1" ht="21.75" customHeight="1"/>
    <row r="269" s="681" customFormat="1" ht="21.75" customHeight="1"/>
    <row r="270" s="681" customFormat="1" ht="21.75" customHeight="1"/>
    <row r="271" s="681" customFormat="1" ht="21.75" customHeight="1"/>
    <row r="272" s="681" customFormat="1" ht="21.75" customHeight="1"/>
    <row r="273" s="681" customFormat="1" ht="21.75" customHeight="1"/>
    <row r="274" s="681" customFormat="1" ht="21.75" customHeight="1"/>
    <row r="275" s="681" customFormat="1" ht="21.75" customHeight="1"/>
    <row r="276" s="681" customFormat="1" ht="21.75" customHeight="1"/>
    <row r="277" s="681" customFormat="1" ht="21.75" customHeight="1"/>
    <row r="278" s="681" customFormat="1" ht="21.75" customHeight="1"/>
    <row r="279" s="681" customFormat="1" ht="21.75" customHeight="1"/>
    <row r="280" s="681" customFormat="1" ht="21.75" customHeight="1"/>
    <row r="281" s="681" customFormat="1" ht="21.75" customHeight="1"/>
    <row r="282" s="681" customFormat="1" ht="21.75" customHeight="1"/>
    <row r="283" s="681" customFormat="1" ht="21.75" customHeight="1"/>
    <row r="284" s="681" customFormat="1" ht="21.75" customHeight="1"/>
    <row r="285" s="681" customFormat="1" ht="21.75" customHeight="1"/>
    <row r="286" s="681" customFormat="1" ht="21.75" customHeight="1"/>
    <row r="287" s="681" customFormat="1" ht="21.75" customHeight="1"/>
    <row r="288" s="681" customFormat="1" ht="21.75" customHeight="1"/>
    <row r="289" s="681" customFormat="1" ht="21.75" customHeight="1"/>
    <row r="290" s="681" customFormat="1" ht="21.75" customHeight="1"/>
    <row r="291" s="681" customFormat="1" ht="21.75" customHeight="1"/>
    <row r="292" s="681" customFormat="1" ht="21.75" customHeight="1"/>
    <row r="293" s="681" customFormat="1" ht="21.75" customHeight="1"/>
    <row r="294" s="681" customFormat="1" ht="21.75" customHeight="1"/>
    <row r="295" s="681" customFormat="1" ht="21.75" customHeight="1"/>
    <row r="296" s="681" customFormat="1" ht="21.75" customHeight="1"/>
    <row r="297" s="681" customFormat="1" ht="21.75" customHeight="1"/>
    <row r="298" s="681" customFormat="1" ht="21.75" customHeight="1"/>
    <row r="299" s="681" customFormat="1" ht="21.75" customHeight="1"/>
    <row r="300" s="681" customFormat="1" ht="21.75" customHeight="1"/>
    <row r="301" s="681" customFormat="1" ht="21.75" customHeight="1"/>
    <row r="302" s="681" customFormat="1" ht="21.75" customHeight="1"/>
    <row r="303" s="681" customFormat="1" ht="21.75" customHeight="1"/>
    <row r="304" s="681" customFormat="1" ht="21.75" customHeight="1"/>
    <row r="305" s="681" customFormat="1" ht="21.75" customHeight="1"/>
    <row r="306" s="681" customFormat="1" ht="21.75" customHeight="1"/>
    <row r="307" s="681" customFormat="1" ht="21.75" customHeight="1"/>
    <row r="308" s="681" customFormat="1" ht="21.75" customHeight="1"/>
    <row r="309" s="681" customFormat="1" ht="21.75" customHeight="1"/>
    <row r="310" s="681" customFormat="1" ht="21.75" customHeight="1"/>
    <row r="311" s="681" customFormat="1" ht="21.75" customHeight="1"/>
    <row r="312" s="681" customFormat="1" ht="21.75" customHeight="1"/>
    <row r="313" s="681" customFormat="1" ht="21.75" customHeight="1"/>
    <row r="314" s="681" customFormat="1" ht="21.75" customHeight="1"/>
    <row r="315" s="681" customFormat="1" ht="21.75" customHeight="1"/>
    <row r="316" s="681" customFormat="1" ht="21.75" customHeight="1"/>
    <row r="317" s="681" customFormat="1" ht="21.75" customHeight="1"/>
    <row r="318" s="681" customFormat="1" ht="21.75" customHeight="1"/>
    <row r="319" s="681" customFormat="1" ht="21.75" customHeight="1"/>
    <row r="320" s="681" customFormat="1" ht="21.75" customHeight="1"/>
    <row r="321" s="681" customFormat="1" ht="21.75" customHeight="1"/>
    <row r="322" s="681" customFormat="1" ht="21.75" customHeight="1"/>
    <row r="323" s="681" customFormat="1" ht="21.75" customHeight="1"/>
    <row r="324" s="681" customFormat="1" ht="21.75" customHeight="1"/>
    <row r="325" s="681" customFormat="1" ht="21.75" customHeight="1"/>
    <row r="326" s="681" customFormat="1" ht="21.75" customHeight="1"/>
    <row r="327" s="681" customFormat="1" ht="21.75" customHeight="1"/>
    <row r="328" s="681" customFormat="1" ht="21.75" customHeight="1"/>
    <row r="329" s="681" customFormat="1" ht="21.75" customHeight="1"/>
    <row r="330" s="681" customFormat="1" ht="21.75" customHeight="1"/>
    <row r="331" s="681" customFormat="1" ht="21.75" customHeight="1"/>
    <row r="332" s="681" customFormat="1" ht="21.75" customHeight="1"/>
    <row r="333" s="681" customFormat="1" ht="21.75" customHeight="1"/>
    <row r="334" s="681" customFormat="1" ht="21.75" customHeight="1"/>
    <row r="335" s="681" customFormat="1" ht="21.75" customHeight="1"/>
    <row r="336" s="681" customFormat="1" ht="21.75" customHeight="1"/>
    <row r="337" s="681" customFormat="1" ht="21.75" customHeight="1"/>
    <row r="338" s="681" customFormat="1" ht="21.75" customHeight="1"/>
    <row r="339" s="681" customFormat="1" ht="21.75" customHeight="1"/>
    <row r="340" s="681" customFormat="1" ht="21.75" customHeight="1"/>
    <row r="341" s="681" customFormat="1" ht="21.75" customHeight="1"/>
    <row r="342" s="681" customFormat="1" ht="21.75" customHeight="1"/>
    <row r="343" s="681" customFormat="1" ht="21.75" customHeight="1"/>
    <row r="344" s="681" customFormat="1" ht="21.75" customHeight="1"/>
    <row r="345" s="681" customFormat="1" ht="21.75" customHeight="1"/>
    <row r="346" s="681" customFormat="1" ht="21.75" customHeight="1"/>
    <row r="347" s="681" customFormat="1" ht="21.75" customHeight="1"/>
    <row r="348" s="681" customFormat="1" ht="21.75" customHeight="1"/>
    <row r="349" s="681" customFormat="1" ht="21.75" customHeight="1"/>
    <row r="350" s="681" customFormat="1" ht="21.75" customHeight="1"/>
    <row r="351" s="681" customFormat="1" ht="21.75" customHeight="1"/>
    <row r="352" s="681" customFormat="1" ht="21.75" customHeight="1"/>
    <row r="353" s="681" customFormat="1" ht="21.75" customHeight="1"/>
    <row r="354" s="681" customFormat="1" ht="21.75" customHeight="1"/>
    <row r="355" s="681" customFormat="1" ht="21.75" customHeight="1"/>
    <row r="356" s="681" customFormat="1" ht="21.75" customHeight="1"/>
    <row r="357" s="681" customFormat="1" ht="21.75" customHeight="1"/>
    <row r="358" s="681" customFormat="1" ht="21.75" customHeight="1"/>
    <row r="359" s="681" customFormat="1" ht="21.75" customHeight="1"/>
    <row r="360" s="681" customFormat="1" ht="21.75" customHeight="1"/>
    <row r="361" s="681" customFormat="1" ht="21.75" customHeight="1"/>
    <row r="362" s="681" customFormat="1" ht="21.75" customHeight="1"/>
    <row r="363" s="681" customFormat="1" ht="21.75" customHeight="1"/>
    <row r="364" s="681" customFormat="1" ht="21.75" customHeight="1"/>
    <row r="365" s="681" customFormat="1" ht="21.75" customHeight="1"/>
    <row r="366" s="681" customFormat="1" ht="21.75" customHeight="1"/>
    <row r="367" s="681" customFormat="1" ht="21.75" customHeight="1"/>
    <row r="368" s="681" customFormat="1" ht="21.75" customHeight="1"/>
    <row r="369" s="681" customFormat="1" ht="21.75" customHeight="1"/>
    <row r="370" s="681" customFormat="1" ht="21.75" customHeight="1"/>
    <row r="371" s="681" customFormat="1" ht="21.75" customHeight="1"/>
    <row r="372" s="681" customFormat="1" ht="21.75" customHeight="1"/>
    <row r="373" s="681" customFormat="1" ht="21.75" customHeight="1"/>
    <row r="374" s="681" customFormat="1" ht="21.75" customHeight="1"/>
    <row r="375" s="681" customFormat="1" ht="21.75" customHeight="1"/>
    <row r="376" s="681" customFormat="1" ht="21.75" customHeight="1"/>
    <row r="377" s="681" customFormat="1" ht="21.75" customHeight="1"/>
    <row r="378" s="681" customFormat="1" ht="21.75" customHeight="1"/>
    <row r="379" s="681" customFormat="1" ht="21.75" customHeight="1"/>
    <row r="380" s="681" customFormat="1" ht="21.75" customHeight="1"/>
    <row r="381" s="681" customFormat="1" ht="21.75" customHeight="1"/>
    <row r="382" s="681" customFormat="1" ht="21.75" customHeight="1"/>
    <row r="383" s="681" customFormat="1" ht="21.75" customHeight="1"/>
    <row r="384" s="681" customFormat="1" ht="21.75" customHeight="1"/>
    <row r="385" s="681" customFormat="1" ht="21.75" customHeight="1"/>
    <row r="386" s="681" customFormat="1" ht="21.75" customHeight="1"/>
    <row r="387" s="681" customFormat="1" ht="21.75" customHeight="1"/>
    <row r="388" s="681" customFormat="1" ht="21.75" customHeight="1"/>
    <row r="389" s="681" customFormat="1" ht="21.75" customHeight="1"/>
    <row r="390" s="681" customFormat="1" ht="21.75" customHeight="1"/>
    <row r="391" s="681" customFormat="1" ht="21.75" customHeight="1"/>
    <row r="392" s="681" customFormat="1" ht="21.75" customHeight="1"/>
    <row r="393" s="681" customFormat="1" ht="21.75" customHeight="1"/>
    <row r="394" s="681" customFormat="1" ht="21.75" customHeight="1"/>
    <row r="395" s="681" customFormat="1" ht="21.75" customHeight="1"/>
    <row r="396" s="681" customFormat="1" ht="21.75" customHeight="1"/>
    <row r="397" s="681" customFormat="1" ht="21.75" customHeight="1"/>
    <row r="398" s="681" customFormat="1" ht="21.75" customHeight="1"/>
    <row r="399" s="681" customFormat="1" ht="21.75" customHeight="1"/>
    <row r="400" s="681" customFormat="1" ht="21.75" customHeight="1"/>
    <row r="401" spans="10:26" s="681" customFormat="1" ht="21.75" customHeight="1"/>
    <row r="402" spans="10:26" s="681" customFormat="1" ht="21.75" customHeight="1"/>
    <row r="403" spans="10:26" s="681" customFormat="1" ht="21.75" customHeight="1"/>
    <row r="404" spans="10:26" s="681" customFormat="1" ht="21.75" customHeight="1"/>
    <row r="405" spans="10:26" s="681" customFormat="1" ht="21.75" customHeight="1"/>
    <row r="406" spans="10:26" s="681" customFormat="1" ht="21.75" customHeight="1"/>
    <row r="407" spans="10:26" s="681" customFormat="1" ht="21.75" customHeight="1"/>
    <row r="408" spans="10:26" s="681" customFormat="1" ht="21.75" customHeight="1"/>
    <row r="409" spans="10:26" s="1619" customFormat="1" ht="21.75" customHeight="1">
      <c r="J409" s="681"/>
      <c r="K409" s="681"/>
      <c r="L409" s="681"/>
      <c r="M409" s="681"/>
      <c r="N409" s="681"/>
      <c r="O409" s="681"/>
      <c r="P409" s="681"/>
      <c r="Q409" s="681"/>
      <c r="R409" s="681"/>
      <c r="S409" s="681"/>
      <c r="T409" s="681"/>
      <c r="U409" s="681"/>
      <c r="V409" s="681"/>
      <c r="W409" s="681"/>
      <c r="X409" s="681"/>
      <c r="Y409" s="681"/>
      <c r="Z409" s="681"/>
    </row>
    <row r="410" spans="10:26" s="1619" customFormat="1" ht="21.75" customHeight="1">
      <c r="J410" s="681"/>
      <c r="K410" s="681"/>
      <c r="L410" s="681"/>
      <c r="M410" s="681"/>
      <c r="N410" s="681"/>
      <c r="O410" s="681"/>
      <c r="P410" s="681"/>
      <c r="Q410" s="681"/>
      <c r="R410" s="681"/>
      <c r="S410" s="681"/>
      <c r="T410" s="681"/>
      <c r="U410" s="681"/>
      <c r="V410" s="681"/>
      <c r="W410" s="681"/>
      <c r="X410" s="681"/>
      <c r="Y410" s="681"/>
      <c r="Z410" s="681"/>
    </row>
    <row r="411" spans="10:26" s="1619" customFormat="1" ht="21.75" customHeight="1">
      <c r="J411" s="681"/>
      <c r="K411" s="681"/>
      <c r="L411" s="681"/>
      <c r="M411" s="681"/>
      <c r="N411" s="681"/>
      <c r="O411" s="681"/>
      <c r="P411" s="681"/>
      <c r="Q411" s="681"/>
      <c r="R411" s="681"/>
      <c r="S411" s="681"/>
      <c r="T411" s="681"/>
      <c r="U411" s="681"/>
      <c r="V411" s="681"/>
      <c r="W411" s="681"/>
      <c r="X411" s="681"/>
      <c r="Y411" s="681"/>
      <c r="Z411" s="681"/>
    </row>
    <row r="412" spans="10:26" s="1619" customFormat="1" ht="21.75" customHeight="1">
      <c r="J412" s="681"/>
      <c r="K412" s="681"/>
      <c r="L412" s="681"/>
      <c r="M412" s="681"/>
      <c r="N412" s="681"/>
      <c r="O412" s="681"/>
      <c r="P412" s="681"/>
      <c r="Q412" s="681"/>
      <c r="R412" s="681"/>
      <c r="S412" s="681"/>
      <c r="T412" s="681"/>
      <c r="U412" s="681"/>
      <c r="V412" s="681"/>
      <c r="W412" s="681"/>
      <c r="X412" s="681"/>
      <c r="Y412" s="681"/>
      <c r="Z412" s="681"/>
    </row>
    <row r="413" spans="10:26" s="1619" customFormat="1" ht="21.75" customHeight="1">
      <c r="J413" s="681"/>
      <c r="K413" s="681"/>
      <c r="L413" s="681"/>
      <c r="M413" s="681"/>
      <c r="N413" s="681"/>
      <c r="O413" s="681"/>
      <c r="P413" s="681"/>
      <c r="Q413" s="681"/>
      <c r="R413" s="681"/>
      <c r="S413" s="681"/>
      <c r="T413" s="681"/>
      <c r="U413" s="681"/>
      <c r="V413" s="681"/>
      <c r="W413" s="681"/>
      <c r="X413" s="681"/>
      <c r="Y413" s="681"/>
      <c r="Z413" s="681"/>
    </row>
    <row r="414" spans="10:26" s="1619" customFormat="1" ht="21.75" customHeight="1">
      <c r="J414" s="681"/>
      <c r="K414" s="681"/>
      <c r="L414" s="681"/>
      <c r="M414" s="681"/>
      <c r="N414" s="681"/>
      <c r="O414" s="681"/>
      <c r="P414" s="681"/>
      <c r="Q414" s="681"/>
      <c r="R414" s="681"/>
      <c r="S414" s="681"/>
      <c r="T414" s="681"/>
      <c r="U414" s="681"/>
      <c r="V414" s="681"/>
      <c r="W414" s="681"/>
      <c r="X414" s="681"/>
      <c r="Y414" s="681"/>
      <c r="Z414" s="681"/>
    </row>
    <row r="415" spans="10:26" s="1619" customFormat="1" ht="21.75" customHeight="1">
      <c r="J415" s="681"/>
      <c r="K415" s="681"/>
      <c r="L415" s="681"/>
      <c r="M415" s="681"/>
      <c r="N415" s="681"/>
      <c r="O415" s="681"/>
      <c r="P415" s="681"/>
      <c r="Q415" s="681"/>
      <c r="R415" s="681"/>
      <c r="S415" s="681"/>
      <c r="T415" s="681"/>
      <c r="U415" s="681"/>
      <c r="V415" s="681"/>
      <c r="W415" s="681"/>
      <c r="X415" s="681"/>
      <c r="Y415" s="681"/>
      <c r="Z415" s="681"/>
    </row>
    <row r="416" spans="10:26" s="1619" customFormat="1" ht="21.75" customHeight="1">
      <c r="J416" s="681"/>
      <c r="K416" s="681"/>
      <c r="L416" s="681"/>
      <c r="M416" s="681"/>
      <c r="N416" s="681"/>
      <c r="O416" s="681"/>
      <c r="P416" s="681"/>
      <c r="Q416" s="681"/>
      <c r="R416" s="681"/>
      <c r="S416" s="681"/>
      <c r="T416" s="681"/>
      <c r="U416" s="681"/>
      <c r="V416" s="681"/>
      <c r="W416" s="681"/>
      <c r="X416" s="681"/>
      <c r="Y416" s="681"/>
      <c r="Z416" s="681"/>
    </row>
    <row r="417" spans="10:26" s="1619" customFormat="1" ht="21.75" customHeight="1">
      <c r="J417" s="681"/>
      <c r="K417" s="681"/>
      <c r="L417" s="681"/>
      <c r="M417" s="681"/>
      <c r="N417" s="681"/>
      <c r="O417" s="681"/>
      <c r="P417" s="681"/>
      <c r="Q417" s="681"/>
      <c r="R417" s="681"/>
      <c r="S417" s="681"/>
      <c r="T417" s="681"/>
      <c r="U417" s="681"/>
      <c r="V417" s="681"/>
      <c r="W417" s="681"/>
      <c r="X417" s="681"/>
      <c r="Y417" s="681"/>
      <c r="Z417" s="681"/>
    </row>
    <row r="418" spans="10:26" s="1619" customFormat="1" ht="21.75" customHeight="1">
      <c r="J418" s="681"/>
      <c r="K418" s="681"/>
      <c r="L418" s="681"/>
      <c r="M418" s="681"/>
      <c r="N418" s="681"/>
      <c r="O418" s="681"/>
      <c r="P418" s="681"/>
      <c r="Q418" s="681"/>
      <c r="R418" s="681"/>
      <c r="S418" s="681"/>
      <c r="T418" s="681"/>
      <c r="U418" s="681"/>
      <c r="V418" s="681"/>
      <c r="W418" s="681"/>
      <c r="X418" s="681"/>
      <c r="Y418" s="681"/>
      <c r="Z418" s="681"/>
    </row>
    <row r="419" spans="10:26" s="1619" customFormat="1" ht="21.75" customHeight="1">
      <c r="J419" s="681"/>
      <c r="K419" s="681"/>
      <c r="L419" s="681"/>
      <c r="M419" s="681"/>
      <c r="N419" s="681"/>
      <c r="O419" s="681"/>
      <c r="P419" s="681"/>
      <c r="Q419" s="681"/>
      <c r="R419" s="681"/>
      <c r="S419" s="681"/>
      <c r="T419" s="681"/>
      <c r="U419" s="681"/>
      <c r="V419" s="681"/>
      <c r="W419" s="681"/>
      <c r="X419" s="681"/>
      <c r="Y419" s="681"/>
      <c r="Z419" s="681"/>
    </row>
    <row r="420" spans="10:26" s="1619" customFormat="1" ht="21.75" customHeight="1">
      <c r="J420" s="681"/>
      <c r="K420" s="681"/>
      <c r="L420" s="681"/>
      <c r="M420" s="681"/>
      <c r="N420" s="681"/>
      <c r="O420" s="681"/>
      <c r="P420" s="681"/>
      <c r="Q420" s="681"/>
      <c r="R420" s="681"/>
      <c r="S420" s="681"/>
      <c r="T420" s="681"/>
      <c r="U420" s="681"/>
      <c r="V420" s="681"/>
      <c r="W420" s="681"/>
      <c r="X420" s="681"/>
      <c r="Y420" s="681"/>
      <c r="Z420" s="681"/>
    </row>
    <row r="421" spans="10:26" s="1619" customFormat="1" ht="21.75" customHeight="1">
      <c r="J421" s="681"/>
      <c r="K421" s="681"/>
      <c r="L421" s="681"/>
      <c r="M421" s="681"/>
      <c r="N421" s="681"/>
      <c r="O421" s="681"/>
      <c r="P421" s="681"/>
      <c r="Q421" s="681"/>
      <c r="R421" s="681"/>
      <c r="S421" s="681"/>
      <c r="T421" s="681"/>
      <c r="U421" s="681"/>
      <c r="V421" s="681"/>
      <c r="W421" s="681"/>
      <c r="X421" s="681"/>
      <c r="Y421" s="681"/>
      <c r="Z421" s="681"/>
    </row>
    <row r="422" spans="10:26" s="1619" customFormat="1" ht="21.75" customHeight="1">
      <c r="J422" s="681"/>
      <c r="K422" s="681"/>
      <c r="L422" s="681"/>
      <c r="M422" s="681"/>
      <c r="N422" s="681"/>
      <c r="O422" s="681"/>
      <c r="P422" s="681"/>
      <c r="Q422" s="681"/>
      <c r="R422" s="681"/>
      <c r="S422" s="681"/>
      <c r="T422" s="681"/>
      <c r="U422" s="681"/>
      <c r="V422" s="681"/>
      <c r="W422" s="681"/>
      <c r="X422" s="681"/>
      <c r="Y422" s="681"/>
      <c r="Z422" s="681"/>
    </row>
    <row r="423" spans="10:26" s="1619" customFormat="1" ht="21.75" customHeight="1">
      <c r="J423" s="681"/>
      <c r="K423" s="681"/>
      <c r="L423" s="681"/>
      <c r="M423" s="681"/>
      <c r="N423" s="681"/>
      <c r="O423" s="681"/>
      <c r="P423" s="681"/>
      <c r="Q423" s="681"/>
      <c r="R423" s="681"/>
      <c r="S423" s="681"/>
      <c r="T423" s="681"/>
      <c r="U423" s="681"/>
      <c r="V423" s="681"/>
      <c r="W423" s="681"/>
      <c r="X423" s="681"/>
      <c r="Y423" s="681"/>
      <c r="Z423" s="681"/>
    </row>
    <row r="424" spans="10:26" s="1619" customFormat="1" ht="21.75" customHeight="1">
      <c r="J424" s="681"/>
      <c r="K424" s="681"/>
      <c r="L424" s="681"/>
      <c r="M424" s="681"/>
      <c r="N424" s="681"/>
      <c r="O424" s="681"/>
      <c r="P424" s="681"/>
      <c r="Q424" s="681"/>
      <c r="R424" s="681"/>
      <c r="S424" s="681"/>
      <c r="T424" s="681"/>
      <c r="U424" s="681"/>
      <c r="V424" s="681"/>
      <c r="W424" s="681"/>
      <c r="X424" s="681"/>
      <c r="Y424" s="681"/>
      <c r="Z424" s="681"/>
    </row>
    <row r="425" spans="10:26" s="1619" customFormat="1" ht="21.75" customHeight="1">
      <c r="J425" s="681"/>
      <c r="K425" s="681"/>
      <c r="L425" s="681"/>
      <c r="M425" s="681"/>
      <c r="N425" s="681"/>
      <c r="O425" s="681"/>
      <c r="P425" s="681"/>
      <c r="Q425" s="681"/>
      <c r="R425" s="681"/>
      <c r="S425" s="681"/>
      <c r="T425" s="681"/>
      <c r="U425" s="681"/>
      <c r="V425" s="681"/>
      <c r="W425" s="681"/>
      <c r="X425" s="681"/>
      <c r="Y425" s="681"/>
      <c r="Z425" s="681"/>
    </row>
    <row r="426" spans="10:26" s="1619" customFormat="1" ht="21.75" customHeight="1">
      <c r="J426" s="681"/>
      <c r="K426" s="681"/>
      <c r="L426" s="681"/>
      <c r="M426" s="681"/>
      <c r="N426" s="681"/>
      <c r="O426" s="681"/>
      <c r="P426" s="681"/>
      <c r="Q426" s="681"/>
      <c r="R426" s="681"/>
      <c r="S426" s="681"/>
      <c r="T426" s="681"/>
      <c r="U426" s="681"/>
      <c r="V426" s="681"/>
      <c r="W426" s="681"/>
      <c r="X426" s="681"/>
      <c r="Y426" s="681"/>
      <c r="Z426" s="681"/>
    </row>
    <row r="427" spans="10:26" s="1619" customFormat="1" ht="21.75" customHeight="1">
      <c r="J427" s="681"/>
      <c r="K427" s="681"/>
      <c r="L427" s="681"/>
      <c r="M427" s="681"/>
      <c r="N427" s="681"/>
      <c r="O427" s="681"/>
      <c r="P427" s="681"/>
      <c r="Q427" s="681"/>
      <c r="R427" s="681"/>
      <c r="S427" s="681"/>
      <c r="T427" s="681"/>
      <c r="U427" s="681"/>
      <c r="V427" s="681"/>
      <c r="W427" s="681"/>
      <c r="X427" s="681"/>
      <c r="Y427" s="681"/>
      <c r="Z427" s="681"/>
    </row>
    <row r="428" spans="10:26" s="1619" customFormat="1" ht="21.75" customHeight="1">
      <c r="J428" s="681"/>
      <c r="K428" s="681"/>
      <c r="L428" s="681"/>
      <c r="M428" s="681"/>
      <c r="N428" s="681"/>
      <c r="O428" s="681"/>
      <c r="P428" s="681"/>
      <c r="Q428" s="681"/>
      <c r="R428" s="681"/>
      <c r="S428" s="681"/>
      <c r="T428" s="681"/>
      <c r="U428" s="681"/>
      <c r="V428" s="681"/>
      <c r="W428" s="681"/>
      <c r="X428" s="681"/>
      <c r="Y428" s="681"/>
      <c r="Z428" s="681"/>
    </row>
    <row r="429" spans="10:26" s="1619" customFormat="1" ht="21.75" customHeight="1">
      <c r="J429" s="681"/>
      <c r="K429" s="681"/>
      <c r="L429" s="681"/>
      <c r="M429" s="681"/>
      <c r="N429" s="681"/>
      <c r="O429" s="681"/>
      <c r="P429" s="681"/>
      <c r="Q429" s="681"/>
      <c r="R429" s="681"/>
      <c r="S429" s="681"/>
      <c r="T429" s="681"/>
      <c r="U429" s="681"/>
      <c r="V429" s="681"/>
      <c r="W429" s="681"/>
      <c r="X429" s="681"/>
      <c r="Y429" s="681"/>
      <c r="Z429" s="681"/>
    </row>
    <row r="430" spans="10:26" s="1619" customFormat="1" ht="21.75" customHeight="1">
      <c r="J430" s="681"/>
      <c r="K430" s="681"/>
      <c r="L430" s="681"/>
      <c r="M430" s="681"/>
      <c r="N430" s="681"/>
      <c r="O430" s="681"/>
      <c r="P430" s="681"/>
      <c r="Q430" s="681"/>
      <c r="R430" s="681"/>
      <c r="S430" s="681"/>
      <c r="T430" s="681"/>
      <c r="U430" s="681"/>
      <c r="V430" s="681"/>
      <c r="W430" s="681"/>
      <c r="X430" s="681"/>
      <c r="Y430" s="681"/>
      <c r="Z430" s="681"/>
    </row>
    <row r="431" spans="10:26" s="1619" customFormat="1" ht="21.75" customHeight="1">
      <c r="J431" s="681"/>
      <c r="K431" s="681"/>
      <c r="L431" s="681"/>
      <c r="M431" s="681"/>
      <c r="N431" s="681"/>
      <c r="O431" s="681"/>
      <c r="P431" s="681"/>
      <c r="Q431" s="681"/>
      <c r="R431" s="681"/>
      <c r="S431" s="681"/>
      <c r="T431" s="681"/>
      <c r="U431" s="681"/>
      <c r="V431" s="681"/>
      <c r="W431" s="681"/>
      <c r="X431" s="681"/>
      <c r="Y431" s="681"/>
      <c r="Z431" s="681"/>
    </row>
    <row r="432" spans="10:26" s="1619" customFormat="1" ht="21.75" customHeight="1">
      <c r="J432" s="681"/>
      <c r="K432" s="681"/>
      <c r="L432" s="681"/>
      <c r="M432" s="681"/>
      <c r="N432" s="681"/>
      <c r="O432" s="681"/>
      <c r="P432" s="681"/>
      <c r="Q432" s="681"/>
      <c r="R432" s="681"/>
      <c r="S432" s="681"/>
      <c r="T432" s="681"/>
      <c r="U432" s="681"/>
      <c r="V432" s="681"/>
      <c r="W432" s="681"/>
      <c r="X432" s="681"/>
      <c r="Y432" s="681"/>
      <c r="Z432" s="681"/>
    </row>
    <row r="433" spans="10:26" s="1619" customFormat="1" ht="21.75" customHeight="1">
      <c r="J433" s="681"/>
      <c r="K433" s="681"/>
      <c r="L433" s="681"/>
      <c r="M433" s="681"/>
      <c r="N433" s="681"/>
      <c r="O433" s="681"/>
      <c r="P433" s="681"/>
      <c r="Q433" s="681"/>
      <c r="R433" s="681"/>
      <c r="S433" s="681"/>
      <c r="T433" s="681"/>
      <c r="U433" s="681"/>
      <c r="V433" s="681"/>
      <c r="W433" s="681"/>
      <c r="X433" s="681"/>
      <c r="Y433" s="681"/>
      <c r="Z433" s="681"/>
    </row>
    <row r="434" spans="10:26" s="1619" customFormat="1" ht="21.75" customHeight="1">
      <c r="J434" s="681"/>
      <c r="K434" s="681"/>
      <c r="L434" s="681"/>
      <c r="M434" s="681"/>
      <c r="N434" s="681"/>
      <c r="O434" s="681"/>
      <c r="P434" s="681"/>
      <c r="Q434" s="681"/>
      <c r="R434" s="681"/>
      <c r="S434" s="681"/>
      <c r="T434" s="681"/>
      <c r="U434" s="681"/>
      <c r="V434" s="681"/>
      <c r="W434" s="681"/>
      <c r="X434" s="681"/>
      <c r="Y434" s="681"/>
      <c r="Z434" s="681"/>
    </row>
    <row r="435" spans="10:26" s="1619" customFormat="1" ht="21.75" customHeight="1">
      <c r="J435" s="681"/>
      <c r="K435" s="681"/>
      <c r="L435" s="681"/>
      <c r="M435" s="681"/>
      <c r="N435" s="681"/>
      <c r="O435" s="681"/>
      <c r="P435" s="681"/>
      <c r="Q435" s="681"/>
      <c r="R435" s="681"/>
      <c r="S435" s="681"/>
      <c r="T435" s="681"/>
      <c r="U435" s="681"/>
      <c r="V435" s="681"/>
      <c r="W435" s="681"/>
      <c r="X435" s="681"/>
      <c r="Y435" s="681"/>
      <c r="Z435" s="681"/>
    </row>
    <row r="436" spans="10:26" s="1619" customFormat="1" ht="21.75" customHeight="1">
      <c r="J436" s="681"/>
      <c r="K436" s="681"/>
      <c r="L436" s="681"/>
      <c r="M436" s="681"/>
      <c r="N436" s="681"/>
      <c r="O436" s="681"/>
      <c r="P436" s="681"/>
      <c r="Q436" s="681"/>
      <c r="R436" s="681"/>
      <c r="S436" s="681"/>
      <c r="T436" s="681"/>
      <c r="U436" s="681"/>
      <c r="V436" s="681"/>
      <c r="W436" s="681"/>
      <c r="X436" s="681"/>
      <c r="Y436" s="681"/>
      <c r="Z436" s="681"/>
    </row>
    <row r="437" spans="10:26" s="1619" customFormat="1" ht="21.75" customHeight="1">
      <c r="J437" s="681"/>
      <c r="K437" s="681"/>
      <c r="L437" s="681"/>
      <c r="M437" s="681"/>
      <c r="N437" s="681"/>
      <c r="O437" s="681"/>
      <c r="P437" s="681"/>
      <c r="Q437" s="681"/>
      <c r="R437" s="681"/>
      <c r="S437" s="681"/>
      <c r="T437" s="681"/>
      <c r="U437" s="681"/>
      <c r="V437" s="681"/>
      <c r="W437" s="681"/>
      <c r="X437" s="681"/>
      <c r="Y437" s="681"/>
      <c r="Z437" s="681"/>
    </row>
    <row r="438" spans="10:26" s="1619" customFormat="1" ht="21.75" customHeight="1">
      <c r="J438" s="681"/>
      <c r="K438" s="681"/>
      <c r="L438" s="681"/>
      <c r="M438" s="681"/>
      <c r="N438" s="681"/>
      <c r="O438" s="681"/>
      <c r="P438" s="681"/>
      <c r="Q438" s="681"/>
      <c r="R438" s="681"/>
      <c r="S438" s="681"/>
      <c r="T438" s="681"/>
      <c r="U438" s="681"/>
      <c r="V438" s="681"/>
      <c r="W438" s="681"/>
      <c r="X438" s="681"/>
      <c r="Y438" s="681"/>
      <c r="Z438" s="681"/>
    </row>
    <row r="439" spans="10:26" s="1619" customFormat="1" ht="21.75" customHeight="1">
      <c r="J439" s="681"/>
      <c r="K439" s="681"/>
      <c r="L439" s="681"/>
      <c r="M439" s="681"/>
      <c r="N439" s="681"/>
      <c r="O439" s="681"/>
      <c r="P439" s="681"/>
      <c r="Q439" s="681"/>
      <c r="R439" s="681"/>
      <c r="S439" s="681"/>
      <c r="T439" s="681"/>
      <c r="U439" s="681"/>
      <c r="V439" s="681"/>
      <c r="W439" s="681"/>
      <c r="X439" s="681"/>
      <c r="Y439" s="681"/>
      <c r="Z439" s="681"/>
    </row>
    <row r="440" spans="10:26" s="1619" customFormat="1" ht="21.75" customHeight="1">
      <c r="J440" s="681"/>
      <c r="K440" s="681"/>
      <c r="L440" s="681"/>
      <c r="M440" s="681"/>
      <c r="N440" s="681"/>
      <c r="O440" s="681"/>
      <c r="P440" s="681"/>
      <c r="Q440" s="681"/>
      <c r="R440" s="681"/>
      <c r="S440" s="681"/>
      <c r="T440" s="681"/>
      <c r="U440" s="681"/>
      <c r="V440" s="681"/>
      <c r="W440" s="681"/>
      <c r="X440" s="681"/>
      <c r="Y440" s="681"/>
      <c r="Z440" s="681"/>
    </row>
    <row r="441" spans="10:26" s="1619" customFormat="1" ht="21.75" customHeight="1">
      <c r="J441" s="681"/>
      <c r="K441" s="681"/>
      <c r="L441" s="681"/>
      <c r="M441" s="681"/>
      <c r="N441" s="681"/>
      <c r="O441" s="681"/>
      <c r="P441" s="681"/>
      <c r="Q441" s="681"/>
      <c r="R441" s="681"/>
      <c r="S441" s="681"/>
      <c r="T441" s="681"/>
      <c r="U441" s="681"/>
      <c r="V441" s="681"/>
      <c r="W441" s="681"/>
      <c r="X441" s="681"/>
      <c r="Y441" s="681"/>
      <c r="Z441" s="681"/>
    </row>
    <row r="442" spans="10:26" s="1619" customFormat="1" ht="21.75" customHeight="1">
      <c r="J442" s="681"/>
      <c r="K442" s="681"/>
      <c r="L442" s="681"/>
      <c r="M442" s="681"/>
      <c r="N442" s="681"/>
      <c r="O442" s="681"/>
      <c r="P442" s="681"/>
      <c r="Q442" s="681"/>
      <c r="R442" s="681"/>
      <c r="S442" s="681"/>
      <c r="T442" s="681"/>
      <c r="U442" s="681"/>
      <c r="V442" s="681"/>
      <c r="W442" s="681"/>
      <c r="X442" s="681"/>
      <c r="Y442" s="681"/>
      <c r="Z442" s="681"/>
    </row>
    <row r="443" spans="10:26" s="1619" customFormat="1" ht="21.75" customHeight="1">
      <c r="J443" s="681"/>
      <c r="K443" s="681"/>
      <c r="L443" s="681"/>
      <c r="M443" s="681"/>
      <c r="N443" s="681"/>
      <c r="O443" s="681"/>
      <c r="P443" s="681"/>
      <c r="Q443" s="681"/>
      <c r="R443" s="681"/>
      <c r="S443" s="681"/>
      <c r="T443" s="681"/>
      <c r="U443" s="681"/>
      <c r="V443" s="681"/>
      <c r="W443" s="681"/>
      <c r="X443" s="681"/>
      <c r="Y443" s="681"/>
      <c r="Z443" s="681"/>
    </row>
    <row r="444" spans="10:26" s="1619" customFormat="1" ht="21.75" customHeight="1">
      <c r="J444" s="681"/>
      <c r="K444" s="681"/>
      <c r="L444" s="681"/>
      <c r="M444" s="681"/>
      <c r="N444" s="681"/>
      <c r="O444" s="681"/>
      <c r="P444" s="681"/>
      <c r="Q444" s="681"/>
      <c r="R444" s="681"/>
      <c r="S444" s="681"/>
      <c r="T444" s="681"/>
      <c r="U444" s="681"/>
      <c r="V444" s="681"/>
      <c r="W444" s="681"/>
      <c r="X444" s="681"/>
      <c r="Y444" s="681"/>
      <c r="Z444" s="681"/>
    </row>
    <row r="445" spans="10:26" s="1619" customFormat="1" ht="21.75" customHeight="1">
      <c r="J445" s="681"/>
      <c r="K445" s="681"/>
      <c r="L445" s="681"/>
      <c r="M445" s="681"/>
      <c r="N445" s="681"/>
      <c r="O445" s="681"/>
      <c r="P445" s="681"/>
      <c r="Q445" s="681"/>
      <c r="R445" s="681"/>
      <c r="S445" s="681"/>
      <c r="T445" s="681"/>
      <c r="U445" s="681"/>
      <c r="V445" s="681"/>
      <c r="W445" s="681"/>
      <c r="X445" s="681"/>
      <c r="Y445" s="681"/>
      <c r="Z445" s="681"/>
    </row>
    <row r="446" spans="10:26" s="1619" customFormat="1" ht="21.75" customHeight="1">
      <c r="J446" s="681"/>
      <c r="K446" s="681"/>
      <c r="L446" s="681"/>
      <c r="M446" s="681"/>
      <c r="N446" s="681"/>
      <c r="O446" s="681"/>
      <c r="P446" s="681"/>
      <c r="Q446" s="681"/>
      <c r="R446" s="681"/>
      <c r="S446" s="681"/>
      <c r="T446" s="681"/>
      <c r="U446" s="681"/>
      <c r="V446" s="681"/>
      <c r="W446" s="681"/>
      <c r="X446" s="681"/>
      <c r="Y446" s="681"/>
      <c r="Z446" s="681"/>
    </row>
    <row r="447" spans="10:26" s="1619" customFormat="1" ht="21.75" customHeight="1">
      <c r="J447" s="681"/>
      <c r="K447" s="681"/>
      <c r="L447" s="681"/>
      <c r="M447" s="681"/>
      <c r="N447" s="681"/>
      <c r="O447" s="681"/>
      <c r="P447" s="681"/>
      <c r="Q447" s="681"/>
      <c r="R447" s="681"/>
      <c r="S447" s="681"/>
      <c r="T447" s="681"/>
      <c r="U447" s="681"/>
      <c r="V447" s="681"/>
      <c r="W447" s="681"/>
      <c r="X447" s="681"/>
      <c r="Y447" s="681"/>
      <c r="Z447" s="681"/>
    </row>
    <row r="448" spans="10:26" s="1619" customFormat="1" ht="21.75" customHeight="1">
      <c r="J448" s="681"/>
      <c r="K448" s="681"/>
      <c r="L448" s="681"/>
      <c r="M448" s="681"/>
      <c r="N448" s="681"/>
      <c r="O448" s="681"/>
      <c r="P448" s="681"/>
      <c r="Q448" s="681"/>
      <c r="R448" s="681"/>
      <c r="S448" s="681"/>
      <c r="T448" s="681"/>
      <c r="U448" s="681"/>
      <c r="V448" s="681"/>
      <c r="W448" s="681"/>
      <c r="X448" s="681"/>
      <c r="Y448" s="681"/>
      <c r="Z448" s="681"/>
    </row>
    <row r="449" spans="10:26" s="1619" customFormat="1" ht="21.75" customHeight="1">
      <c r="J449" s="681"/>
      <c r="K449" s="681"/>
      <c r="L449" s="681"/>
      <c r="M449" s="681"/>
      <c r="N449" s="681"/>
      <c r="O449" s="681"/>
      <c r="P449" s="681"/>
      <c r="Q449" s="681"/>
      <c r="R449" s="681"/>
      <c r="S449" s="681"/>
      <c r="T449" s="681"/>
      <c r="U449" s="681"/>
      <c r="V449" s="681"/>
      <c r="W449" s="681"/>
      <c r="X449" s="681"/>
      <c r="Y449" s="681"/>
      <c r="Z449" s="681"/>
    </row>
    <row r="450" spans="10:26" s="1619" customFormat="1" ht="21.75" customHeight="1">
      <c r="J450" s="681"/>
      <c r="K450" s="681"/>
      <c r="L450" s="681"/>
      <c r="M450" s="681"/>
      <c r="N450" s="681"/>
      <c r="O450" s="681"/>
      <c r="P450" s="681"/>
      <c r="Q450" s="681"/>
      <c r="R450" s="681"/>
      <c r="S450" s="681"/>
      <c r="T450" s="681"/>
      <c r="U450" s="681"/>
      <c r="V450" s="681"/>
      <c r="W450" s="681"/>
      <c r="X450" s="681"/>
      <c r="Y450" s="681"/>
      <c r="Z450" s="681"/>
    </row>
    <row r="451" spans="10:26" s="1619" customFormat="1" ht="21.75" customHeight="1">
      <c r="J451" s="681"/>
      <c r="K451" s="681"/>
      <c r="L451" s="681"/>
      <c r="M451" s="681"/>
      <c r="N451" s="681"/>
      <c r="O451" s="681"/>
      <c r="P451" s="681"/>
      <c r="Q451" s="681"/>
      <c r="R451" s="681"/>
      <c r="S451" s="681"/>
      <c r="T451" s="681"/>
      <c r="U451" s="681"/>
      <c r="V451" s="681"/>
      <c r="W451" s="681"/>
      <c r="X451" s="681"/>
      <c r="Y451" s="681"/>
      <c r="Z451" s="681"/>
    </row>
    <row r="452" spans="10:26" s="1619" customFormat="1" ht="21.75" customHeight="1">
      <c r="J452" s="681"/>
      <c r="K452" s="681"/>
      <c r="L452" s="681"/>
      <c r="M452" s="681"/>
      <c r="N452" s="681"/>
      <c r="O452" s="681"/>
      <c r="P452" s="681"/>
      <c r="Q452" s="681"/>
      <c r="R452" s="681"/>
      <c r="S452" s="681"/>
      <c r="T452" s="681"/>
      <c r="U452" s="681"/>
      <c r="V452" s="681"/>
      <c r="W452" s="681"/>
      <c r="X452" s="681"/>
      <c r="Y452" s="681"/>
      <c r="Z452" s="681"/>
    </row>
    <row r="453" spans="10:26" s="1619" customFormat="1" ht="21.75" customHeight="1">
      <c r="J453" s="681"/>
      <c r="K453" s="681"/>
      <c r="L453" s="681"/>
      <c r="M453" s="681"/>
      <c r="N453" s="681"/>
      <c r="O453" s="681"/>
      <c r="P453" s="681"/>
      <c r="Q453" s="681"/>
      <c r="R453" s="681"/>
      <c r="S453" s="681"/>
      <c r="T453" s="681"/>
      <c r="U453" s="681"/>
      <c r="V453" s="681"/>
      <c r="W453" s="681"/>
      <c r="X453" s="681"/>
      <c r="Y453" s="681"/>
      <c r="Z453" s="681"/>
    </row>
    <row r="454" spans="10:26" s="1619" customFormat="1" ht="21.75" customHeight="1">
      <c r="J454" s="681"/>
      <c r="K454" s="681"/>
      <c r="L454" s="681"/>
      <c r="M454" s="681"/>
      <c r="N454" s="681"/>
      <c r="O454" s="681"/>
      <c r="P454" s="681"/>
      <c r="Q454" s="681"/>
      <c r="R454" s="681"/>
      <c r="S454" s="681"/>
      <c r="T454" s="681"/>
      <c r="U454" s="681"/>
      <c r="V454" s="681"/>
      <c r="W454" s="681"/>
      <c r="X454" s="681"/>
      <c r="Y454" s="681"/>
      <c r="Z454" s="681"/>
    </row>
    <row r="455" spans="10:26" s="1619" customFormat="1" ht="21.75" customHeight="1">
      <c r="J455" s="681"/>
      <c r="K455" s="681"/>
      <c r="L455" s="681"/>
      <c r="M455" s="681"/>
      <c r="N455" s="681"/>
      <c r="O455" s="681"/>
      <c r="P455" s="681"/>
      <c r="Q455" s="681"/>
      <c r="R455" s="681"/>
      <c r="S455" s="681"/>
      <c r="T455" s="681"/>
      <c r="U455" s="681"/>
      <c r="V455" s="681"/>
      <c r="W455" s="681"/>
      <c r="X455" s="681"/>
      <c r="Y455" s="681"/>
      <c r="Z455" s="681"/>
    </row>
    <row r="456" spans="10:26" s="1619" customFormat="1" ht="21.75" customHeight="1">
      <c r="J456" s="681"/>
      <c r="K456" s="681"/>
      <c r="L456" s="681"/>
      <c r="M456" s="681"/>
      <c r="N456" s="681"/>
      <c r="O456" s="681"/>
      <c r="P456" s="681"/>
      <c r="Q456" s="681"/>
      <c r="R456" s="681"/>
      <c r="S456" s="681"/>
      <c r="T456" s="681"/>
      <c r="U456" s="681"/>
      <c r="V456" s="681"/>
      <c r="W456" s="681"/>
      <c r="X456" s="681"/>
      <c r="Y456" s="681"/>
      <c r="Z456" s="681"/>
    </row>
    <row r="457" spans="10:26" s="1619" customFormat="1" ht="21.75" customHeight="1">
      <c r="J457" s="681"/>
      <c r="K457" s="681"/>
      <c r="L457" s="681"/>
      <c r="M457" s="681"/>
      <c r="N457" s="681"/>
      <c r="O457" s="681"/>
      <c r="P457" s="681"/>
      <c r="Q457" s="681"/>
      <c r="R457" s="681"/>
      <c r="S457" s="681"/>
      <c r="T457" s="681"/>
      <c r="U457" s="681"/>
      <c r="V457" s="681"/>
      <c r="W457" s="681"/>
      <c r="X457" s="681"/>
      <c r="Y457" s="681"/>
      <c r="Z457" s="681"/>
    </row>
    <row r="458" spans="10:26" s="1619" customFormat="1" ht="21.75" customHeight="1">
      <c r="J458" s="681"/>
      <c r="K458" s="681"/>
      <c r="L458" s="681"/>
      <c r="M458" s="681"/>
      <c r="N458" s="681"/>
      <c r="O458" s="681"/>
      <c r="P458" s="681"/>
      <c r="Q458" s="681"/>
      <c r="R458" s="681"/>
      <c r="S458" s="681"/>
      <c r="T458" s="681"/>
      <c r="U458" s="681"/>
      <c r="V458" s="681"/>
      <c r="W458" s="681"/>
      <c r="X458" s="681"/>
      <c r="Y458" s="681"/>
      <c r="Z458" s="681"/>
    </row>
    <row r="459" spans="10:26" s="1619" customFormat="1" ht="21.75" customHeight="1">
      <c r="J459" s="681"/>
      <c r="K459" s="681"/>
      <c r="L459" s="681"/>
      <c r="M459" s="681"/>
      <c r="N459" s="681"/>
      <c r="O459" s="681"/>
      <c r="P459" s="681"/>
      <c r="Q459" s="681"/>
      <c r="R459" s="681"/>
      <c r="S459" s="681"/>
      <c r="T459" s="681"/>
      <c r="U459" s="681"/>
      <c r="V459" s="681"/>
      <c r="W459" s="681"/>
      <c r="X459" s="681"/>
      <c r="Y459" s="681"/>
      <c r="Z459" s="681"/>
    </row>
    <row r="460" spans="10:26" s="1619" customFormat="1" ht="21.75" customHeight="1">
      <c r="J460" s="681"/>
      <c r="K460" s="681"/>
      <c r="L460" s="681"/>
      <c r="M460" s="681"/>
      <c r="N460" s="681"/>
      <c r="O460" s="681"/>
      <c r="P460" s="681"/>
      <c r="Q460" s="681"/>
      <c r="R460" s="681"/>
      <c r="S460" s="681"/>
      <c r="T460" s="681"/>
      <c r="U460" s="681"/>
      <c r="V460" s="681"/>
      <c r="W460" s="681"/>
      <c r="X460" s="681"/>
      <c r="Y460" s="681"/>
      <c r="Z460" s="681"/>
    </row>
    <row r="461" spans="10:26" s="1619" customFormat="1" ht="21.75" customHeight="1">
      <c r="J461" s="681"/>
      <c r="K461" s="681"/>
      <c r="L461" s="681"/>
      <c r="M461" s="681"/>
      <c r="N461" s="681"/>
      <c r="O461" s="681"/>
      <c r="P461" s="681"/>
      <c r="Q461" s="681"/>
      <c r="R461" s="681"/>
      <c r="S461" s="681"/>
      <c r="T461" s="681"/>
      <c r="U461" s="681"/>
      <c r="V461" s="681"/>
      <c r="W461" s="681"/>
      <c r="X461" s="681"/>
      <c r="Y461" s="681"/>
      <c r="Z461" s="681"/>
    </row>
    <row r="462" spans="10:26" s="1619" customFormat="1" ht="21.75" customHeight="1">
      <c r="J462" s="681"/>
      <c r="K462" s="681"/>
      <c r="L462" s="681"/>
      <c r="M462" s="681"/>
      <c r="N462" s="681"/>
      <c r="O462" s="681"/>
      <c r="P462" s="681"/>
      <c r="Q462" s="681"/>
      <c r="R462" s="681"/>
      <c r="S462" s="681"/>
      <c r="T462" s="681"/>
      <c r="U462" s="681"/>
      <c r="V462" s="681"/>
      <c r="W462" s="681"/>
      <c r="X462" s="681"/>
      <c r="Y462" s="681"/>
      <c r="Z462" s="681"/>
    </row>
    <row r="463" spans="10:26" s="1619" customFormat="1" ht="21.75" customHeight="1">
      <c r="J463" s="681"/>
      <c r="K463" s="681"/>
      <c r="L463" s="681"/>
      <c r="M463" s="681"/>
      <c r="N463" s="681"/>
      <c r="O463" s="681"/>
      <c r="P463" s="681"/>
      <c r="Q463" s="681"/>
      <c r="R463" s="681"/>
      <c r="S463" s="681"/>
      <c r="T463" s="681"/>
      <c r="U463" s="681"/>
      <c r="V463" s="681"/>
      <c r="W463" s="681"/>
      <c r="X463" s="681"/>
      <c r="Y463" s="681"/>
      <c r="Z463" s="681"/>
    </row>
    <row r="464" spans="10:26" s="1619" customFormat="1" ht="21.75" customHeight="1">
      <c r="J464" s="681"/>
      <c r="K464" s="681"/>
      <c r="L464" s="681"/>
      <c r="M464" s="681"/>
      <c r="N464" s="681"/>
      <c r="O464" s="681"/>
      <c r="P464" s="681"/>
      <c r="Q464" s="681"/>
      <c r="R464" s="681"/>
      <c r="S464" s="681"/>
      <c r="T464" s="681"/>
      <c r="U464" s="681"/>
      <c r="V464" s="681"/>
      <c r="W464" s="681"/>
      <c r="X464" s="681"/>
      <c r="Y464" s="681"/>
      <c r="Z464" s="681"/>
    </row>
    <row r="465" spans="10:26" s="1619" customFormat="1" ht="21.75" customHeight="1">
      <c r="J465" s="681"/>
      <c r="K465" s="681"/>
      <c r="L465" s="681"/>
      <c r="M465" s="681"/>
      <c r="N465" s="681"/>
      <c r="O465" s="681"/>
      <c r="P465" s="681"/>
      <c r="Q465" s="681"/>
      <c r="R465" s="681"/>
      <c r="S465" s="681"/>
      <c r="T465" s="681"/>
      <c r="U465" s="681"/>
      <c r="V465" s="681"/>
      <c r="W465" s="681"/>
      <c r="X465" s="681"/>
      <c r="Y465" s="681"/>
      <c r="Z465" s="681"/>
    </row>
    <row r="466" spans="10:26" s="1619" customFormat="1" ht="21.75" customHeight="1">
      <c r="J466" s="681"/>
      <c r="K466" s="681"/>
      <c r="L466" s="681"/>
      <c r="M466" s="681"/>
      <c r="N466" s="681"/>
      <c r="O466" s="681"/>
      <c r="P466" s="681"/>
      <c r="Q466" s="681"/>
      <c r="R466" s="681"/>
      <c r="S466" s="681"/>
      <c r="T466" s="681"/>
      <c r="U466" s="681"/>
      <c r="V466" s="681"/>
      <c r="W466" s="681"/>
      <c r="X466" s="681"/>
      <c r="Y466" s="681"/>
      <c r="Z466" s="681"/>
    </row>
    <row r="467" spans="10:26" s="1619" customFormat="1" ht="21.75" customHeight="1">
      <c r="J467" s="681"/>
      <c r="K467" s="681"/>
      <c r="L467" s="681"/>
      <c r="M467" s="681"/>
      <c r="N467" s="681"/>
      <c r="O467" s="681"/>
      <c r="P467" s="681"/>
      <c r="Q467" s="681"/>
      <c r="R467" s="681"/>
      <c r="S467" s="681"/>
      <c r="T467" s="681"/>
      <c r="U467" s="681"/>
      <c r="V467" s="681"/>
      <c r="W467" s="681"/>
      <c r="X467" s="681"/>
      <c r="Y467" s="681"/>
      <c r="Z467" s="681"/>
    </row>
    <row r="468" spans="10:26" s="1619" customFormat="1" ht="21.75" customHeight="1">
      <c r="J468" s="681"/>
      <c r="K468" s="681"/>
      <c r="L468" s="681"/>
      <c r="M468" s="681"/>
      <c r="N468" s="681"/>
      <c r="O468" s="681"/>
      <c r="P468" s="681"/>
      <c r="Q468" s="681"/>
      <c r="R468" s="681"/>
      <c r="S468" s="681"/>
      <c r="T468" s="681"/>
      <c r="U468" s="681"/>
      <c r="V468" s="681"/>
      <c r="W468" s="681"/>
      <c r="X468" s="681"/>
      <c r="Y468" s="681"/>
      <c r="Z468" s="681"/>
    </row>
    <row r="469" spans="10:26" s="1619" customFormat="1" ht="21.75" customHeight="1">
      <c r="J469" s="681"/>
      <c r="K469" s="681"/>
      <c r="L469" s="681"/>
      <c r="M469" s="681"/>
      <c r="N469" s="681"/>
      <c r="O469" s="681"/>
      <c r="P469" s="681"/>
      <c r="Q469" s="681"/>
      <c r="R469" s="681"/>
      <c r="S469" s="681"/>
      <c r="T469" s="681"/>
      <c r="U469" s="681"/>
      <c r="V469" s="681"/>
      <c r="W469" s="681"/>
      <c r="X469" s="681"/>
      <c r="Y469" s="681"/>
      <c r="Z469" s="681"/>
    </row>
    <row r="470" spans="10:26" s="1619" customFormat="1" ht="21.75" customHeight="1">
      <c r="J470" s="681"/>
      <c r="K470" s="681"/>
      <c r="L470" s="681"/>
      <c r="M470" s="681"/>
      <c r="N470" s="681"/>
      <c r="O470" s="681"/>
      <c r="P470" s="681"/>
      <c r="Q470" s="681"/>
      <c r="R470" s="681"/>
      <c r="S470" s="681"/>
      <c r="T470" s="681"/>
      <c r="U470" s="681"/>
      <c r="V470" s="681"/>
      <c r="W470" s="681"/>
      <c r="X470" s="681"/>
      <c r="Y470" s="681"/>
      <c r="Z470" s="681"/>
    </row>
    <row r="471" spans="10:26" s="1619" customFormat="1" ht="21.75" customHeight="1">
      <c r="J471" s="681"/>
      <c r="K471" s="681"/>
      <c r="L471" s="681"/>
      <c r="M471" s="681"/>
      <c r="N471" s="681"/>
      <c r="O471" s="681"/>
      <c r="P471" s="681"/>
      <c r="Q471" s="681"/>
      <c r="R471" s="681"/>
      <c r="S471" s="681"/>
      <c r="T471" s="681"/>
      <c r="U471" s="681"/>
      <c r="V471" s="681"/>
      <c r="W471" s="681"/>
      <c r="X471" s="681"/>
      <c r="Y471" s="681"/>
      <c r="Z471" s="681"/>
    </row>
    <row r="472" spans="10:26" s="1619" customFormat="1" ht="21.75" customHeight="1">
      <c r="J472" s="681"/>
      <c r="K472" s="681"/>
      <c r="L472" s="681"/>
      <c r="M472" s="681"/>
      <c r="N472" s="681"/>
      <c r="O472" s="681"/>
      <c r="P472" s="681"/>
      <c r="Q472" s="681"/>
      <c r="R472" s="681"/>
      <c r="S472" s="681"/>
      <c r="T472" s="681"/>
      <c r="U472" s="681"/>
      <c r="V472" s="681"/>
      <c r="W472" s="681"/>
      <c r="X472" s="681"/>
      <c r="Y472" s="681"/>
      <c r="Z472" s="681"/>
    </row>
    <row r="473" spans="10:26" s="1619" customFormat="1" ht="21.75" customHeight="1">
      <c r="J473" s="681"/>
      <c r="K473" s="681"/>
      <c r="L473" s="681"/>
      <c r="M473" s="681"/>
      <c r="N473" s="681"/>
      <c r="O473" s="681"/>
      <c r="P473" s="681"/>
      <c r="Q473" s="681"/>
      <c r="R473" s="681"/>
      <c r="S473" s="681"/>
      <c r="T473" s="681"/>
      <c r="U473" s="681"/>
      <c r="V473" s="681"/>
      <c r="W473" s="681"/>
      <c r="X473" s="681"/>
      <c r="Y473" s="681"/>
      <c r="Z473" s="681"/>
    </row>
    <row r="474" spans="10:26" s="1619" customFormat="1" ht="21.75" customHeight="1">
      <c r="J474" s="681"/>
      <c r="K474" s="681"/>
      <c r="L474" s="681"/>
      <c r="M474" s="681"/>
      <c r="N474" s="681"/>
      <c r="O474" s="681"/>
      <c r="P474" s="681"/>
      <c r="Q474" s="681"/>
      <c r="R474" s="681"/>
      <c r="S474" s="681"/>
      <c r="T474" s="681"/>
      <c r="U474" s="681"/>
      <c r="V474" s="681"/>
      <c r="W474" s="681"/>
      <c r="X474" s="681"/>
      <c r="Y474" s="681"/>
      <c r="Z474" s="681"/>
    </row>
    <row r="475" spans="10:26" s="1619" customFormat="1" ht="21.75" customHeight="1">
      <c r="J475" s="681"/>
      <c r="K475" s="681"/>
      <c r="L475" s="681"/>
      <c r="M475" s="681"/>
      <c r="N475" s="681"/>
      <c r="O475" s="681"/>
      <c r="P475" s="681"/>
      <c r="Q475" s="681"/>
      <c r="R475" s="681"/>
      <c r="S475" s="681"/>
      <c r="T475" s="681"/>
      <c r="U475" s="681"/>
      <c r="V475" s="681"/>
      <c r="W475" s="681"/>
      <c r="X475" s="681"/>
      <c r="Y475" s="681"/>
      <c r="Z475" s="681"/>
    </row>
    <row r="476" spans="10:26" s="1619" customFormat="1" ht="21.75" customHeight="1">
      <c r="J476" s="681"/>
      <c r="K476" s="681"/>
      <c r="L476" s="681"/>
      <c r="M476" s="681"/>
      <c r="N476" s="681"/>
      <c r="O476" s="681"/>
      <c r="P476" s="681"/>
      <c r="Q476" s="681"/>
      <c r="R476" s="681"/>
      <c r="S476" s="681"/>
      <c r="T476" s="681"/>
      <c r="U476" s="681"/>
      <c r="V476" s="681"/>
      <c r="W476" s="681"/>
      <c r="X476" s="681"/>
      <c r="Y476" s="681"/>
      <c r="Z476" s="681"/>
    </row>
    <row r="477" spans="10:26" s="1619" customFormat="1" ht="21.75" customHeight="1">
      <c r="J477" s="681"/>
      <c r="K477" s="681"/>
      <c r="L477" s="681"/>
      <c r="M477" s="681"/>
      <c r="N477" s="681"/>
      <c r="O477" s="681"/>
      <c r="P477" s="681"/>
      <c r="Q477" s="681"/>
      <c r="R477" s="681"/>
      <c r="S477" s="681"/>
      <c r="T477" s="681"/>
      <c r="U477" s="681"/>
      <c r="V477" s="681"/>
      <c r="W477" s="681"/>
      <c r="X477" s="681"/>
      <c r="Y477" s="681"/>
      <c r="Z477" s="681"/>
    </row>
    <row r="478" spans="10:26" s="1619" customFormat="1" ht="21.75" customHeight="1">
      <c r="J478" s="681"/>
      <c r="K478" s="681"/>
      <c r="L478" s="681"/>
      <c r="M478" s="681"/>
      <c r="N478" s="681"/>
      <c r="O478" s="681"/>
      <c r="P478" s="681"/>
      <c r="Q478" s="681"/>
      <c r="R478" s="681"/>
      <c r="S478" s="681"/>
      <c r="T478" s="681"/>
      <c r="U478" s="681"/>
      <c r="V478" s="681"/>
      <c r="W478" s="681"/>
      <c r="X478" s="681"/>
      <c r="Y478" s="681"/>
      <c r="Z478" s="681"/>
    </row>
    <row r="479" spans="10:26" s="1619" customFormat="1" ht="21.75" customHeight="1">
      <c r="J479" s="681"/>
      <c r="K479" s="681"/>
      <c r="L479" s="681"/>
      <c r="M479" s="681"/>
      <c r="N479" s="681"/>
      <c r="O479" s="681"/>
      <c r="P479" s="681"/>
      <c r="Q479" s="681"/>
      <c r="R479" s="681"/>
      <c r="S479" s="681"/>
      <c r="T479" s="681"/>
      <c r="U479" s="681"/>
      <c r="V479" s="681"/>
      <c r="W479" s="681"/>
      <c r="X479" s="681"/>
      <c r="Y479" s="681"/>
      <c r="Z479" s="681"/>
    </row>
    <row r="480" spans="10:26" s="1619" customFormat="1" ht="21.75" customHeight="1">
      <c r="J480" s="681"/>
      <c r="K480" s="681"/>
      <c r="L480" s="681"/>
      <c r="M480" s="681"/>
      <c r="N480" s="681"/>
      <c r="O480" s="681"/>
      <c r="P480" s="681"/>
      <c r="Q480" s="681"/>
      <c r="R480" s="681"/>
      <c r="S480" s="681"/>
      <c r="T480" s="681"/>
      <c r="U480" s="681"/>
      <c r="V480" s="681"/>
      <c r="W480" s="681"/>
      <c r="X480" s="681"/>
      <c r="Y480" s="681"/>
      <c r="Z480" s="681"/>
    </row>
    <row r="481" spans="10:26" s="1619" customFormat="1" ht="21.75" customHeight="1">
      <c r="J481" s="681"/>
      <c r="K481" s="681"/>
      <c r="L481" s="681"/>
      <c r="M481" s="681"/>
      <c r="N481" s="681"/>
      <c r="O481" s="681"/>
      <c r="P481" s="681"/>
      <c r="Q481" s="681"/>
      <c r="R481" s="681"/>
      <c r="S481" s="681"/>
      <c r="T481" s="681"/>
      <c r="U481" s="681"/>
      <c r="V481" s="681"/>
      <c r="W481" s="681"/>
      <c r="X481" s="681"/>
      <c r="Y481" s="681"/>
      <c r="Z481" s="681"/>
    </row>
    <row r="482" spans="10:26" s="1619" customFormat="1" ht="21.75" customHeight="1">
      <c r="J482" s="681"/>
      <c r="K482" s="681"/>
      <c r="L482" s="681"/>
      <c r="M482" s="681"/>
      <c r="N482" s="681"/>
      <c r="O482" s="681"/>
      <c r="P482" s="681"/>
      <c r="Q482" s="681"/>
      <c r="R482" s="681"/>
      <c r="S482" s="681"/>
      <c r="T482" s="681"/>
      <c r="U482" s="681"/>
      <c r="V482" s="681"/>
      <c r="W482" s="681"/>
      <c r="X482" s="681"/>
      <c r="Y482" s="681"/>
      <c r="Z482" s="681"/>
    </row>
    <row r="483" spans="10:26" s="1619" customFormat="1" ht="21.75" customHeight="1">
      <c r="J483" s="681"/>
      <c r="K483" s="681"/>
      <c r="L483" s="681"/>
      <c r="M483" s="681"/>
      <c r="N483" s="681"/>
      <c r="O483" s="681"/>
      <c r="P483" s="681"/>
      <c r="Q483" s="681"/>
      <c r="R483" s="681"/>
      <c r="S483" s="681"/>
      <c r="T483" s="681"/>
      <c r="U483" s="681"/>
      <c r="V483" s="681"/>
      <c r="W483" s="681"/>
      <c r="X483" s="681"/>
      <c r="Y483" s="681"/>
      <c r="Z483" s="681"/>
    </row>
    <row r="484" spans="10:26" s="1619" customFormat="1" ht="21.75" customHeight="1">
      <c r="J484" s="681"/>
      <c r="K484" s="681"/>
      <c r="L484" s="681"/>
      <c r="M484" s="681"/>
      <c r="N484" s="681"/>
      <c r="O484" s="681"/>
      <c r="P484" s="681"/>
      <c r="Q484" s="681"/>
      <c r="R484" s="681"/>
      <c r="S484" s="681"/>
      <c r="T484" s="681"/>
      <c r="U484" s="681"/>
      <c r="V484" s="681"/>
      <c r="W484" s="681"/>
      <c r="X484" s="681"/>
      <c r="Y484" s="681"/>
      <c r="Z484" s="681"/>
    </row>
    <row r="485" spans="10:26" s="1619" customFormat="1" ht="21.75" customHeight="1">
      <c r="J485" s="681"/>
      <c r="K485" s="681"/>
      <c r="L485" s="681"/>
      <c r="M485" s="681"/>
      <c r="N485" s="681"/>
      <c r="O485" s="681"/>
      <c r="P485" s="681"/>
      <c r="Q485" s="681"/>
      <c r="R485" s="681"/>
      <c r="S485" s="681"/>
      <c r="T485" s="681"/>
      <c r="U485" s="681"/>
      <c r="V485" s="681"/>
      <c r="W485" s="681"/>
      <c r="X485" s="681"/>
      <c r="Y485" s="681"/>
      <c r="Z485" s="681"/>
    </row>
    <row r="486" spans="10:26" s="1619" customFormat="1" ht="21.75" customHeight="1">
      <c r="J486" s="681"/>
      <c r="K486" s="681"/>
      <c r="L486" s="681"/>
      <c r="M486" s="681"/>
      <c r="N486" s="681"/>
      <c r="O486" s="681"/>
      <c r="P486" s="681"/>
      <c r="Q486" s="681"/>
      <c r="R486" s="681"/>
      <c r="S486" s="681"/>
      <c r="T486" s="681"/>
      <c r="U486" s="681"/>
      <c r="V486" s="681"/>
      <c r="W486" s="681"/>
      <c r="X486" s="681"/>
      <c r="Y486" s="681"/>
      <c r="Z486" s="681"/>
    </row>
    <row r="487" spans="10:26" s="1619" customFormat="1" ht="21.75" customHeight="1">
      <c r="J487" s="681"/>
      <c r="K487" s="681"/>
      <c r="L487" s="681"/>
      <c r="M487" s="681"/>
      <c r="N487" s="681"/>
      <c r="O487" s="681"/>
      <c r="P487" s="681"/>
      <c r="Q487" s="681"/>
      <c r="R487" s="681"/>
      <c r="S487" s="681"/>
      <c r="T487" s="681"/>
      <c r="U487" s="681"/>
      <c r="V487" s="681"/>
      <c r="W487" s="681"/>
      <c r="X487" s="681"/>
      <c r="Y487" s="681"/>
      <c r="Z487" s="681"/>
    </row>
    <row r="488" spans="10:26" s="1619" customFormat="1" ht="21.75" customHeight="1">
      <c r="J488" s="681"/>
      <c r="K488" s="681"/>
      <c r="L488" s="681"/>
      <c r="M488" s="681"/>
      <c r="N488" s="681"/>
      <c r="O488" s="681"/>
      <c r="P488" s="681"/>
      <c r="Q488" s="681"/>
      <c r="R488" s="681"/>
      <c r="S488" s="681"/>
      <c r="T488" s="681"/>
      <c r="U488" s="681"/>
      <c r="V488" s="681"/>
      <c r="W488" s="681"/>
      <c r="X488" s="681"/>
      <c r="Y488" s="681"/>
      <c r="Z488" s="681"/>
    </row>
    <row r="489" spans="10:26" s="1619" customFormat="1" ht="21.75" customHeight="1">
      <c r="J489" s="681"/>
      <c r="K489" s="681"/>
      <c r="L489" s="681"/>
      <c r="M489" s="681"/>
      <c r="N489" s="681"/>
      <c r="O489" s="681"/>
      <c r="P489" s="681"/>
      <c r="Q489" s="681"/>
      <c r="R489" s="681"/>
      <c r="S489" s="681"/>
      <c r="T489" s="681"/>
      <c r="U489" s="681"/>
      <c r="V489" s="681"/>
      <c r="W489" s="681"/>
      <c r="X489" s="681"/>
      <c r="Y489" s="681"/>
      <c r="Z489" s="681"/>
    </row>
    <row r="490" spans="10:26" s="1619" customFormat="1" ht="21.75" customHeight="1">
      <c r="J490" s="681"/>
      <c r="K490" s="681"/>
      <c r="L490" s="681"/>
      <c r="M490" s="681"/>
      <c r="N490" s="681"/>
      <c r="O490" s="681"/>
      <c r="P490" s="681"/>
      <c r="Q490" s="681"/>
      <c r="R490" s="681"/>
      <c r="S490" s="681"/>
      <c r="T490" s="681"/>
      <c r="U490" s="681"/>
      <c r="V490" s="681"/>
      <c r="W490" s="681"/>
      <c r="X490" s="681"/>
      <c r="Y490" s="681"/>
      <c r="Z490" s="681"/>
    </row>
    <row r="491" spans="10:26" s="1619" customFormat="1" ht="21.75" customHeight="1">
      <c r="J491" s="681"/>
      <c r="K491" s="681"/>
      <c r="L491" s="681"/>
      <c r="M491" s="681"/>
      <c r="N491" s="681"/>
      <c r="O491" s="681"/>
      <c r="P491" s="681"/>
      <c r="Q491" s="681"/>
      <c r="R491" s="681"/>
      <c r="S491" s="681"/>
      <c r="T491" s="681"/>
      <c r="U491" s="681"/>
      <c r="V491" s="681"/>
      <c r="W491" s="681"/>
      <c r="X491" s="681"/>
      <c r="Y491" s="681"/>
      <c r="Z491" s="681"/>
    </row>
    <row r="492" spans="10:26" s="1619" customFormat="1" ht="21.75" customHeight="1">
      <c r="J492" s="681"/>
      <c r="K492" s="681"/>
      <c r="L492" s="681"/>
      <c r="M492" s="681"/>
      <c r="N492" s="681"/>
      <c r="O492" s="681"/>
      <c r="P492" s="681"/>
      <c r="Q492" s="681"/>
      <c r="R492" s="681"/>
      <c r="S492" s="681"/>
      <c r="T492" s="681"/>
      <c r="U492" s="681"/>
      <c r="V492" s="681"/>
      <c r="W492" s="681"/>
      <c r="X492" s="681"/>
      <c r="Y492" s="681"/>
      <c r="Z492" s="681"/>
    </row>
    <row r="493" spans="10:26" s="1619" customFormat="1" ht="21.75" customHeight="1">
      <c r="J493" s="681"/>
      <c r="K493" s="681"/>
      <c r="L493" s="681"/>
      <c r="M493" s="681"/>
      <c r="N493" s="681"/>
      <c r="O493" s="681"/>
      <c r="P493" s="681"/>
      <c r="Q493" s="681"/>
      <c r="R493" s="681"/>
      <c r="S493" s="681"/>
      <c r="T493" s="681"/>
      <c r="U493" s="681"/>
      <c r="V493" s="681"/>
      <c r="W493" s="681"/>
      <c r="X493" s="681"/>
      <c r="Y493" s="681"/>
      <c r="Z493" s="681"/>
    </row>
    <row r="494" spans="10:26" s="1619" customFormat="1" ht="21.75" customHeight="1">
      <c r="J494" s="681"/>
      <c r="K494" s="681"/>
      <c r="L494" s="681"/>
      <c r="M494" s="681"/>
      <c r="N494" s="681"/>
      <c r="O494" s="681"/>
      <c r="P494" s="681"/>
      <c r="Q494" s="681"/>
      <c r="R494" s="681"/>
      <c r="S494" s="681"/>
      <c r="T494" s="681"/>
      <c r="U494" s="681"/>
      <c r="V494" s="681"/>
      <c r="W494" s="681"/>
      <c r="X494" s="681"/>
      <c r="Y494" s="681"/>
      <c r="Z494" s="681"/>
    </row>
    <row r="495" spans="10:26" s="1619" customFormat="1" ht="21.75" customHeight="1">
      <c r="J495" s="681"/>
      <c r="K495" s="681"/>
      <c r="L495" s="681"/>
      <c r="M495" s="681"/>
      <c r="N495" s="681"/>
      <c r="O495" s="681"/>
      <c r="P495" s="681"/>
      <c r="Q495" s="681"/>
      <c r="R495" s="681"/>
      <c r="S495" s="681"/>
      <c r="T495" s="681"/>
      <c r="U495" s="681"/>
      <c r="V495" s="681"/>
      <c r="W495" s="681"/>
      <c r="X495" s="681"/>
      <c r="Y495" s="681"/>
      <c r="Z495" s="681"/>
    </row>
    <row r="496" spans="10:26" s="1619" customFormat="1" ht="21.75" customHeight="1">
      <c r="J496" s="681"/>
      <c r="K496" s="681"/>
      <c r="L496" s="681"/>
      <c r="M496" s="681"/>
      <c r="N496" s="681"/>
      <c r="O496" s="681"/>
      <c r="P496" s="681"/>
      <c r="Q496" s="681"/>
      <c r="R496" s="681"/>
      <c r="S496" s="681"/>
      <c r="T496" s="681"/>
      <c r="U496" s="681"/>
      <c r="V496" s="681"/>
      <c r="W496" s="681"/>
      <c r="X496" s="681"/>
      <c r="Y496" s="681"/>
      <c r="Z496" s="681"/>
    </row>
    <row r="497" spans="10:26" s="1619" customFormat="1" ht="21.75" customHeight="1">
      <c r="J497" s="681"/>
      <c r="K497" s="681"/>
      <c r="L497" s="681"/>
      <c r="M497" s="681"/>
      <c r="N497" s="681"/>
      <c r="O497" s="681"/>
      <c r="P497" s="681"/>
      <c r="Q497" s="681"/>
      <c r="R497" s="681"/>
      <c r="S497" s="681"/>
      <c r="T497" s="681"/>
      <c r="U497" s="681"/>
      <c r="V497" s="681"/>
      <c r="W497" s="681"/>
      <c r="X497" s="681"/>
      <c r="Y497" s="681"/>
      <c r="Z497" s="681"/>
    </row>
    <row r="498" spans="10:26" s="1619" customFormat="1" ht="21.75" customHeight="1">
      <c r="J498" s="681"/>
      <c r="K498" s="681"/>
      <c r="L498" s="681"/>
      <c r="M498" s="681"/>
      <c r="N498" s="681"/>
      <c r="O498" s="681"/>
      <c r="P498" s="681"/>
      <c r="Q498" s="681"/>
      <c r="R498" s="681"/>
      <c r="S498" s="681"/>
      <c r="T498" s="681"/>
      <c r="U498" s="681"/>
      <c r="V498" s="681"/>
      <c r="W498" s="681"/>
      <c r="X498" s="681"/>
      <c r="Y498" s="681"/>
      <c r="Z498" s="681"/>
    </row>
    <row r="499" spans="10:26" s="1619" customFormat="1" ht="21.75" customHeight="1">
      <c r="J499" s="681"/>
      <c r="K499" s="681"/>
      <c r="L499" s="681"/>
      <c r="M499" s="681"/>
      <c r="N499" s="681"/>
      <c r="O499" s="681"/>
      <c r="P499" s="681"/>
      <c r="Q499" s="681"/>
      <c r="R499" s="681"/>
      <c r="S499" s="681"/>
      <c r="T499" s="681"/>
      <c r="U499" s="681"/>
      <c r="V499" s="681"/>
      <c r="W499" s="681"/>
      <c r="X499" s="681"/>
      <c r="Y499" s="681"/>
      <c r="Z499" s="681"/>
    </row>
    <row r="500" spans="10:26" s="1619" customFormat="1" ht="21.75" customHeight="1">
      <c r="J500" s="681"/>
      <c r="K500" s="681"/>
      <c r="L500" s="681"/>
      <c r="M500" s="681"/>
      <c r="N500" s="681"/>
      <c r="O500" s="681"/>
      <c r="P500" s="681"/>
      <c r="Q500" s="681"/>
      <c r="R500" s="681"/>
      <c r="S500" s="681"/>
      <c r="T500" s="681"/>
      <c r="U500" s="681"/>
      <c r="V500" s="681"/>
      <c r="W500" s="681"/>
      <c r="X500" s="681"/>
      <c r="Y500" s="681"/>
      <c r="Z500" s="681"/>
    </row>
    <row r="501" spans="10:26" s="1619" customFormat="1" ht="21.75" customHeight="1">
      <c r="J501" s="681"/>
      <c r="K501" s="681"/>
      <c r="L501" s="681"/>
      <c r="M501" s="681"/>
      <c r="N501" s="681"/>
      <c r="O501" s="681"/>
      <c r="P501" s="681"/>
      <c r="Q501" s="681"/>
      <c r="R501" s="681"/>
      <c r="S501" s="681"/>
      <c r="T501" s="681"/>
      <c r="U501" s="681"/>
      <c r="V501" s="681"/>
      <c r="W501" s="681"/>
      <c r="X501" s="681"/>
      <c r="Y501" s="681"/>
      <c r="Z501" s="681"/>
    </row>
    <row r="502" spans="10:26" s="1619" customFormat="1" ht="21.75" customHeight="1">
      <c r="J502" s="681"/>
      <c r="K502" s="681"/>
      <c r="L502" s="681"/>
      <c r="M502" s="681"/>
      <c r="N502" s="681"/>
      <c r="O502" s="681"/>
      <c r="P502" s="681"/>
      <c r="Q502" s="681"/>
      <c r="R502" s="681"/>
      <c r="S502" s="681"/>
      <c r="T502" s="681"/>
      <c r="U502" s="681"/>
      <c r="V502" s="681"/>
      <c r="W502" s="681"/>
      <c r="X502" s="681"/>
      <c r="Y502" s="681"/>
      <c r="Z502" s="681"/>
    </row>
    <row r="503" spans="10:26" s="1619" customFormat="1" ht="21.75" customHeight="1">
      <c r="J503" s="681"/>
      <c r="K503" s="681"/>
      <c r="L503" s="681"/>
      <c r="M503" s="681"/>
      <c r="N503" s="681"/>
      <c r="O503" s="681"/>
      <c r="P503" s="681"/>
      <c r="Q503" s="681"/>
      <c r="R503" s="681"/>
      <c r="S503" s="681"/>
      <c r="T503" s="681"/>
      <c r="U503" s="681"/>
      <c r="V503" s="681"/>
      <c r="W503" s="681"/>
      <c r="X503" s="681"/>
      <c r="Y503" s="681"/>
      <c r="Z503" s="681"/>
    </row>
    <row r="504" spans="10:26" s="1619" customFormat="1" ht="21.75" customHeight="1">
      <c r="J504" s="681"/>
      <c r="K504" s="681"/>
      <c r="L504" s="681"/>
      <c r="M504" s="681"/>
      <c r="N504" s="681"/>
      <c r="O504" s="681"/>
      <c r="P504" s="681"/>
      <c r="Q504" s="681"/>
      <c r="R504" s="681"/>
      <c r="S504" s="681"/>
      <c r="T504" s="681"/>
      <c r="U504" s="681"/>
      <c r="V504" s="681"/>
      <c r="W504" s="681"/>
      <c r="X504" s="681"/>
      <c r="Y504" s="681"/>
      <c r="Z504" s="681"/>
    </row>
    <row r="505" spans="10:26" s="1619" customFormat="1" ht="21.75" customHeight="1">
      <c r="J505" s="681"/>
      <c r="K505" s="681"/>
      <c r="L505" s="681"/>
      <c r="M505" s="681"/>
      <c r="N505" s="681"/>
      <c r="O505" s="681"/>
      <c r="P505" s="681"/>
      <c r="Q505" s="681"/>
      <c r="R505" s="681"/>
      <c r="S505" s="681"/>
      <c r="T505" s="681"/>
      <c r="U505" s="681"/>
      <c r="V505" s="681"/>
      <c r="W505" s="681"/>
      <c r="X505" s="681"/>
      <c r="Y505" s="681"/>
      <c r="Z505" s="681"/>
    </row>
    <row r="506" spans="10:26" s="1619" customFormat="1" ht="21.75" customHeight="1">
      <c r="J506" s="681"/>
      <c r="K506" s="681"/>
      <c r="L506" s="681"/>
      <c r="M506" s="681"/>
      <c r="N506" s="681"/>
      <c r="O506" s="681"/>
      <c r="P506" s="681"/>
      <c r="Q506" s="681"/>
      <c r="R506" s="681"/>
      <c r="S506" s="681"/>
      <c r="T506" s="681"/>
      <c r="U506" s="681"/>
      <c r="V506" s="681"/>
      <c r="W506" s="681"/>
      <c r="X506" s="681"/>
      <c r="Y506" s="681"/>
      <c r="Z506" s="681"/>
    </row>
    <row r="507" spans="10:26" s="1619" customFormat="1" ht="21.75" customHeight="1">
      <c r="J507" s="681"/>
      <c r="K507" s="681"/>
      <c r="L507" s="681"/>
      <c r="M507" s="681"/>
      <c r="N507" s="681"/>
      <c r="O507" s="681"/>
      <c r="P507" s="681"/>
      <c r="Q507" s="681"/>
      <c r="R507" s="681"/>
      <c r="S507" s="681"/>
      <c r="T507" s="681"/>
      <c r="U507" s="681"/>
      <c r="V507" s="681"/>
      <c r="W507" s="681"/>
      <c r="X507" s="681"/>
      <c r="Y507" s="681"/>
      <c r="Z507" s="681"/>
    </row>
    <row r="508" spans="10:26" s="1619" customFormat="1" ht="21.75" customHeight="1">
      <c r="J508" s="681"/>
      <c r="K508" s="681"/>
      <c r="L508" s="681"/>
      <c r="M508" s="681"/>
      <c r="N508" s="681"/>
      <c r="O508" s="681"/>
      <c r="P508" s="681"/>
      <c r="Q508" s="681"/>
      <c r="R508" s="681"/>
      <c r="S508" s="681"/>
      <c r="T508" s="681"/>
      <c r="U508" s="681"/>
      <c r="V508" s="681"/>
      <c r="W508" s="681"/>
      <c r="X508" s="681"/>
      <c r="Y508" s="681"/>
      <c r="Z508" s="681"/>
    </row>
    <row r="509" spans="10:26" s="1619" customFormat="1" ht="21.75" customHeight="1">
      <c r="J509" s="681"/>
      <c r="K509" s="681"/>
      <c r="L509" s="681"/>
      <c r="M509" s="681"/>
      <c r="N509" s="681"/>
      <c r="O509" s="681"/>
      <c r="P509" s="681"/>
      <c r="Q509" s="681"/>
      <c r="R509" s="681"/>
      <c r="S509" s="681"/>
      <c r="T509" s="681"/>
      <c r="U509" s="681"/>
      <c r="V509" s="681"/>
      <c r="W509" s="681"/>
      <c r="X509" s="681"/>
      <c r="Y509" s="681"/>
      <c r="Z509" s="681"/>
    </row>
    <row r="510" spans="10:26" s="1619" customFormat="1" ht="21.75" customHeight="1">
      <c r="J510" s="681"/>
      <c r="K510" s="681"/>
      <c r="L510" s="681"/>
      <c r="M510" s="681"/>
      <c r="N510" s="681"/>
      <c r="O510" s="681"/>
      <c r="P510" s="681"/>
      <c r="Q510" s="681"/>
      <c r="R510" s="681"/>
      <c r="S510" s="681"/>
      <c r="T510" s="681"/>
      <c r="U510" s="681"/>
      <c r="V510" s="681"/>
      <c r="W510" s="681"/>
      <c r="X510" s="681"/>
      <c r="Y510" s="681"/>
      <c r="Z510" s="681"/>
    </row>
    <row r="511" spans="10:26" s="1619" customFormat="1" ht="21.75" customHeight="1">
      <c r="J511" s="681"/>
      <c r="K511" s="681"/>
      <c r="L511" s="681"/>
      <c r="M511" s="681"/>
      <c r="N511" s="681"/>
      <c r="O511" s="681"/>
      <c r="P511" s="681"/>
      <c r="Q511" s="681"/>
      <c r="R511" s="681"/>
      <c r="S511" s="681"/>
      <c r="T511" s="681"/>
      <c r="U511" s="681"/>
      <c r="V511" s="681"/>
      <c r="W511" s="681"/>
      <c r="X511" s="681"/>
      <c r="Y511" s="681"/>
      <c r="Z511" s="681"/>
    </row>
    <row r="512" spans="10:26" s="1619" customFormat="1" ht="21.75" customHeight="1">
      <c r="J512" s="681"/>
      <c r="K512" s="681"/>
      <c r="L512" s="681"/>
      <c r="M512" s="681"/>
      <c r="N512" s="681"/>
      <c r="O512" s="681"/>
      <c r="P512" s="681"/>
      <c r="Q512" s="681"/>
      <c r="R512" s="681"/>
      <c r="S512" s="681"/>
      <c r="T512" s="681"/>
      <c r="U512" s="681"/>
      <c r="V512" s="681"/>
      <c r="W512" s="681"/>
      <c r="X512" s="681"/>
      <c r="Y512" s="681"/>
      <c r="Z512" s="68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tabColor rgb="FF92D050"/>
    <pageSetUpPr fitToPage="1"/>
  </sheetPr>
  <dimension ref="A1:AC131"/>
  <sheetViews>
    <sheetView view="pageBreakPreview" topLeftCell="A54" zoomScaleNormal="60" zoomScaleSheetLayoutView="100" workbookViewId="0">
      <selection activeCell="H68" sqref="H68"/>
    </sheetView>
  </sheetViews>
  <sheetFormatPr defaultColWidth="9" defaultRowHeight="14.25"/>
  <cols>
    <col min="1" max="1" width="14.375" style="345" customWidth="1"/>
    <col min="2" max="2" width="15.75" style="345" customWidth="1"/>
    <col min="3" max="3" width="19"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1868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f>F65</f>
        <v>174122</v>
      </c>
      <c r="C2" s="851"/>
      <c r="D2" s="851"/>
      <c r="E2" s="852"/>
      <c r="F2" s="853"/>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ROUND(IF(D3="",B2*10000/'数据-汇总表'!E3,B2*10000/D3),0)</f>
        <v>16372</v>
      </c>
      <c r="C3" s="193" t="s">
        <v>1869</v>
      </c>
      <c r="D3" s="1108"/>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19" t="s">
        <v>1770</v>
      </c>
      <c r="D4" s="3431"/>
      <c r="E4" s="3432" t="s">
        <v>1771</v>
      </c>
      <c r="F4" s="3433"/>
      <c r="G4" s="3419" t="s">
        <v>1772</v>
      </c>
      <c r="H4" s="3431"/>
      <c r="I4" s="3419" t="s">
        <v>1773</v>
      </c>
      <c r="J4" s="3431"/>
      <c r="K4" s="535" t="s">
        <v>1774</v>
      </c>
      <c r="L4" s="2479"/>
      <c r="M4" s="2480"/>
      <c r="N4" s="2480"/>
      <c r="O4" s="2480"/>
      <c r="P4" s="3434" t="s">
        <v>1775</v>
      </c>
      <c r="Q4" s="3435"/>
      <c r="R4" s="3440" t="s">
        <v>1771</v>
      </c>
      <c r="S4" s="3441"/>
      <c r="T4" s="3440" t="s">
        <v>1772</v>
      </c>
      <c r="U4" s="3441"/>
      <c r="V4" s="3427" t="s">
        <v>1773</v>
      </c>
      <c r="W4" s="3427"/>
      <c r="X4" s="1262"/>
      <c r="Y4" s="3440" t="s">
        <v>1775</v>
      </c>
      <c r="Z4" s="3441"/>
      <c r="AA4" s="3428" t="s">
        <v>1771</v>
      </c>
      <c r="AB4" s="3429" t="s">
        <v>1772</v>
      </c>
      <c r="AC4" s="3428" t="s">
        <v>1773</v>
      </c>
    </row>
    <row r="5" spans="1:29" ht="55.5" customHeight="1">
      <c r="A5" s="346"/>
      <c r="B5" s="347"/>
      <c r="C5" s="3448" t="s">
        <v>1673</v>
      </c>
      <c r="D5" s="3449"/>
      <c r="E5" s="3455" t="str">
        <f>案例!A6</f>
        <v>北京市顺义区顺义新城第1街区01-03-21地块R2二类居住用地</v>
      </c>
      <c r="F5" s="3456"/>
      <c r="G5" s="3448" t="str">
        <f>案例!A9</f>
        <v>北京市顺义区顺义新城第2街区SY00-0002-6022、SY00-0002-6023-1地块二类居住用地</v>
      </c>
      <c r="H5" s="3449"/>
      <c r="I5" s="3448" t="str">
        <f>案例!A13</f>
        <v>北京市顺义区顺义新城第1街区SY00-0001-0320地块R2二类居住用地</v>
      </c>
      <c r="J5" s="3449"/>
      <c r="K5" s="535"/>
      <c r="L5" s="2479"/>
      <c r="M5" s="2480"/>
      <c r="N5" s="2480"/>
      <c r="O5" s="2480"/>
      <c r="P5" s="3436"/>
      <c r="Q5" s="3437"/>
      <c r="R5" s="3442"/>
      <c r="S5" s="3443"/>
      <c r="T5" s="3442"/>
      <c r="U5" s="3443"/>
      <c r="V5" s="3427"/>
      <c r="W5" s="3427"/>
      <c r="X5" s="1262"/>
      <c r="Y5" s="3442"/>
      <c r="Z5" s="3443"/>
      <c r="AA5" s="3429"/>
      <c r="AB5" s="3429"/>
      <c r="AC5" s="3429"/>
    </row>
    <row r="6" spans="1:29" ht="15.75" thickBot="1">
      <c r="A6" s="348"/>
      <c r="B6" s="349"/>
      <c r="C6" s="3446" t="s">
        <v>1677</v>
      </c>
      <c r="D6" s="3447"/>
      <c r="E6" s="3453" t="s">
        <v>1677</v>
      </c>
      <c r="F6" s="3454"/>
      <c r="G6" s="3446" t="s">
        <v>1677</v>
      </c>
      <c r="H6" s="3447"/>
      <c r="I6" s="3446" t="s">
        <v>1677</v>
      </c>
      <c r="J6" s="3447"/>
      <c r="K6" s="535" t="s">
        <v>1678</v>
      </c>
      <c r="L6" s="2479"/>
      <c r="M6" s="2480"/>
      <c r="N6" s="2480"/>
      <c r="O6" s="2480"/>
      <c r="P6" s="3438"/>
      <c r="Q6" s="3439"/>
      <c r="R6" s="3442"/>
      <c r="S6" s="3443"/>
      <c r="T6" s="3444"/>
      <c r="U6" s="3445"/>
      <c r="V6" s="3427"/>
      <c r="W6" s="3427"/>
      <c r="X6" s="1262"/>
      <c r="Y6" s="3444"/>
      <c r="Z6" s="3445"/>
      <c r="AA6" s="3430"/>
      <c r="AB6" s="3430"/>
      <c r="AC6" s="3430"/>
    </row>
    <row r="7" spans="1:29" s="101" customFormat="1" ht="15.75" thickBot="1">
      <c r="A7" s="350" t="s">
        <v>1679</v>
      </c>
      <c r="B7" s="351"/>
      <c r="C7" s="352">
        <f>'数据-取费表'!B2</f>
        <v>45639</v>
      </c>
      <c r="D7" s="353">
        <v>100</v>
      </c>
      <c r="E7" s="354" t="str">
        <f>案例!O6</f>
        <v>2024-02-21</v>
      </c>
      <c r="F7" s="355">
        <f>SUMIF(69:69,YEAR(E7)&amp;"-"&amp;INT((MONTH(E7)+2)/3),70:70)</f>
        <v>100</v>
      </c>
      <c r="G7" s="1818" t="str">
        <f>案例!O9</f>
        <v>2023-06-14</v>
      </c>
      <c r="H7" s="353">
        <f>SUMIF(69:69,YEAR(G7)&amp;"-"&amp;INT((MONTH(G7)+2)/3),70:70)</f>
        <v>100</v>
      </c>
      <c r="I7" s="1818" t="str">
        <f>案例!O13</f>
        <v>2022-09-22</v>
      </c>
      <c r="J7" s="353">
        <f>SUMIF(69:69,YEAR(I7)&amp;"-"&amp;INT((MONTH(I7)+2)/3),70:70)</f>
        <v>100</v>
      </c>
      <c r="K7" s="38"/>
      <c r="L7" s="2481"/>
      <c r="M7" s="2433"/>
      <c r="N7" s="2433"/>
      <c r="O7" s="2433"/>
      <c r="P7" s="3450" t="s">
        <v>1680</v>
      </c>
      <c r="Q7" s="3452"/>
      <c r="R7" s="661" t="s">
        <v>14</v>
      </c>
      <c r="S7" s="662">
        <f t="shared" ref="S7:S15" si="0">F7</f>
        <v>100</v>
      </c>
      <c r="T7" s="661" t="s">
        <v>14</v>
      </c>
      <c r="U7" s="662">
        <f t="shared" ref="U7:U15" si="1">H7</f>
        <v>100</v>
      </c>
      <c r="V7" s="661" t="s">
        <v>14</v>
      </c>
      <c r="W7" s="662">
        <f t="shared" ref="W7:W15" si="2">J7</f>
        <v>100</v>
      </c>
      <c r="X7" s="663"/>
      <c r="Y7" s="3450" t="s">
        <v>1680</v>
      </c>
      <c r="Z7" s="3451"/>
      <c r="AA7" s="50">
        <f>D7/F7</f>
        <v>1</v>
      </c>
      <c r="AB7" s="50">
        <f>D7/H7</f>
        <v>1</v>
      </c>
      <c r="AC7" s="50">
        <f>D7/J7</f>
        <v>1</v>
      </c>
    </row>
    <row r="8" spans="1:29" s="101" customFormat="1" ht="15.75" thickBot="1">
      <c r="A8" s="350" t="s">
        <v>1681</v>
      </c>
      <c r="B8" s="351"/>
      <c r="C8" s="356" t="s">
        <v>1682</v>
      </c>
      <c r="D8" s="353">
        <v>100</v>
      </c>
      <c r="E8" s="356" t="s">
        <v>1682</v>
      </c>
      <c r="F8" s="355">
        <f>SUMIF(72:72,E8,73:73)-SUMIF(72:72,C8,73:73)+100</f>
        <v>100</v>
      </c>
      <c r="G8" s="356" t="s">
        <v>1682</v>
      </c>
      <c r="H8" s="353">
        <f>SUMIF(72:72,G8,73:73)-SUMIF(72:72,C8,73:73)+100</f>
        <v>100</v>
      </c>
      <c r="I8" s="356" t="s">
        <v>1682</v>
      </c>
      <c r="J8" s="353">
        <f>SUMIF(72:72,I8,73:73)-SUMIF(72:72,C8,73:73)+100</f>
        <v>100</v>
      </c>
      <c r="K8" s="38"/>
      <c r="L8" s="2481"/>
      <c r="M8" s="2433"/>
      <c r="N8" s="2433"/>
      <c r="O8" s="2433"/>
      <c r="P8" s="3450" t="s">
        <v>1683</v>
      </c>
      <c r="Q8" s="3451"/>
      <c r="R8" s="661" t="s">
        <v>14</v>
      </c>
      <c r="S8" s="662">
        <f t="shared" si="0"/>
        <v>100</v>
      </c>
      <c r="T8" s="661" t="s">
        <v>14</v>
      </c>
      <c r="U8" s="662">
        <f t="shared" si="1"/>
        <v>100</v>
      </c>
      <c r="V8" s="661" t="s">
        <v>14</v>
      </c>
      <c r="W8" s="662">
        <f t="shared" si="2"/>
        <v>100</v>
      </c>
      <c r="X8" s="663"/>
      <c r="Y8" s="3450" t="s">
        <v>1683</v>
      </c>
      <c r="Z8" s="3451"/>
      <c r="AA8" s="50">
        <f t="shared" ref="AA8:AA45" si="3">D8/F8</f>
        <v>1</v>
      </c>
      <c r="AB8" s="50">
        <f t="shared" ref="AB8:AB45" si="4">D8/H8</f>
        <v>1</v>
      </c>
      <c r="AC8" s="50">
        <f t="shared" ref="AC8:AC45" si="5">D8/J8</f>
        <v>1</v>
      </c>
    </row>
    <row r="9" spans="1:29" s="101" customFormat="1">
      <c r="A9" s="357" t="s">
        <v>1684</v>
      </c>
      <c r="B9" s="59" t="s">
        <v>1685</v>
      </c>
      <c r="C9" s="1821" t="s">
        <v>4016</v>
      </c>
      <c r="D9" s="58">
        <v>100</v>
      </c>
      <c r="E9" s="1821" t="s">
        <v>4016</v>
      </c>
      <c r="F9" s="58">
        <f>SUMIF(74:74,E9,75:75)-SUMIF(74:74,C9,75:75)+100</f>
        <v>100</v>
      </c>
      <c r="G9" s="1821" t="s">
        <v>4016</v>
      </c>
      <c r="H9" s="58">
        <f>SUMIF(74:74,G9,75:75)-SUMIF(74:74,C9,75:75)+100</f>
        <v>100</v>
      </c>
      <c r="I9" s="1821" t="s">
        <v>4016</v>
      </c>
      <c r="J9" s="58">
        <f>SUMIF(74:74,I9,75:75)-SUMIF(74:74,C9,75:75)+100</f>
        <v>100</v>
      </c>
      <c r="K9" s="38"/>
      <c r="L9" s="2481"/>
      <c r="M9" s="2433"/>
      <c r="N9" s="2433"/>
      <c r="O9" s="2533"/>
      <c r="P9" s="3422" t="s">
        <v>1686</v>
      </c>
      <c r="Q9" s="528" t="str">
        <f t="shared" ref="Q9:Q15" si="6">B9</f>
        <v>用途</v>
      </c>
      <c r="R9" s="661" t="s">
        <v>14</v>
      </c>
      <c r="S9" s="662">
        <f t="shared" si="0"/>
        <v>100</v>
      </c>
      <c r="T9" s="661" t="s">
        <v>14</v>
      </c>
      <c r="U9" s="662">
        <f t="shared" si="1"/>
        <v>100</v>
      </c>
      <c r="V9" s="661" t="s">
        <v>14</v>
      </c>
      <c r="W9" s="662">
        <f t="shared" si="2"/>
        <v>100</v>
      </c>
      <c r="X9" s="663"/>
      <c r="Y9" s="3322" t="s">
        <v>1687</v>
      </c>
      <c r="Z9" s="50" t="str">
        <f t="shared" ref="Z9:Z15" si="7">Q9</f>
        <v>用途</v>
      </c>
      <c r="AA9" s="50">
        <f t="shared" si="3"/>
        <v>1</v>
      </c>
      <c r="AB9" s="50">
        <f t="shared" si="4"/>
        <v>1</v>
      </c>
      <c r="AC9" s="50">
        <f t="shared" si="5"/>
        <v>1</v>
      </c>
    </row>
    <row r="10" spans="1:29" s="364" customFormat="1" ht="27">
      <c r="A10" s="361"/>
      <c r="B10" s="362" t="s">
        <v>1688</v>
      </c>
      <c r="C10" s="369"/>
      <c r="D10" s="117">
        <v>100</v>
      </c>
      <c r="E10" s="401"/>
      <c r="F10" s="117">
        <f>ROUND(100/'数据-取费表'!G16,0)</f>
        <v>101</v>
      </c>
      <c r="G10" s="400"/>
      <c r="H10" s="117">
        <f>ROUND(100/'数据-取费表'!G16,0)</f>
        <v>101</v>
      </c>
      <c r="I10" s="400"/>
      <c r="J10" s="117">
        <f>ROUND(100/'数据-取费表'!G16,0)</f>
        <v>101</v>
      </c>
      <c r="K10" s="590"/>
      <c r="L10" s="2482"/>
      <c r="M10" s="2483"/>
      <c r="N10" s="2483"/>
      <c r="O10" s="2534"/>
      <c r="P10" s="3422"/>
      <c r="Q10" s="528" t="str">
        <f t="shared" si="6"/>
        <v>土地使用年限（年）</v>
      </c>
      <c r="R10" s="661" t="s">
        <v>14</v>
      </c>
      <c r="S10" s="662">
        <f t="shared" si="0"/>
        <v>101</v>
      </c>
      <c r="T10" s="661" t="s">
        <v>14</v>
      </c>
      <c r="U10" s="662">
        <f t="shared" si="1"/>
        <v>101</v>
      </c>
      <c r="V10" s="661" t="s">
        <v>14</v>
      </c>
      <c r="W10" s="662">
        <f t="shared" si="2"/>
        <v>101</v>
      </c>
      <c r="X10" s="663"/>
      <c r="Y10" s="3322"/>
      <c r="Z10" s="50" t="str">
        <f t="shared" si="7"/>
        <v>土地使用年限（年）</v>
      </c>
      <c r="AA10" s="50">
        <f t="shared" si="3"/>
        <v>0.99009900990099009</v>
      </c>
      <c r="AB10" s="50">
        <f t="shared" si="4"/>
        <v>0.99009900990099009</v>
      </c>
      <c r="AC10" s="50">
        <f t="shared" si="5"/>
        <v>0.99009900990099009</v>
      </c>
    </row>
    <row r="11" spans="1:29" ht="15">
      <c r="A11" s="365"/>
      <c r="B11" s="362" t="s">
        <v>1689</v>
      </c>
      <c r="C11" s="367">
        <v>1.8</v>
      </c>
      <c r="D11" s="117">
        <v>100</v>
      </c>
      <c r="E11" s="366">
        <v>2</v>
      </c>
      <c r="F11" s="117">
        <f>LOOKUP(E11,79:79,80:80)-LOOKUP(C11,79:79,80:80)+100</f>
        <v>97</v>
      </c>
      <c r="G11" s="367">
        <v>2.2000000000000002</v>
      </c>
      <c r="H11" s="117">
        <f>LOOKUP(G11,79:79,80:80)-LOOKUP(C11,79:79,80:80)+100</f>
        <v>97</v>
      </c>
      <c r="I11" s="366">
        <v>1.6</v>
      </c>
      <c r="J11" s="117">
        <f>LOOKUP(I11,79:79,80:80)-LOOKUP(C11,79:79,80:80)+100</f>
        <v>100</v>
      </c>
      <c r="K11" s="591">
        <v>3</v>
      </c>
      <c r="L11" s="2484"/>
      <c r="M11" s="2480"/>
      <c r="N11" s="2480"/>
      <c r="O11" s="2535"/>
      <c r="P11" s="3422"/>
      <c r="Q11" s="528" t="str">
        <f t="shared" si="6"/>
        <v>容积率</v>
      </c>
      <c r="R11" s="661" t="s">
        <v>14</v>
      </c>
      <c r="S11" s="662">
        <f t="shared" si="0"/>
        <v>97</v>
      </c>
      <c r="T11" s="661" t="s">
        <v>14</v>
      </c>
      <c r="U11" s="662">
        <f t="shared" si="1"/>
        <v>97</v>
      </c>
      <c r="V11" s="661" t="s">
        <v>14</v>
      </c>
      <c r="W11" s="662">
        <f t="shared" si="2"/>
        <v>100</v>
      </c>
      <c r="X11" s="663"/>
      <c r="Y11" s="3322"/>
      <c r="Z11" s="50" t="str">
        <f t="shared" si="7"/>
        <v>容积率</v>
      </c>
      <c r="AA11" s="50">
        <f t="shared" si="3"/>
        <v>1.0309278350515463</v>
      </c>
      <c r="AB11" s="50">
        <f t="shared" si="4"/>
        <v>1.0309278350515463</v>
      </c>
      <c r="AC11" s="50">
        <f t="shared" si="5"/>
        <v>1</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1"/>
      <c r="M12" s="2433"/>
      <c r="N12" s="2433"/>
      <c r="O12" s="2533"/>
      <c r="P12" s="3422"/>
      <c r="Q12" s="528" t="str">
        <f t="shared" si="6"/>
        <v>配建</v>
      </c>
      <c r="R12" s="661" t="s">
        <v>14</v>
      </c>
      <c r="S12" s="662">
        <f t="shared" si="0"/>
        <v>100</v>
      </c>
      <c r="T12" s="661" t="s">
        <v>14</v>
      </c>
      <c r="U12" s="662">
        <f t="shared" si="1"/>
        <v>100</v>
      </c>
      <c r="V12" s="661" t="s">
        <v>14</v>
      </c>
      <c r="W12" s="662">
        <f t="shared" si="2"/>
        <v>100</v>
      </c>
      <c r="X12" s="663"/>
      <c r="Y12" s="3322"/>
      <c r="Z12" s="50" t="str">
        <f t="shared" si="7"/>
        <v>配建</v>
      </c>
      <c r="AA12" s="50">
        <f>D12/F12</f>
        <v>1</v>
      </c>
      <c r="AB12" s="50">
        <f>D12/H12</f>
        <v>1</v>
      </c>
      <c r="AC12" s="50">
        <f>D12/J12</f>
        <v>1</v>
      </c>
    </row>
    <row r="13" spans="1:29" ht="15">
      <c r="A13" s="365"/>
      <c r="B13" s="445" t="s">
        <v>4230</v>
      </c>
      <c r="C13" s="592">
        <v>46000</v>
      </c>
      <c r="D13" s="372">
        <v>100</v>
      </c>
      <c r="E13" s="592">
        <v>46000</v>
      </c>
      <c r="F13" s="117">
        <f>SUMIF(83:83,E13,84:84)-SUMIF(83:83,C13,84:84)+100</f>
        <v>100</v>
      </c>
      <c r="G13" s="592">
        <v>46000</v>
      </c>
      <c r="H13" s="372">
        <f>SUMIF(83:83,G13,84:84)-SUMIF(83:83,C13,84:84)+100</f>
        <v>100</v>
      </c>
      <c r="I13" s="592">
        <v>46000</v>
      </c>
      <c r="J13" s="372">
        <f>SUMIF(83:83,I13,84:84)-SUMIF(83:83,C13,84:84)+100</f>
        <v>100</v>
      </c>
      <c r="K13" s="590"/>
      <c r="L13" s="2485"/>
      <c r="M13" s="2480"/>
      <c r="N13" s="2480"/>
      <c r="O13" s="2535"/>
      <c r="P13" s="3422"/>
      <c r="Q13" s="528" t="str">
        <f t="shared" si="6"/>
        <v>政府指导价</v>
      </c>
      <c r="R13" s="661" t="s">
        <v>14</v>
      </c>
      <c r="S13" s="662">
        <f t="shared" si="0"/>
        <v>100</v>
      </c>
      <c r="T13" s="661" t="s">
        <v>14</v>
      </c>
      <c r="U13" s="662">
        <f t="shared" si="1"/>
        <v>100</v>
      </c>
      <c r="V13" s="661" t="s">
        <v>14</v>
      </c>
      <c r="W13" s="662">
        <f t="shared" si="2"/>
        <v>100</v>
      </c>
      <c r="X13" s="663"/>
      <c r="Y13" s="3322"/>
      <c r="Z13" s="50" t="str">
        <f t="shared" si="7"/>
        <v>政府指导价</v>
      </c>
      <c r="AA13" s="50">
        <f>D13/F13</f>
        <v>1</v>
      </c>
      <c r="AB13" s="50">
        <f>D13/H13</f>
        <v>1</v>
      </c>
      <c r="AC13" s="50">
        <f>D13/J13</f>
        <v>1</v>
      </c>
    </row>
    <row r="14" spans="1:29" ht="15.75"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5"/>
      <c r="M14" s="2480"/>
      <c r="N14" s="2480"/>
      <c r="O14" s="2535"/>
      <c r="P14" s="3422"/>
      <c r="Q14" s="528">
        <f t="shared" si="6"/>
        <v>111</v>
      </c>
      <c r="R14" s="661" t="s">
        <v>14</v>
      </c>
      <c r="S14" s="662">
        <f t="shared" si="0"/>
        <v>100</v>
      </c>
      <c r="T14" s="661" t="s">
        <v>14</v>
      </c>
      <c r="U14" s="662">
        <f t="shared" si="1"/>
        <v>100</v>
      </c>
      <c r="V14" s="661" t="s">
        <v>14</v>
      </c>
      <c r="W14" s="662">
        <f t="shared" si="2"/>
        <v>100</v>
      </c>
      <c r="X14" s="663"/>
      <c r="Y14" s="3322"/>
      <c r="Z14" s="50">
        <f t="shared" si="7"/>
        <v>111</v>
      </c>
      <c r="AA14" s="50">
        <f>D14/F14</f>
        <v>1</v>
      </c>
      <c r="AB14" s="50">
        <f>D14/H14</f>
        <v>1</v>
      </c>
      <c r="AC14" s="50">
        <f>D14/J14</f>
        <v>1</v>
      </c>
    </row>
    <row r="15" spans="1:29" ht="15">
      <c r="A15" s="377" t="s">
        <v>1690</v>
      </c>
      <c r="B15" s="57" t="s">
        <v>1257</v>
      </c>
      <c r="C15" s="1746" t="str">
        <f>估价对象房地状况!C15</f>
        <v>一般</v>
      </c>
      <c r="D15" s="378">
        <v>100</v>
      </c>
      <c r="E15" s="379"/>
      <c r="F15" s="378">
        <f>SUMIF(87:87,E16,88:88)-SUMIF(87:87,C16,88:88)+100</f>
        <v>102</v>
      </c>
      <c r="G15" s="379"/>
      <c r="H15" s="378">
        <f>SUMIF(87:87,G16,88:88)-SUMIF(87:87,C16,88:88)+100</f>
        <v>102</v>
      </c>
      <c r="I15" s="381"/>
      <c r="J15" s="378">
        <f>SUMIF(87:87,I16,88:88)-SUMIF(87:87,C16,88:88)+100</f>
        <v>102</v>
      </c>
      <c r="K15" s="591">
        <v>2</v>
      </c>
      <c r="L15" s="2485"/>
      <c r="M15" s="2480"/>
      <c r="N15" s="2480"/>
      <c r="O15" s="2535"/>
      <c r="P15" s="3423" t="s">
        <v>1691</v>
      </c>
      <c r="Q15" s="1260" t="str">
        <f t="shared" si="6"/>
        <v>居住社区成熟度</v>
      </c>
      <c r="R15" s="664" t="s">
        <v>14</v>
      </c>
      <c r="S15" s="665">
        <f t="shared" si="0"/>
        <v>102</v>
      </c>
      <c r="T15" s="664" t="s">
        <v>14</v>
      </c>
      <c r="U15" s="665">
        <f t="shared" si="1"/>
        <v>102</v>
      </c>
      <c r="V15" s="664" t="s">
        <v>14</v>
      </c>
      <c r="W15" s="665">
        <f t="shared" si="2"/>
        <v>102</v>
      </c>
      <c r="X15" s="1262"/>
      <c r="Y15" s="3423" t="s">
        <v>1691</v>
      </c>
      <c r="Z15" s="1261" t="str">
        <f t="shared" si="7"/>
        <v>居住社区成熟度</v>
      </c>
      <c r="AA15" s="1261">
        <f t="shared" si="3"/>
        <v>0.98039215686274506</v>
      </c>
      <c r="AB15" s="1261">
        <f t="shared" si="4"/>
        <v>0.98039215686274506</v>
      </c>
      <c r="AC15" s="1261">
        <f t="shared" si="5"/>
        <v>0.98039215686274506</v>
      </c>
    </row>
    <row r="16" spans="1:29" ht="15">
      <c r="A16" s="365"/>
      <c r="B16" s="383"/>
      <c r="C16" s="384" t="s">
        <v>4242</v>
      </c>
      <c r="D16" s="385"/>
      <c r="E16" s="1748" t="s">
        <v>4245</v>
      </c>
      <c r="F16" s="385"/>
      <c r="G16" s="1748" t="s">
        <v>4245</v>
      </c>
      <c r="H16" s="387"/>
      <c r="I16" s="1747" t="s">
        <v>4245</v>
      </c>
      <c r="J16" s="385"/>
      <c r="K16" s="590"/>
      <c r="L16" s="2485"/>
      <c r="M16" s="2480"/>
      <c r="N16" s="2480"/>
      <c r="O16" s="2535"/>
      <c r="P16" s="3424"/>
      <c r="Q16" s="1260"/>
      <c r="R16" s="664"/>
      <c r="S16" s="665"/>
      <c r="T16" s="664"/>
      <c r="U16" s="665"/>
      <c r="V16" s="664"/>
      <c r="W16" s="665"/>
      <c r="X16" s="1262"/>
      <c r="Y16" s="3424"/>
      <c r="Z16" s="1261"/>
      <c r="AA16" s="1261">
        <v>1</v>
      </c>
      <c r="AB16" s="1261">
        <v>1</v>
      </c>
      <c r="AC16" s="1261">
        <v>1</v>
      </c>
    </row>
    <row r="17" spans="1:29" ht="15">
      <c r="A17" s="365"/>
      <c r="B17" s="388" t="s">
        <v>1777</v>
      </c>
      <c r="C17" s="1802">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5"/>
      <c r="M17" s="2480"/>
      <c r="N17" s="2480"/>
      <c r="O17" s="2535"/>
      <c r="P17" s="3424"/>
      <c r="Q17" s="1260" t="str">
        <f>B17</f>
        <v>商业繁华度</v>
      </c>
      <c r="R17" s="664" t="s">
        <v>14</v>
      </c>
      <c r="S17" s="665">
        <f>F17</f>
        <v>100</v>
      </c>
      <c r="T17" s="664" t="s">
        <v>14</v>
      </c>
      <c r="U17" s="665">
        <f>H17</f>
        <v>100</v>
      </c>
      <c r="V17" s="664" t="s">
        <v>14</v>
      </c>
      <c r="W17" s="665">
        <f>J17</f>
        <v>100</v>
      </c>
      <c r="X17" s="1262"/>
      <c r="Y17" s="3424"/>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5"/>
      <c r="M18" s="2480"/>
      <c r="N18" s="2480"/>
      <c r="O18" s="2535"/>
      <c r="P18" s="3424"/>
      <c r="Q18" s="1260"/>
      <c r="R18" s="664"/>
      <c r="S18" s="665"/>
      <c r="T18" s="664"/>
      <c r="U18" s="665"/>
      <c r="V18" s="664"/>
      <c r="W18" s="665"/>
      <c r="X18" s="1262"/>
      <c r="Y18" s="3424"/>
      <c r="Z18" s="1261"/>
      <c r="AA18" s="1261">
        <v>1</v>
      </c>
      <c r="AB18" s="1261">
        <v>1</v>
      </c>
      <c r="AC18" s="1261">
        <v>1</v>
      </c>
    </row>
    <row r="19" spans="1:29" ht="15">
      <c r="A19" s="365"/>
      <c r="B19" s="388" t="s">
        <v>1811</v>
      </c>
      <c r="C19" s="1802">
        <f>估价对象房地状况!C17</f>
        <v>0</v>
      </c>
      <c r="D19" s="392">
        <v>100</v>
      </c>
      <c r="E19" s="394"/>
      <c r="F19" s="392">
        <f>SUMIF(91:91,E20,92:92)-SUMIF(91:91,C20,92:92)+100</f>
        <v>100</v>
      </c>
      <c r="G19" s="394"/>
      <c r="H19" s="387">
        <f>SUMIF(91:91,G20,92:92)-SUMIF(91:91,C20,92:92)+100</f>
        <v>100</v>
      </c>
      <c r="I19" s="396"/>
      <c r="J19" s="387">
        <f>SUMIF(91:91,I20,92:92)-SUMIF(91:91,C20,92:92)+100</f>
        <v>100</v>
      </c>
      <c r="K19" s="591"/>
      <c r="L19" s="2485"/>
      <c r="M19" s="2480"/>
      <c r="N19" s="2480"/>
      <c r="O19" s="2535"/>
      <c r="P19" s="3424"/>
      <c r="Q19" s="1260" t="str">
        <f>B19</f>
        <v>办公集聚程度</v>
      </c>
      <c r="R19" s="664" t="s">
        <v>14</v>
      </c>
      <c r="S19" s="665">
        <f>F19</f>
        <v>100</v>
      </c>
      <c r="T19" s="664" t="s">
        <v>14</v>
      </c>
      <c r="U19" s="665">
        <f>H19</f>
        <v>100</v>
      </c>
      <c r="V19" s="664" t="s">
        <v>14</v>
      </c>
      <c r="W19" s="665">
        <f>J19</f>
        <v>100</v>
      </c>
      <c r="X19" s="1262"/>
      <c r="Y19" s="3424"/>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5"/>
      <c r="M20" s="2480"/>
      <c r="N20" s="2480"/>
      <c r="O20" s="2535"/>
      <c r="P20" s="3424"/>
      <c r="Q20" s="1260"/>
      <c r="R20" s="664"/>
      <c r="S20" s="665"/>
      <c r="T20" s="664"/>
      <c r="U20" s="665"/>
      <c r="V20" s="664"/>
      <c r="W20" s="665"/>
      <c r="X20" s="1262"/>
      <c r="Y20" s="3424"/>
      <c r="Z20" s="1261"/>
      <c r="AA20" s="1261">
        <v>1</v>
      </c>
      <c r="AB20" s="1261">
        <v>1</v>
      </c>
      <c r="AC20" s="1261">
        <v>1</v>
      </c>
    </row>
    <row r="21" spans="1:29" ht="15">
      <c r="A21" s="365"/>
      <c r="B21" s="388" t="s">
        <v>1833</v>
      </c>
      <c r="C21" s="1750" t="str">
        <f>估价对象房地状况!C18</f>
        <v>一般</v>
      </c>
      <c r="D21" s="387">
        <v>100</v>
      </c>
      <c r="E21" s="389"/>
      <c r="F21" s="392">
        <f>SUMIF(93:93,E22,94:94)-SUMIF(93:93,C22,94:94)+100</f>
        <v>100</v>
      </c>
      <c r="G21" s="389"/>
      <c r="H21" s="387">
        <f>SUMIF(93:93,G22,94:94)-SUMIF(93:93,C22,94:94)+100</f>
        <v>102</v>
      </c>
      <c r="I21" s="391"/>
      <c r="J21" s="387">
        <f>SUMIF(93:93,I22,94:94)-SUMIF(93:93,C22,94:94)+100</f>
        <v>100</v>
      </c>
      <c r="K21" s="591">
        <v>2</v>
      </c>
      <c r="L21" s="2485"/>
      <c r="M21" s="2480"/>
      <c r="N21" s="2480"/>
      <c r="O21" s="2535"/>
      <c r="P21" s="3424"/>
      <c r="Q21" s="1260" t="str">
        <f>B21</f>
        <v>交通便捷度</v>
      </c>
      <c r="R21" s="664" t="s">
        <v>14</v>
      </c>
      <c r="S21" s="665">
        <f>F21</f>
        <v>100</v>
      </c>
      <c r="T21" s="664" t="s">
        <v>14</v>
      </c>
      <c r="U21" s="665">
        <f>H21</f>
        <v>102</v>
      </c>
      <c r="V21" s="664" t="s">
        <v>14</v>
      </c>
      <c r="W21" s="665">
        <f>J21</f>
        <v>100</v>
      </c>
      <c r="X21" s="1262"/>
      <c r="Y21" s="3424"/>
      <c r="Z21" s="1261" t="str">
        <f>Q21</f>
        <v>交通便捷度</v>
      </c>
      <c r="AA21" s="1261">
        <f t="shared" si="3"/>
        <v>1</v>
      </c>
      <c r="AB21" s="1261">
        <f t="shared" si="4"/>
        <v>0.98039215686274506</v>
      </c>
      <c r="AC21" s="1261">
        <f t="shared" si="5"/>
        <v>1</v>
      </c>
    </row>
    <row r="22" spans="1:29" ht="15">
      <c r="A22" s="365"/>
      <c r="B22" s="584"/>
      <c r="C22" s="384" t="s">
        <v>4242</v>
      </c>
      <c r="D22" s="387"/>
      <c r="E22" s="384" t="s">
        <v>4242</v>
      </c>
      <c r="F22" s="385"/>
      <c r="G22" s="1748" t="s">
        <v>4245</v>
      </c>
      <c r="H22" s="385"/>
      <c r="I22" s="384" t="s">
        <v>4242</v>
      </c>
      <c r="J22" s="385"/>
      <c r="K22" s="590"/>
      <c r="L22" s="2485"/>
      <c r="M22" s="2480"/>
      <c r="N22" s="2480"/>
      <c r="O22" s="2535"/>
      <c r="P22" s="3424"/>
      <c r="Q22" s="1260"/>
      <c r="R22" s="664"/>
      <c r="S22" s="665"/>
      <c r="T22" s="664"/>
      <c r="U22" s="665"/>
      <c r="V22" s="664"/>
      <c r="W22" s="665"/>
      <c r="X22" s="1262"/>
      <c r="Y22" s="3424"/>
      <c r="Z22" s="1261"/>
      <c r="AA22" s="1261">
        <v>1</v>
      </c>
      <c r="AB22" s="1261">
        <v>1</v>
      </c>
      <c r="AC22" s="1261">
        <v>1</v>
      </c>
    </row>
    <row r="23" spans="1:29" ht="15">
      <c r="A23" s="346"/>
      <c r="B23" s="388" t="s">
        <v>1871</v>
      </c>
      <c r="C23" s="1066">
        <f>估价对象房地状况!C19</f>
        <v>0</v>
      </c>
      <c r="D23" s="392">
        <v>100</v>
      </c>
      <c r="E23" s="391"/>
      <c r="F23" s="392">
        <f>SUMIF(95:95,E24,96:96)-SUMIF(95:95,C24,96:96)+100</f>
        <v>100</v>
      </c>
      <c r="G23" s="391"/>
      <c r="H23" s="392">
        <f>SUMIF(95:95,G24,96:96)-SUMIF(95:95,C24,96:96)+100</f>
        <v>100</v>
      </c>
      <c r="I23" s="391"/>
      <c r="J23" s="392">
        <f>SUMIF(95:95,I24,96:96)-SUMIF(95:95,C24,96:96)+100</f>
        <v>100</v>
      </c>
      <c r="K23" s="591">
        <v>2</v>
      </c>
      <c r="L23" s="2485"/>
      <c r="M23" s="2480"/>
      <c r="N23" s="2480"/>
      <c r="O23" s="2535"/>
      <c r="P23" s="3424"/>
      <c r="Q23" s="1260" t="str">
        <f t="shared" ref="Q23:Q37" si="8">B23</f>
        <v>区域土地利用方向</v>
      </c>
      <c r="R23" s="664" t="s">
        <v>14</v>
      </c>
      <c r="S23" s="665">
        <f>F23</f>
        <v>100</v>
      </c>
      <c r="T23" s="664" t="s">
        <v>14</v>
      </c>
      <c r="U23" s="665">
        <f>H23</f>
        <v>100</v>
      </c>
      <c r="V23" s="664" t="s">
        <v>14</v>
      </c>
      <c r="W23" s="665">
        <f>J23</f>
        <v>100</v>
      </c>
      <c r="X23" s="1262"/>
      <c r="Y23" s="3424"/>
      <c r="Z23" s="1261" t="str">
        <f>Q23</f>
        <v>区域土地利用方向</v>
      </c>
      <c r="AA23" s="1261">
        <f t="shared" si="3"/>
        <v>1</v>
      </c>
      <c r="AB23" s="1261">
        <f t="shared" si="4"/>
        <v>1</v>
      </c>
      <c r="AC23" s="1261">
        <f t="shared" si="5"/>
        <v>1</v>
      </c>
    </row>
    <row r="24" spans="1:29" ht="15">
      <c r="A24" s="346"/>
      <c r="B24" s="393"/>
      <c r="C24" s="540" t="s">
        <v>4245</v>
      </c>
      <c r="D24" s="385"/>
      <c r="E24" s="1747" t="s">
        <v>4245</v>
      </c>
      <c r="F24" s="385"/>
      <c r="G24" s="1747" t="s">
        <v>4245</v>
      </c>
      <c r="H24" s="385"/>
      <c r="I24" s="1747" t="s">
        <v>4245</v>
      </c>
      <c r="J24" s="385"/>
      <c r="K24" s="695"/>
      <c r="L24" s="2485"/>
      <c r="M24" s="2480"/>
      <c r="N24" s="2480"/>
      <c r="O24" s="2535"/>
      <c r="P24" s="3424"/>
      <c r="Q24" s="1260"/>
      <c r="R24" s="664"/>
      <c r="S24" s="665"/>
      <c r="T24" s="664"/>
      <c r="U24" s="665"/>
      <c r="V24" s="664"/>
      <c r="W24" s="665"/>
      <c r="X24" s="1262"/>
      <c r="Y24" s="3424"/>
      <c r="Z24" s="1261"/>
      <c r="AA24" s="1261"/>
      <c r="AB24" s="1261"/>
      <c r="AC24" s="1261"/>
    </row>
    <row r="25" spans="1:29" ht="27">
      <c r="A25" s="346"/>
      <c r="B25" s="584" t="s">
        <v>1872</v>
      </c>
      <c r="C25" s="1802" t="str">
        <f>估价对象房地状况!C20</f>
        <v>一般</v>
      </c>
      <c r="D25" s="387">
        <v>100</v>
      </c>
      <c r="E25" s="389"/>
      <c r="F25" s="387">
        <f>SUMIF(97:97,E26,98:98)-SUMIF(97:97,C26,98:98)+100</f>
        <v>100</v>
      </c>
      <c r="G25" s="389"/>
      <c r="H25" s="387">
        <f>SUMIF(97:97,G26,98:98)-SUMIF(97:97,C26,98:98)+100</f>
        <v>102</v>
      </c>
      <c r="I25" s="391"/>
      <c r="J25" s="387">
        <f>SUMIF(97:97,I26,98:98)-SUMIF(97:97,C26,98:98)+100</f>
        <v>100</v>
      </c>
      <c r="K25" s="591">
        <v>2</v>
      </c>
      <c r="L25" s="2485"/>
      <c r="M25" s="2480"/>
      <c r="N25" s="2480"/>
      <c r="O25" s="2535"/>
      <c r="P25" s="3424"/>
      <c r="Q25" s="1260" t="str">
        <f t="shared" si="8"/>
        <v>自然及人文环境状况</v>
      </c>
      <c r="R25" s="664" t="s">
        <v>14</v>
      </c>
      <c r="S25" s="665">
        <f>F25</f>
        <v>100</v>
      </c>
      <c r="T25" s="664" t="s">
        <v>14</v>
      </c>
      <c r="U25" s="665">
        <f>H25</f>
        <v>102</v>
      </c>
      <c r="V25" s="664" t="s">
        <v>14</v>
      </c>
      <c r="W25" s="665">
        <f>J25</f>
        <v>100</v>
      </c>
      <c r="X25" s="1262"/>
      <c r="Y25" s="3424"/>
      <c r="Z25" s="1261" t="str">
        <f>Q25</f>
        <v>自然及人文环境状况</v>
      </c>
      <c r="AA25" s="1261">
        <f t="shared" si="3"/>
        <v>1</v>
      </c>
      <c r="AB25" s="1261">
        <f t="shared" si="4"/>
        <v>0.98039215686274506</v>
      </c>
      <c r="AC25" s="1261">
        <f t="shared" si="5"/>
        <v>1</v>
      </c>
    </row>
    <row r="26" spans="1:29" ht="15">
      <c r="A26" s="346"/>
      <c r="B26" s="393"/>
      <c r="C26" s="384" t="s">
        <v>4242</v>
      </c>
      <c r="D26" s="385"/>
      <c r="E26" s="1754" t="s">
        <v>4242</v>
      </c>
      <c r="F26" s="385"/>
      <c r="G26" s="1754" t="s">
        <v>4245</v>
      </c>
      <c r="H26" s="385"/>
      <c r="I26" s="1754" t="s">
        <v>4242</v>
      </c>
      <c r="J26" s="385"/>
      <c r="K26" s="590"/>
      <c r="L26" s="2485"/>
      <c r="M26" s="2480"/>
      <c r="N26" s="2480"/>
      <c r="O26" s="2535"/>
      <c r="P26" s="3424"/>
      <c r="Q26" s="1260"/>
      <c r="R26" s="664"/>
      <c r="S26" s="665"/>
      <c r="T26" s="664"/>
      <c r="U26" s="665"/>
      <c r="V26" s="664"/>
      <c r="W26" s="665"/>
      <c r="X26" s="1262"/>
      <c r="Y26" s="3424"/>
      <c r="Z26" s="1261"/>
      <c r="AA26" s="1261">
        <v>1</v>
      </c>
      <c r="AB26" s="1261">
        <v>1</v>
      </c>
      <c r="AC26" s="1261">
        <v>1</v>
      </c>
    </row>
    <row r="27" spans="1:29" s="101" customFormat="1" ht="15">
      <c r="A27" s="441"/>
      <c r="B27" s="584" t="s">
        <v>1778</v>
      </c>
      <c r="C27" s="1750" t="str">
        <f>估价对象房地状况!C21</f>
        <v>一般</v>
      </c>
      <c r="D27" s="387">
        <v>100</v>
      </c>
      <c r="E27" s="389"/>
      <c r="F27" s="387">
        <f>SUMIF(99:99,E28,100:100)-SUMIF(99:99,C28,100:100)+100</f>
        <v>102</v>
      </c>
      <c r="G27" s="389"/>
      <c r="H27" s="387">
        <f>SUMIF(99:99,G28,100:100)-SUMIF(99:99,C28,100:100)+100</f>
        <v>102</v>
      </c>
      <c r="I27" s="391"/>
      <c r="J27" s="387">
        <f>SUMIF(99:99,I28,100:100)-SUMIF(99:99,C28,100:100)+100</f>
        <v>102</v>
      </c>
      <c r="K27" s="591">
        <v>2</v>
      </c>
      <c r="L27" s="2481"/>
      <c r="M27" s="2433"/>
      <c r="N27" s="2433"/>
      <c r="O27" s="2533"/>
      <c r="P27" s="3424"/>
      <c r="Q27" s="528" t="str">
        <f t="shared" si="8"/>
        <v>公共配套设施</v>
      </c>
      <c r="R27" s="661" t="s">
        <v>14</v>
      </c>
      <c r="S27" s="662">
        <f>F27</f>
        <v>102</v>
      </c>
      <c r="T27" s="661" t="s">
        <v>14</v>
      </c>
      <c r="U27" s="662">
        <f>H27</f>
        <v>102</v>
      </c>
      <c r="V27" s="661" t="s">
        <v>14</v>
      </c>
      <c r="W27" s="662">
        <f>J27</f>
        <v>102</v>
      </c>
      <c r="X27" s="663"/>
      <c r="Y27" s="3424"/>
      <c r="Z27" s="50" t="str">
        <f>Q27</f>
        <v>公共配套设施</v>
      </c>
      <c r="AA27" s="1261">
        <f>D27/F27</f>
        <v>0.98039215686274506</v>
      </c>
      <c r="AB27" s="1261">
        <f>D27/H27</f>
        <v>0.98039215686274506</v>
      </c>
      <c r="AC27" s="1261">
        <f>D27/J27</f>
        <v>0.98039215686274506</v>
      </c>
    </row>
    <row r="28" spans="1:29" s="101" customFormat="1" ht="15">
      <c r="A28" s="441"/>
      <c r="B28" s="393"/>
      <c r="C28" s="1822" t="s">
        <v>4242</v>
      </c>
      <c r="D28" s="385"/>
      <c r="E28" s="1754" t="s">
        <v>4245</v>
      </c>
      <c r="F28" s="385"/>
      <c r="G28" s="1754" t="s">
        <v>4245</v>
      </c>
      <c r="H28" s="385"/>
      <c r="I28" s="384" t="s">
        <v>4245</v>
      </c>
      <c r="J28" s="385"/>
      <c r="K28" s="590"/>
      <c r="L28" s="2481"/>
      <c r="M28" s="2433"/>
      <c r="N28" s="2433"/>
      <c r="O28" s="2533"/>
      <c r="P28" s="3424"/>
      <c r="Q28" s="528"/>
      <c r="R28" s="661"/>
      <c r="S28" s="662"/>
      <c r="T28" s="661"/>
      <c r="U28" s="662"/>
      <c r="V28" s="661"/>
      <c r="W28" s="662"/>
      <c r="X28" s="663"/>
      <c r="Y28" s="3424"/>
      <c r="Z28" s="50"/>
      <c r="AA28" s="1261">
        <v>1</v>
      </c>
      <c r="AB28" s="1261">
        <v>1</v>
      </c>
      <c r="AC28" s="1261">
        <v>1</v>
      </c>
    </row>
    <row r="29" spans="1:29" s="101" customFormat="1" ht="15">
      <c r="A29" s="441"/>
      <c r="B29" s="584" t="s">
        <v>1779</v>
      </c>
      <c r="C29" s="1750"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v>1</v>
      </c>
      <c r="L29" s="2481"/>
      <c r="M29" s="2433"/>
      <c r="N29" s="2433"/>
      <c r="O29" s="2533"/>
      <c r="P29" s="3424"/>
      <c r="Q29" s="528" t="str">
        <f t="shared" ref="Q29" si="9">B29</f>
        <v>基础设施水平</v>
      </c>
      <c r="R29" s="661" t="s">
        <v>14</v>
      </c>
      <c r="S29" s="662">
        <f>F29</f>
        <v>100</v>
      </c>
      <c r="T29" s="661" t="s">
        <v>14</v>
      </c>
      <c r="U29" s="662">
        <f>H29</f>
        <v>100</v>
      </c>
      <c r="V29" s="661" t="s">
        <v>14</v>
      </c>
      <c r="W29" s="662">
        <f>J29</f>
        <v>100</v>
      </c>
      <c r="X29" s="663"/>
      <c r="Y29" s="3424"/>
      <c r="Z29" s="50" t="str">
        <f>Q29</f>
        <v>基础设施水平</v>
      </c>
      <c r="AA29" s="1261">
        <f>D29/F29</f>
        <v>1</v>
      </c>
      <c r="AB29" s="1261">
        <f>D29/H29</f>
        <v>1</v>
      </c>
      <c r="AC29" s="1261">
        <f>D29/J29</f>
        <v>1</v>
      </c>
    </row>
    <row r="30" spans="1:29" s="101" customFormat="1" ht="15">
      <c r="A30" s="441"/>
      <c r="B30" s="393"/>
      <c r="C30" s="1822" t="s">
        <v>4236</v>
      </c>
      <c r="D30" s="385"/>
      <c r="E30" s="1823" t="s">
        <v>4236</v>
      </c>
      <c r="F30" s="385"/>
      <c r="G30" s="1823" t="s">
        <v>4236</v>
      </c>
      <c r="H30" s="385"/>
      <c r="I30" s="1823" t="s">
        <v>4236</v>
      </c>
      <c r="J30" s="385"/>
      <c r="K30" s="590"/>
      <c r="L30" s="2481"/>
      <c r="M30" s="2433"/>
      <c r="N30" s="2433"/>
      <c r="O30" s="2533"/>
      <c r="P30" s="3424"/>
      <c r="Q30" s="528"/>
      <c r="R30" s="661"/>
      <c r="S30" s="662"/>
      <c r="T30" s="661"/>
      <c r="U30" s="662"/>
      <c r="V30" s="661"/>
      <c r="W30" s="662"/>
      <c r="X30" s="663"/>
      <c r="Y30" s="3424"/>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5"/>
      <c r="M31" s="2480"/>
      <c r="N31" s="2480"/>
      <c r="O31" s="2535"/>
      <c r="P31" s="3424"/>
      <c r="Q31" s="1260" t="str">
        <f t="shared" si="8"/>
        <v>临街状况</v>
      </c>
      <c r="R31" s="664" t="s">
        <v>14</v>
      </c>
      <c r="S31" s="665">
        <f t="shared" ref="S31:S45" si="10">F31</f>
        <v>100</v>
      </c>
      <c r="T31" s="664" t="s">
        <v>14</v>
      </c>
      <c r="U31" s="665">
        <f t="shared" ref="U31:U45" si="11">H31</f>
        <v>100</v>
      </c>
      <c r="V31" s="664" t="s">
        <v>14</v>
      </c>
      <c r="W31" s="665">
        <f t="shared" ref="W31:W45" si="12">J31</f>
        <v>100</v>
      </c>
      <c r="X31" s="1262"/>
      <c r="Y31" s="3424"/>
      <c r="Z31" s="1261" t="str">
        <f t="shared" ref="Z31:Z45" si="13">Q31</f>
        <v>临街状况</v>
      </c>
      <c r="AA31" s="1261">
        <f t="shared" si="3"/>
        <v>1</v>
      </c>
      <c r="AB31" s="1261">
        <f t="shared" si="4"/>
        <v>1</v>
      </c>
      <c r="AC31" s="1261">
        <f t="shared" si="5"/>
        <v>1</v>
      </c>
    </row>
    <row r="32" spans="1:29" ht="27">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5"/>
      <c r="M32" s="2480"/>
      <c r="N32" s="2480"/>
      <c r="O32" s="2535"/>
      <c r="P32" s="3424"/>
      <c r="Q32" s="1260" t="str">
        <f t="shared" si="8"/>
        <v>毗邻道路的类型与等级</v>
      </c>
      <c r="R32" s="664" t="s">
        <v>14</v>
      </c>
      <c r="S32" s="665">
        <f t="shared" si="10"/>
        <v>100</v>
      </c>
      <c r="T32" s="664" t="s">
        <v>14</v>
      </c>
      <c r="U32" s="665">
        <f t="shared" si="11"/>
        <v>100</v>
      </c>
      <c r="V32" s="664" t="s">
        <v>14</v>
      </c>
      <c r="W32" s="665">
        <f t="shared" si="12"/>
        <v>100</v>
      </c>
      <c r="X32" s="1262"/>
      <c r="Y32" s="3424"/>
      <c r="Z32" s="1261" t="str">
        <f t="shared" si="13"/>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5"/>
      <c r="M33" s="2480"/>
      <c r="N33" s="2480"/>
      <c r="O33" s="2535"/>
      <c r="P33" s="3424"/>
      <c r="Q33" s="1260"/>
      <c r="R33" s="664"/>
      <c r="S33" s="665"/>
      <c r="T33" s="664"/>
      <c r="U33" s="665"/>
      <c r="V33" s="664"/>
      <c r="W33" s="665"/>
      <c r="X33" s="1262"/>
      <c r="Y33" s="3424"/>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5"/>
      <c r="M34" s="2480"/>
      <c r="N34" s="2480"/>
      <c r="O34" s="2535"/>
      <c r="P34" s="3424"/>
      <c r="Q34" s="1260" t="str">
        <f t="shared" si="8"/>
        <v>土地级别</v>
      </c>
      <c r="R34" s="664" t="s">
        <v>14</v>
      </c>
      <c r="S34" s="665">
        <f t="shared" si="10"/>
        <v>100</v>
      </c>
      <c r="T34" s="664" t="s">
        <v>14</v>
      </c>
      <c r="U34" s="665">
        <f t="shared" si="11"/>
        <v>100</v>
      </c>
      <c r="V34" s="664" t="s">
        <v>14</v>
      </c>
      <c r="W34" s="665">
        <f t="shared" si="12"/>
        <v>100</v>
      </c>
      <c r="X34" s="1262"/>
      <c r="Y34" s="3424"/>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5"/>
      <c r="M35" s="2480"/>
      <c r="N35" s="2480"/>
      <c r="O35" s="2535"/>
      <c r="P35" s="3424"/>
      <c r="Q35" s="1260">
        <f t="shared" si="8"/>
        <v>111</v>
      </c>
      <c r="R35" s="664" t="s">
        <v>14</v>
      </c>
      <c r="S35" s="665">
        <f t="shared" si="10"/>
        <v>100</v>
      </c>
      <c r="T35" s="664" t="s">
        <v>14</v>
      </c>
      <c r="U35" s="665">
        <f t="shared" si="11"/>
        <v>100</v>
      </c>
      <c r="V35" s="664" t="s">
        <v>14</v>
      </c>
      <c r="W35" s="665">
        <f t="shared" si="12"/>
        <v>100</v>
      </c>
      <c r="X35" s="1262"/>
      <c r="Y35" s="3424"/>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5"/>
      <c r="M36" s="2480"/>
      <c r="N36" s="2480"/>
      <c r="O36" s="2535"/>
      <c r="P36" s="3425" t="s">
        <v>1696</v>
      </c>
      <c r="Q36" s="1260">
        <f t="shared" si="8"/>
        <v>111</v>
      </c>
      <c r="R36" s="664" t="s">
        <v>14</v>
      </c>
      <c r="S36" s="665">
        <f t="shared" si="10"/>
        <v>100</v>
      </c>
      <c r="T36" s="664" t="s">
        <v>14</v>
      </c>
      <c r="U36" s="665">
        <f t="shared" si="11"/>
        <v>100</v>
      </c>
      <c r="V36" s="664" t="s">
        <v>14</v>
      </c>
      <c r="W36" s="665">
        <f t="shared" si="12"/>
        <v>100</v>
      </c>
      <c r="X36" s="1262"/>
      <c r="Y36" s="3426" t="s">
        <v>1696</v>
      </c>
      <c r="Z36" s="1261">
        <f t="shared" si="13"/>
        <v>111</v>
      </c>
      <c r="AA36" s="1261">
        <f t="shared" si="3"/>
        <v>1</v>
      </c>
      <c r="AB36" s="1261">
        <f t="shared" si="4"/>
        <v>1</v>
      </c>
      <c r="AC36" s="1261">
        <f t="shared" si="5"/>
        <v>1</v>
      </c>
    </row>
    <row r="37" spans="1:29" s="406" customFormat="1" ht="15.75"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4"/>
      <c r="M37" s="2486"/>
      <c r="N37" s="2486"/>
      <c r="O37" s="2536"/>
      <c r="P37" s="3426"/>
      <c r="Q37" s="1260">
        <f t="shared" si="8"/>
        <v>111</v>
      </c>
      <c r="R37" s="666" t="s">
        <v>14</v>
      </c>
      <c r="S37" s="667">
        <f t="shared" si="10"/>
        <v>100</v>
      </c>
      <c r="T37" s="666" t="s">
        <v>14</v>
      </c>
      <c r="U37" s="667">
        <f t="shared" si="11"/>
        <v>100</v>
      </c>
      <c r="V37" s="666" t="s">
        <v>14</v>
      </c>
      <c r="W37" s="667">
        <f t="shared" si="12"/>
        <v>100</v>
      </c>
      <c r="X37" s="668"/>
      <c r="Y37" s="3426"/>
      <c r="Z37" s="669">
        <f t="shared" si="13"/>
        <v>111</v>
      </c>
      <c r="AA37" s="1261">
        <f t="shared" si="3"/>
        <v>1</v>
      </c>
      <c r="AB37" s="1261">
        <f t="shared" si="4"/>
        <v>1</v>
      </c>
      <c r="AC37" s="1261">
        <f t="shared" si="5"/>
        <v>1</v>
      </c>
    </row>
    <row r="38" spans="1:29" ht="15">
      <c r="A38" s="407" t="s">
        <v>1694</v>
      </c>
      <c r="B38" s="393" t="s">
        <v>1874</v>
      </c>
      <c r="C38" s="597">
        <f>预测绘!B41</f>
        <v>57103.19</v>
      </c>
      <c r="D38" s="403">
        <v>100</v>
      </c>
      <c r="E38" s="597">
        <f>案例!E6</f>
        <v>28400</v>
      </c>
      <c r="F38" s="403">
        <f>LOOKUP(E38,116:116,117:117)-LOOKUP(C38,116:116,117:117)+100</f>
        <v>98</v>
      </c>
      <c r="G38" s="597">
        <f>案例!E9</f>
        <v>20354.939999999999</v>
      </c>
      <c r="H38" s="403">
        <f>LOOKUP(G38,116:116,117:117)-LOOKUP(C38,116:116,117:117)+100</f>
        <v>98</v>
      </c>
      <c r="I38" s="460">
        <v>69193.56</v>
      </c>
      <c r="J38" s="403">
        <f>LOOKUP(I38,116:116,117:117)-LOOKUP(C38,116:116,117:117)+100</f>
        <v>102</v>
      </c>
      <c r="K38" s="537"/>
      <c r="L38" s="2485"/>
      <c r="M38" s="2480"/>
      <c r="N38" s="2480"/>
      <c r="O38" s="2535"/>
      <c r="P38" s="3426"/>
      <c r="Q38" s="1260" t="str">
        <f>B38</f>
        <v>宗地面积</v>
      </c>
      <c r="R38" s="664" t="s">
        <v>14</v>
      </c>
      <c r="S38" s="665">
        <f t="shared" si="10"/>
        <v>98</v>
      </c>
      <c r="T38" s="664" t="s">
        <v>14</v>
      </c>
      <c r="U38" s="665">
        <f t="shared" si="11"/>
        <v>98</v>
      </c>
      <c r="V38" s="664" t="s">
        <v>14</v>
      </c>
      <c r="W38" s="665">
        <f t="shared" si="12"/>
        <v>102</v>
      </c>
      <c r="X38" s="1262"/>
      <c r="Y38" s="3426"/>
      <c r="Z38" s="1261" t="str">
        <f t="shared" si="13"/>
        <v>宗地面积</v>
      </c>
      <c r="AA38" s="1261">
        <f t="shared" si="3"/>
        <v>1.0204081632653061</v>
      </c>
      <c r="AB38" s="1261">
        <f t="shared" si="4"/>
        <v>1.0204081632653061</v>
      </c>
      <c r="AC38" s="1261">
        <f t="shared" si="5"/>
        <v>0.98039215686274506</v>
      </c>
    </row>
    <row r="39" spans="1:29" ht="15">
      <c r="A39" s="407"/>
      <c r="B39" s="362" t="s">
        <v>1875</v>
      </c>
      <c r="C39" s="1756" t="s">
        <v>4233</v>
      </c>
      <c r="D39" s="372">
        <v>100</v>
      </c>
      <c r="E39" s="1756" t="s">
        <v>4231</v>
      </c>
      <c r="F39" s="372">
        <f>SUMIF(118:118,E39,119:119)-SUMIF(118:118,C39,119:119)+100</f>
        <v>102</v>
      </c>
      <c r="G39" s="1756" t="s">
        <v>4232</v>
      </c>
      <c r="H39" s="372">
        <f>SUMIF(118:118,G39,119:119)-SUMIF(118:118,C39,119:119)+100</f>
        <v>101</v>
      </c>
      <c r="I39" s="1756" t="s">
        <v>4232</v>
      </c>
      <c r="J39" s="372">
        <f>SUMIF(118:118,I39,119:119)-SUMIF(118:118,C39,119:119)+100</f>
        <v>101</v>
      </c>
      <c r="K39" s="536">
        <v>1</v>
      </c>
      <c r="L39" s="2485"/>
      <c r="M39" s="2480"/>
      <c r="N39" s="2480"/>
      <c r="O39" s="2535"/>
      <c r="P39" s="3426"/>
      <c r="Q39" s="1260" t="str">
        <f t="shared" ref="Q39:Q45" si="14">B39</f>
        <v>宗地形状</v>
      </c>
      <c r="R39" s="664" t="s">
        <v>14</v>
      </c>
      <c r="S39" s="665">
        <f t="shared" si="10"/>
        <v>102</v>
      </c>
      <c r="T39" s="664" t="s">
        <v>14</v>
      </c>
      <c r="U39" s="665">
        <f t="shared" si="11"/>
        <v>101</v>
      </c>
      <c r="V39" s="664" t="s">
        <v>14</v>
      </c>
      <c r="W39" s="665">
        <f t="shared" si="12"/>
        <v>101</v>
      </c>
      <c r="X39" s="1262"/>
      <c r="Y39" s="3426"/>
      <c r="Z39" s="1261" t="str">
        <f t="shared" si="13"/>
        <v>宗地形状</v>
      </c>
      <c r="AA39" s="1261">
        <f t="shared" si="3"/>
        <v>0.98039215686274506</v>
      </c>
      <c r="AB39" s="1261">
        <f t="shared" si="4"/>
        <v>0.99009900990099009</v>
      </c>
      <c r="AC39" s="1261">
        <f t="shared" si="5"/>
        <v>0.99009900990099009</v>
      </c>
    </row>
    <row r="40" spans="1:29" ht="15">
      <c r="A40" s="407"/>
      <c r="B40" s="362" t="s">
        <v>1876</v>
      </c>
      <c r="C40" s="1756" t="s">
        <v>4246</v>
      </c>
      <c r="D40" s="372">
        <v>100</v>
      </c>
      <c r="E40" s="1756" t="s">
        <v>4246</v>
      </c>
      <c r="F40" s="372">
        <f>SUMIF(120:120,E40,121:121)-SUMIF(120:120,C40,121:121)+100</f>
        <v>100</v>
      </c>
      <c r="G40" s="1756" t="s">
        <v>4246</v>
      </c>
      <c r="H40" s="372">
        <f>SUMIF(120:120,G40,121:121)-SUMIF(120:120,C40,121:121)+100</f>
        <v>100</v>
      </c>
      <c r="I40" s="1756" t="s">
        <v>4246</v>
      </c>
      <c r="J40" s="372">
        <f>SUMIF(120:120,I40,121:121)-SUMIF(120:120,C40,121:121)+100</f>
        <v>100</v>
      </c>
      <c r="K40" s="536">
        <v>1</v>
      </c>
      <c r="L40" s="2485"/>
      <c r="M40" s="2480"/>
      <c r="N40" s="2480"/>
      <c r="O40" s="2535"/>
      <c r="P40" s="3426"/>
      <c r="Q40" s="1260" t="str">
        <f t="shared" si="14"/>
        <v>临街宽度及深度</v>
      </c>
      <c r="R40" s="664" t="s">
        <v>14</v>
      </c>
      <c r="S40" s="665">
        <f t="shared" si="10"/>
        <v>100</v>
      </c>
      <c r="T40" s="664" t="s">
        <v>14</v>
      </c>
      <c r="U40" s="665">
        <f t="shared" si="11"/>
        <v>100</v>
      </c>
      <c r="V40" s="664" t="s">
        <v>14</v>
      </c>
      <c r="W40" s="665">
        <f t="shared" si="12"/>
        <v>100</v>
      </c>
      <c r="X40" s="1262"/>
      <c r="Y40" s="3426"/>
      <c r="Z40" s="1261" t="str">
        <f t="shared" si="13"/>
        <v>临街宽度及深度</v>
      </c>
      <c r="AA40" s="1261">
        <f t="shared" si="3"/>
        <v>1</v>
      </c>
      <c r="AB40" s="1261">
        <f t="shared" si="4"/>
        <v>1</v>
      </c>
      <c r="AC40" s="1261">
        <f t="shared" si="5"/>
        <v>1</v>
      </c>
    </row>
    <row r="41" spans="1:29" s="101" customFormat="1" ht="15">
      <c r="A41" s="408"/>
      <c r="B41" s="362" t="s">
        <v>1877</v>
      </c>
      <c r="C41" s="1824" t="s">
        <v>4236</v>
      </c>
      <c r="D41" s="117">
        <v>100</v>
      </c>
      <c r="E41" s="1824" t="s">
        <v>4237</v>
      </c>
      <c r="F41" s="372">
        <f>SUMIF(122:122,E41,123:123)-SUMIF(122:122,C41,123:123)+100</f>
        <v>99</v>
      </c>
      <c r="G41" s="1824" t="s">
        <v>4237</v>
      </c>
      <c r="H41" s="372">
        <f>SUMIF(122:122,G41,123:123)-SUMIF(122:122,C41,123:123)+100</f>
        <v>99</v>
      </c>
      <c r="I41" s="1824" t="s">
        <v>4237</v>
      </c>
      <c r="J41" s="372">
        <f>SUMIF(122:122,I41,123:123)-SUMIF(122:122,C41,123:123)+100</f>
        <v>99</v>
      </c>
      <c r="K41" s="536">
        <v>1</v>
      </c>
      <c r="L41" s="2481"/>
      <c r="M41" s="2433"/>
      <c r="N41" s="2433"/>
      <c r="O41" s="2533"/>
      <c r="P41" s="3426"/>
      <c r="Q41" s="1260" t="str">
        <f t="shared" si="14"/>
        <v>宗地开发程度</v>
      </c>
      <c r="R41" s="661" t="s">
        <v>14</v>
      </c>
      <c r="S41" s="662">
        <f t="shared" si="10"/>
        <v>99</v>
      </c>
      <c r="T41" s="661" t="s">
        <v>14</v>
      </c>
      <c r="U41" s="662">
        <f t="shared" si="11"/>
        <v>99</v>
      </c>
      <c r="V41" s="661" t="s">
        <v>14</v>
      </c>
      <c r="W41" s="662">
        <f t="shared" si="12"/>
        <v>99</v>
      </c>
      <c r="X41" s="663"/>
      <c r="Y41" s="3426"/>
      <c r="Z41" s="50" t="str">
        <f t="shared" si="13"/>
        <v>宗地开发程度</v>
      </c>
      <c r="AA41" s="50">
        <f t="shared" si="3"/>
        <v>1.0101010101010102</v>
      </c>
      <c r="AB41" s="50">
        <f t="shared" si="4"/>
        <v>1.0101010101010102</v>
      </c>
      <c r="AC41" s="50">
        <f t="shared" si="5"/>
        <v>1.0101010101010102</v>
      </c>
    </row>
    <row r="42" spans="1:29" ht="15">
      <c r="A42" s="407"/>
      <c r="B42" s="362" t="s">
        <v>1878</v>
      </c>
      <c r="C42" s="1756" t="s">
        <v>4245</v>
      </c>
      <c r="D42" s="372">
        <v>100</v>
      </c>
      <c r="E42" s="1756" t="s">
        <v>4245</v>
      </c>
      <c r="F42" s="372">
        <f>SUMIF(124:124,E42,125:125)-SUMIF(124:124,C42,125:125)+100</f>
        <v>100</v>
      </c>
      <c r="G42" s="1756" t="s">
        <v>4245</v>
      </c>
      <c r="H42" s="372">
        <f>SUMIF(124:124,G42,125:125)-SUMIF(124:124,C42,125:125)+100</f>
        <v>100</v>
      </c>
      <c r="I42" s="1756" t="s">
        <v>4245</v>
      </c>
      <c r="J42" s="372">
        <f>SUMIF(124:124,I42,125:125)-SUMIF(124:124,C42,125:125)+100</f>
        <v>100</v>
      </c>
      <c r="K42" s="536">
        <v>1</v>
      </c>
      <c r="L42" s="2485"/>
      <c r="M42" s="2480"/>
      <c r="N42" s="2480"/>
      <c r="O42" s="2535"/>
      <c r="P42" s="3426" t="s">
        <v>1696</v>
      </c>
      <c r="Q42" s="1260" t="str">
        <f t="shared" si="14"/>
        <v>工程地质条件</v>
      </c>
      <c r="R42" s="664" t="s">
        <v>14</v>
      </c>
      <c r="S42" s="665">
        <f t="shared" si="10"/>
        <v>100</v>
      </c>
      <c r="T42" s="664" t="s">
        <v>14</v>
      </c>
      <c r="U42" s="665">
        <f t="shared" si="11"/>
        <v>100</v>
      </c>
      <c r="V42" s="664" t="s">
        <v>14</v>
      </c>
      <c r="W42" s="665">
        <f t="shared" si="12"/>
        <v>100</v>
      </c>
      <c r="X42" s="1262"/>
      <c r="Y42" s="3426"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5"/>
      <c r="M43" s="2480"/>
      <c r="N43" s="2480"/>
      <c r="O43" s="2535"/>
      <c r="P43" s="3426"/>
      <c r="Q43" s="1260">
        <f t="shared" si="14"/>
        <v>111</v>
      </c>
      <c r="R43" s="664" t="s">
        <v>14</v>
      </c>
      <c r="S43" s="665">
        <f t="shared" si="10"/>
        <v>100</v>
      </c>
      <c r="T43" s="664" t="s">
        <v>14</v>
      </c>
      <c r="U43" s="665">
        <f t="shared" si="11"/>
        <v>100</v>
      </c>
      <c r="V43" s="664" t="s">
        <v>14</v>
      </c>
      <c r="W43" s="665">
        <f t="shared" si="12"/>
        <v>100</v>
      </c>
      <c r="X43" s="1262"/>
      <c r="Y43" s="3426"/>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5"/>
      <c r="M44" s="2480"/>
      <c r="N44" s="2480"/>
      <c r="O44" s="2535"/>
      <c r="P44" s="3426"/>
      <c r="Q44" s="1260">
        <f t="shared" si="14"/>
        <v>111</v>
      </c>
      <c r="R44" s="664" t="s">
        <v>14</v>
      </c>
      <c r="S44" s="665">
        <f t="shared" si="10"/>
        <v>100</v>
      </c>
      <c r="T44" s="664" t="s">
        <v>14</v>
      </c>
      <c r="U44" s="665">
        <f t="shared" si="11"/>
        <v>100</v>
      </c>
      <c r="V44" s="664" t="s">
        <v>14</v>
      </c>
      <c r="W44" s="665">
        <f t="shared" si="12"/>
        <v>100</v>
      </c>
      <c r="X44" s="1262"/>
      <c r="Y44" s="3426"/>
      <c r="Z44" s="1261">
        <f t="shared" si="13"/>
        <v>111</v>
      </c>
      <c r="AA44" s="1261">
        <f t="shared" si="3"/>
        <v>1</v>
      </c>
      <c r="AB44" s="1261">
        <f t="shared" si="4"/>
        <v>1</v>
      </c>
      <c r="AC44" s="1261">
        <f t="shared" si="5"/>
        <v>1</v>
      </c>
    </row>
    <row r="45" spans="1:29" s="406" customFormat="1" ht="15.75" thickBot="1">
      <c r="A45" s="404"/>
      <c r="B45" s="1064">
        <v>111</v>
      </c>
      <c r="C45" s="1825"/>
      <c r="D45" s="598">
        <v>100</v>
      </c>
      <c r="E45" s="592"/>
      <c r="F45" s="375">
        <f>SUMIF(130:130,E45,131:131)-SUMIF(130:130,C45,131:131)+100</f>
        <v>100</v>
      </c>
      <c r="G45" s="592"/>
      <c r="H45" s="375">
        <f>SUMIF(130:130,G45,131:131)-SUMIF(130:130,C45,131:131)+100</f>
        <v>100</v>
      </c>
      <c r="I45" s="592"/>
      <c r="J45" s="375">
        <f>SUMIF(130:130,I45,131:131)-SUMIF(130:130,C45,131:131)+100</f>
        <v>100</v>
      </c>
      <c r="K45" s="599"/>
      <c r="L45" s="2484"/>
      <c r="M45" s="2486"/>
      <c r="N45" s="2486"/>
      <c r="O45" s="2536"/>
      <c r="P45" s="3426"/>
      <c r="Q45" s="1260">
        <f t="shared" si="14"/>
        <v>111</v>
      </c>
      <c r="R45" s="666" t="s">
        <v>14</v>
      </c>
      <c r="S45" s="667">
        <f t="shared" si="10"/>
        <v>100</v>
      </c>
      <c r="T45" s="666" t="s">
        <v>14</v>
      </c>
      <c r="U45" s="667">
        <f t="shared" si="11"/>
        <v>100</v>
      </c>
      <c r="V45" s="666" t="s">
        <v>14</v>
      </c>
      <c r="W45" s="667">
        <f t="shared" si="12"/>
        <v>100</v>
      </c>
      <c r="X45" s="668"/>
      <c r="Y45" s="3426"/>
      <c r="Z45" s="669">
        <f t="shared" si="13"/>
        <v>111</v>
      </c>
      <c r="AA45" s="1261">
        <f t="shared" si="3"/>
        <v>1</v>
      </c>
      <c r="AB45" s="1261">
        <f t="shared" si="4"/>
        <v>1</v>
      </c>
      <c r="AC45" s="1261">
        <f t="shared" si="5"/>
        <v>1</v>
      </c>
    </row>
    <row r="46" spans="1:29" ht="15">
      <c r="A46" s="414" t="s">
        <v>1844</v>
      </c>
      <c r="B46" s="1826" t="s">
        <v>1879</v>
      </c>
      <c r="C46" s="600" t="s">
        <v>0</v>
      </c>
      <c r="D46" s="416"/>
      <c r="E46" s="417">
        <f>案例!X6</f>
        <v>22183</v>
      </c>
      <c r="F46" s="418"/>
      <c r="G46" s="3171">
        <v>23415</v>
      </c>
      <c r="H46" s="420"/>
      <c r="I46" s="417">
        <f>案例!X13</f>
        <v>21949</v>
      </c>
      <c r="J46" s="420"/>
      <c r="K46" s="671"/>
      <c r="L46" s="2487"/>
      <c r="M46" s="2480"/>
      <c r="N46" s="2480"/>
      <c r="O46" s="2480"/>
      <c r="P46" s="3422" t="str">
        <f>A46</f>
        <v>成交单价</v>
      </c>
      <c r="Q46" s="3422"/>
      <c r="R46" s="3427">
        <f>E46</f>
        <v>22183</v>
      </c>
      <c r="S46" s="3427"/>
      <c r="T46" s="3427">
        <f>G46</f>
        <v>23415</v>
      </c>
      <c r="U46" s="3427"/>
      <c r="V46" s="3427">
        <f>I46</f>
        <v>21949</v>
      </c>
      <c r="W46" s="3427"/>
      <c r="X46" s="383"/>
      <c r="Y46" s="670"/>
      <c r="Z46" s="383"/>
      <c r="AA46" s="383"/>
      <c r="AB46" s="383"/>
      <c r="AC46" s="383"/>
    </row>
    <row r="47" spans="1:29" ht="15.75" thickBot="1">
      <c r="A47" s="421" t="s">
        <v>1793</v>
      </c>
      <c r="B47" s="601"/>
      <c r="C47" s="424">
        <f>R48</f>
        <v>21668</v>
      </c>
      <c r="D47" s="2137" t="s">
        <v>2137</v>
      </c>
      <c r="E47" s="424">
        <f>R47</f>
        <v>21992</v>
      </c>
      <c r="F47" s="2138"/>
      <c r="G47" s="423">
        <f>T47</f>
        <v>22533</v>
      </c>
      <c r="H47" s="2138"/>
      <c r="I47" s="424">
        <f>V47</f>
        <v>20480</v>
      </c>
      <c r="J47" s="2138"/>
      <c r="K47" s="2140">
        <f>F47+H47+J47</f>
        <v>0</v>
      </c>
      <c r="L47" s="2487"/>
      <c r="M47" s="2480"/>
      <c r="N47" s="2480"/>
      <c r="O47" s="2480"/>
      <c r="P47" s="3422" t="str">
        <f>A47</f>
        <v>比较价值（元/平方米）</v>
      </c>
      <c r="Q47" s="3422"/>
      <c r="R47" s="3415">
        <f>ROUND(PRODUCT(R46,AA7:AA45),0)</f>
        <v>21992</v>
      </c>
      <c r="S47" s="3415"/>
      <c r="T47" s="3415">
        <f>ROUND(PRODUCT(T46,AB7:AB45),0)</f>
        <v>22533</v>
      </c>
      <c r="U47" s="3415"/>
      <c r="V47" s="3415">
        <f>ROUND(PRODUCT(V46,AC7:AC45),0)</f>
        <v>20480</v>
      </c>
      <c r="W47" s="3415"/>
      <c r="X47" s="383"/>
      <c r="Y47" s="383"/>
      <c r="Z47" s="383"/>
      <c r="AA47" s="383"/>
      <c r="AB47" s="383"/>
      <c r="AC47" s="383"/>
    </row>
    <row r="48" spans="1:29" ht="15.75" thickBot="1">
      <c r="A48" s="425" t="s">
        <v>1880</v>
      </c>
      <c r="B48" s="426"/>
      <c r="C48" s="427">
        <f>R48</f>
        <v>21668</v>
      </c>
      <c r="D48" s="427"/>
      <c r="E48" s="427"/>
      <c r="F48" s="427"/>
      <c r="G48" s="427"/>
      <c r="H48" s="427"/>
      <c r="I48" s="427"/>
      <c r="J48" s="427"/>
      <c r="K48" s="672"/>
      <c r="L48" s="2487"/>
      <c r="M48" s="2480"/>
      <c r="N48" s="2480"/>
      <c r="O48" s="2480"/>
      <c r="P48" s="3416" t="str">
        <f>A48</f>
        <v>估价对象XX用房的比较价值（楼面单价，元/平方米）</v>
      </c>
      <c r="Q48" s="3417"/>
      <c r="R48" s="3418">
        <f>ROUND(IF(D47="简单平均",AVERAGE(R47:W47),R47*F47+T47*H47+V47*J47),0)</f>
        <v>21668</v>
      </c>
      <c r="S48" s="3418"/>
      <c r="T48" s="3418"/>
      <c r="U48" s="3418"/>
      <c r="V48" s="3418"/>
      <c r="W48" s="3418"/>
      <c r="X48" s="383"/>
      <c r="Y48" s="383"/>
      <c r="Z48" s="383"/>
      <c r="AA48" s="383"/>
      <c r="AB48" s="383"/>
      <c r="AC48" s="383"/>
    </row>
    <row r="49" spans="1:29">
      <c r="A49" s="2480"/>
      <c r="B49" s="2480"/>
      <c r="C49" s="2480"/>
      <c r="D49" s="2480"/>
      <c r="E49" s="2480"/>
      <c r="F49" s="2480"/>
      <c r="G49" s="3197"/>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1795</v>
      </c>
      <c r="D51" s="431"/>
      <c r="E51" s="432">
        <f>IF(E46&lt;E47,E47/E46-1,E46/E47-1)</f>
        <v>8.6849763550382875E-3</v>
      </c>
      <c r="F51" s="433" t="str">
        <f>IF(OR(E51&gt;=0.3,E51&lt;=-0.3),"超过30%","")</f>
        <v/>
      </c>
      <c r="G51" s="432">
        <f>IF(G46&lt;G47,G47/G46-1,G46/G47-1)</f>
        <v>3.9142590866728888E-2</v>
      </c>
      <c r="H51" s="433" t="str">
        <f>IF(OR(G51&gt;=0.3,G51&lt;=-0.3),"超过30%","")</f>
        <v/>
      </c>
      <c r="I51" s="432">
        <f>IF(I46&lt;I47,I47/I46-1,I46/I47-1)</f>
        <v>7.1728515625000044E-2</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1796</v>
      </c>
      <c r="D52" s="434"/>
      <c r="E52" s="432">
        <f>IF(E47&lt;G47,G47/E47-1,E47/G47-1)</f>
        <v>2.4599854492542761E-2</v>
      </c>
      <c r="F52" s="433" t="str">
        <f>IF(OR(E52&gt;=0.2,E52&lt;=-0.2),"超过20%","")</f>
        <v/>
      </c>
      <c r="G52" s="432">
        <f>IF(G47&lt;I47,I47/G47-1,G47/I47-1)</f>
        <v>0.10024414062500009</v>
      </c>
      <c r="H52" s="433" t="str">
        <f>IF(OR(G52&gt;=0.2,G52&lt;=-0.2),"超过20%","")</f>
        <v/>
      </c>
      <c r="I52" s="432">
        <f>IF(I47&lt;E47,E47/I47-1,I47/E47-1)</f>
        <v>7.3828124999999911E-2</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1797</v>
      </c>
      <c r="D53" s="434"/>
      <c r="E53" s="432">
        <f>IF(E46&lt;G46,G46/E46-1,E46/G46-1)</f>
        <v>5.5538024613442705E-2</v>
      </c>
      <c r="F53" s="433" t="str">
        <f>IF(OR(E53&gt;=0.3,E53&lt;=-0.3),"超过30%","")</f>
        <v/>
      </c>
      <c r="G53" s="432">
        <f>IF(G46&lt;I46,I46/G46-1,G46/I46-1)</f>
        <v>6.679119777666398E-2</v>
      </c>
      <c r="H53" s="433" t="str">
        <f>IF(OR(G53&gt;=0.3,G53&lt;=-0.3),"超过30%","")</f>
        <v/>
      </c>
      <c r="I53" s="432">
        <f>IF(I46&lt;E46,E46/I46-1,I46/E46-1)</f>
        <v>1.0661077953437514E-2</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4"/>
      <c r="D54" s="652"/>
      <c r="E54" s="652"/>
      <c r="F54" s="652"/>
      <c r="G54" s="652"/>
      <c r="H54" s="652"/>
      <c r="I54" s="652"/>
      <c r="J54" s="652"/>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2" t="s">
        <v>1881</v>
      </c>
      <c r="B55" s="603" t="s">
        <v>1882</v>
      </c>
      <c r="C55" s="1827" t="s">
        <v>1883</v>
      </c>
      <c r="D55" s="1828" t="s">
        <v>1884</v>
      </c>
      <c r="E55" s="604" t="s">
        <v>1885</v>
      </c>
      <c r="F55" s="834" t="s">
        <v>1886</v>
      </c>
      <c r="G55" s="3419" t="s">
        <v>1887</v>
      </c>
      <c r="H55" s="3420"/>
      <c r="I55" s="125" t="s">
        <v>1888</v>
      </c>
      <c r="J55" s="1829">
        <f>项目基本情况!F35</f>
        <v>0</v>
      </c>
      <c r="K55" s="1830" t="s">
        <v>1889</v>
      </c>
      <c r="L55" s="2488"/>
      <c r="M55" s="2480"/>
      <c r="N55" s="2480"/>
      <c r="O55" s="2480"/>
      <c r="P55" s="2480"/>
      <c r="Q55" s="2480"/>
      <c r="R55" s="2480"/>
      <c r="S55" s="2480"/>
      <c r="T55" s="2480"/>
      <c r="U55" s="2480"/>
      <c r="V55" s="2480"/>
      <c r="W55" s="2480"/>
      <c r="X55" s="2480"/>
      <c r="Y55" s="2480"/>
      <c r="Z55" s="2480"/>
      <c r="AA55" s="2480"/>
      <c r="AB55" s="2480"/>
      <c r="AC55" s="2480"/>
    </row>
    <row r="56" spans="1:29" s="610" customFormat="1">
      <c r="A56" s="606" t="s">
        <v>1890</v>
      </c>
      <c r="B56" s="607">
        <f>C48</f>
        <v>21668</v>
      </c>
      <c r="C56" s="608">
        <v>1</v>
      </c>
      <c r="D56" s="887">
        <v>1</v>
      </c>
      <c r="E56" s="608">
        <f>'数据-汇总表'!E8+'数据-汇总表'!E9</f>
        <v>79323.999999999854</v>
      </c>
      <c r="F56" s="830">
        <f t="shared" ref="F56:F64" si="15">ROUND(B56*E56/10000,0)</f>
        <v>171879</v>
      </c>
      <c r="G56" s="3421"/>
      <c r="H56" s="3422"/>
      <c r="I56" s="835">
        <v>1</v>
      </c>
      <c r="J56" s="838">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0" customFormat="1">
      <c r="A57" s="611" t="s">
        <v>1891</v>
      </c>
      <c r="B57" s="208">
        <f>ROUND($C$48*C57*D57,0)</f>
        <v>3250</v>
      </c>
      <c r="C57" s="161">
        <f t="shared" ref="C57:C64" si="16">IF($C$55="北京市系数",I57,J57)</f>
        <v>0.6</v>
      </c>
      <c r="D57" s="888">
        <v>0.25</v>
      </c>
      <c r="E57" s="612"/>
      <c r="F57" s="830">
        <f t="shared" si="15"/>
        <v>0</v>
      </c>
      <c r="G57" s="2743" t="s">
        <v>1892</v>
      </c>
      <c r="H57" s="831" t="str">
        <f>项目基本情况!B37</f>
        <v>七级</v>
      </c>
      <c r="I57" s="835">
        <f>SUMIF(修正!A57:A68,H57,修正!B57:B68)</f>
        <v>0.6</v>
      </c>
      <c r="J57" s="839"/>
      <c r="K57" s="2480"/>
      <c r="L57" s="2539"/>
      <c r="M57" s="2539"/>
      <c r="N57" s="2539"/>
      <c r="O57" s="2539"/>
      <c r="P57" s="2539"/>
      <c r="Q57" s="2539"/>
      <c r="R57" s="2539"/>
      <c r="S57" s="2539"/>
      <c r="T57" s="2539"/>
      <c r="U57" s="2539"/>
      <c r="V57" s="2539"/>
      <c r="W57" s="2539"/>
      <c r="X57" s="2539"/>
      <c r="Y57" s="2539"/>
      <c r="Z57" s="2539"/>
      <c r="AA57" s="2539"/>
      <c r="AB57" s="2539"/>
      <c r="AC57" s="2539"/>
    </row>
    <row r="58" spans="1:29" s="610" customFormat="1">
      <c r="A58" s="611" t="s">
        <v>1893</v>
      </c>
      <c r="B58" s="208">
        <f t="shared" ref="B58:B64" si="17">ROUND($C$48*C58*D58,0)</f>
        <v>1625</v>
      </c>
      <c r="C58" s="161">
        <f t="shared" si="16"/>
        <v>0.3</v>
      </c>
      <c r="D58" s="888">
        <v>0.25</v>
      </c>
      <c r="E58" s="612"/>
      <c r="F58" s="830">
        <f t="shared" si="15"/>
        <v>0</v>
      </c>
      <c r="G58" s="2744"/>
      <c r="H58" s="831" t="str">
        <f>项目基本情况!B37</f>
        <v>七级</v>
      </c>
      <c r="I58" s="835">
        <f>SUMIF(修正!A57:A68,H58,修正!C57:C68)</f>
        <v>0.3</v>
      </c>
      <c r="J58" s="839"/>
      <c r="K58" s="2490"/>
      <c r="L58" s="2539"/>
      <c r="M58" s="2539"/>
      <c r="N58" s="2539"/>
      <c r="O58" s="2539"/>
      <c r="P58" s="2539"/>
      <c r="Q58" s="2539"/>
      <c r="R58" s="2539"/>
      <c r="S58" s="2539"/>
      <c r="T58" s="2539"/>
      <c r="U58" s="2539"/>
      <c r="V58" s="2539"/>
      <c r="W58" s="2539"/>
      <c r="X58" s="2539"/>
      <c r="Y58" s="2539"/>
      <c r="Z58" s="2539"/>
      <c r="AA58" s="2539"/>
      <c r="AB58" s="2539"/>
      <c r="AC58" s="2539"/>
    </row>
    <row r="59" spans="1:29" s="610" customFormat="1">
      <c r="A59" s="611" t="s">
        <v>1894</v>
      </c>
      <c r="B59" s="208">
        <f t="shared" si="17"/>
        <v>1354</v>
      </c>
      <c r="C59" s="161">
        <f t="shared" si="16"/>
        <v>0.25</v>
      </c>
      <c r="D59" s="888">
        <v>0.25</v>
      </c>
      <c r="E59" s="612"/>
      <c r="F59" s="830">
        <f t="shared" si="15"/>
        <v>0</v>
      </c>
      <c r="G59" s="2744"/>
      <c r="H59" s="831" t="str">
        <f>项目基本情况!B37</f>
        <v>七级</v>
      </c>
      <c r="I59" s="835">
        <f>SUMIF(修正!A57:A68,H59,修正!D57:D68)</f>
        <v>0.25</v>
      </c>
      <c r="J59" s="839"/>
      <c r="K59" s="2480"/>
      <c r="L59" s="2539"/>
      <c r="M59" s="2539"/>
      <c r="N59" s="2539"/>
      <c r="O59" s="2539"/>
      <c r="P59" s="2539"/>
      <c r="Q59" s="2539"/>
      <c r="R59" s="2539"/>
      <c r="S59" s="2539"/>
      <c r="T59" s="2539"/>
      <c r="U59" s="2539"/>
      <c r="V59" s="2539"/>
      <c r="W59" s="2539"/>
      <c r="X59" s="2539"/>
      <c r="Y59" s="2539"/>
      <c r="Z59" s="2539"/>
      <c r="AA59" s="2539"/>
      <c r="AB59" s="2539"/>
      <c r="AC59" s="2539"/>
    </row>
    <row r="60" spans="1:29" s="610" customFormat="1">
      <c r="A60" s="611" t="s">
        <v>1895</v>
      </c>
      <c r="B60" s="208">
        <f t="shared" si="17"/>
        <v>1354</v>
      </c>
      <c r="C60" s="161">
        <f t="shared" si="16"/>
        <v>0.25</v>
      </c>
      <c r="D60" s="888">
        <v>0.25</v>
      </c>
      <c r="E60" s="207">
        <f>'数据-汇总表'!E11</f>
        <v>0</v>
      </c>
      <c r="F60" s="830">
        <f t="shared" si="15"/>
        <v>0</v>
      </c>
      <c r="G60" s="1831" t="s">
        <v>1896</v>
      </c>
      <c r="H60" s="831" t="str">
        <f>项目基本情况!C37</f>
        <v>七级</v>
      </c>
      <c r="I60" s="835">
        <f>SUMIF(修正!A57:A68,H60,修正!E57:E68)</f>
        <v>0.25</v>
      </c>
      <c r="J60" s="839"/>
      <c r="K60" s="2480"/>
      <c r="L60" s="2539"/>
      <c r="M60" s="2539"/>
      <c r="N60" s="2539"/>
      <c r="O60" s="2539"/>
      <c r="P60" s="2539"/>
      <c r="Q60" s="2539"/>
      <c r="R60" s="2539"/>
      <c r="S60" s="2539"/>
      <c r="T60" s="2539"/>
      <c r="U60" s="2539"/>
      <c r="V60" s="2539"/>
      <c r="W60" s="2539"/>
      <c r="X60" s="2539"/>
      <c r="Y60" s="2539"/>
      <c r="Z60" s="2539"/>
      <c r="AA60" s="2539"/>
      <c r="AB60" s="2539"/>
      <c r="AC60" s="2539"/>
    </row>
    <row r="61" spans="1:29" s="610" customFormat="1">
      <c r="A61" s="611" t="s">
        <v>1897</v>
      </c>
      <c r="B61" s="208">
        <f t="shared" si="17"/>
        <v>1354</v>
      </c>
      <c r="C61" s="161">
        <f t="shared" si="16"/>
        <v>0.25</v>
      </c>
      <c r="D61" s="888">
        <v>0.25</v>
      </c>
      <c r="E61" s="207">
        <f>'数据-汇总表'!E12</f>
        <v>851.55000000000007</v>
      </c>
      <c r="F61" s="830">
        <f t="shared" si="15"/>
        <v>115</v>
      </c>
      <c r="G61" s="836" t="s">
        <v>1898</v>
      </c>
      <c r="H61" s="831" t="str">
        <f>IF(G61="商业",项目基本情况!B37,IF(G61="办公",项目基本情况!C37,IF(G61="住宅",项目基本情况!D37,项目基本情况!E37)))</f>
        <v>七级</v>
      </c>
      <c r="I61" s="835">
        <f>SUMIF(修正!A57:A68,H61,修正!F57:F68)</f>
        <v>0.25</v>
      </c>
      <c r="J61" s="839"/>
      <c r="K61" s="2490"/>
      <c r="L61" s="2539"/>
      <c r="M61" s="2539"/>
      <c r="N61" s="2539"/>
      <c r="O61" s="2539"/>
      <c r="P61" s="2539"/>
      <c r="Q61" s="2539"/>
      <c r="R61" s="2539"/>
      <c r="S61" s="2539"/>
      <c r="T61" s="2539"/>
      <c r="U61" s="2539"/>
      <c r="V61" s="2539"/>
      <c r="W61" s="2539"/>
      <c r="X61" s="2539"/>
      <c r="Y61" s="2539"/>
      <c r="Z61" s="2539"/>
      <c r="AA61" s="2539"/>
      <c r="AB61" s="2539"/>
      <c r="AC61" s="2539"/>
    </row>
    <row r="62" spans="1:29" s="610" customFormat="1">
      <c r="A62" s="611" t="s">
        <v>1899</v>
      </c>
      <c r="B62" s="208">
        <f t="shared" si="17"/>
        <v>813</v>
      </c>
      <c r="C62" s="161">
        <f t="shared" si="16"/>
        <v>0.15</v>
      </c>
      <c r="D62" s="888">
        <v>0.25</v>
      </c>
      <c r="E62" s="207">
        <f>'数据-汇总表'!E13</f>
        <v>26180.310000000281</v>
      </c>
      <c r="F62" s="830">
        <f t="shared" si="15"/>
        <v>2128</v>
      </c>
      <c r="G62" s="836" t="s">
        <v>1900</v>
      </c>
      <c r="H62" s="831" t="str">
        <f>IF(G62="商业",项目基本情况!B37,IF(G62="办公",项目基本情况!C37,IF(G62="住宅",项目基本情况!D37,项目基本情况!E37)))</f>
        <v>七级</v>
      </c>
      <c r="I62" s="835">
        <f>SUMIF(修正!A57:A68,H62,修正!G57:G68)</f>
        <v>0.15</v>
      </c>
      <c r="J62" s="839"/>
      <c r="K62" s="2480"/>
      <c r="L62" s="2539"/>
      <c r="M62" s="2539"/>
      <c r="N62" s="2539"/>
      <c r="O62" s="2539"/>
      <c r="P62" s="2539"/>
      <c r="Q62" s="2539"/>
      <c r="R62" s="2539"/>
      <c r="S62" s="2539"/>
      <c r="T62" s="2539"/>
      <c r="U62" s="2539"/>
      <c r="V62" s="2539"/>
      <c r="W62" s="2539"/>
      <c r="X62" s="2539"/>
      <c r="Y62" s="2539"/>
      <c r="Z62" s="2539"/>
      <c r="AA62" s="2539"/>
      <c r="AB62" s="2539"/>
      <c r="AC62" s="2539"/>
    </row>
    <row r="63" spans="1:29" s="610" customFormat="1">
      <c r="A63" s="611" t="s">
        <v>1901</v>
      </c>
      <c r="B63" s="208">
        <f t="shared" si="17"/>
        <v>813</v>
      </c>
      <c r="C63" s="161">
        <f t="shared" si="16"/>
        <v>0.15</v>
      </c>
      <c r="D63" s="888">
        <v>0.25</v>
      </c>
      <c r="E63" s="207">
        <f>'数据-汇总表'!E14</f>
        <v>0</v>
      </c>
      <c r="F63" s="830">
        <f t="shared" si="15"/>
        <v>0</v>
      </c>
      <c r="G63" s="1831" t="s">
        <v>1892</v>
      </c>
      <c r="H63" s="831" t="str">
        <f>项目基本情况!B37</f>
        <v>七级</v>
      </c>
      <c r="I63" s="835">
        <f>SUMIF(修正!A57:A68,H63,修正!G57:G68)</f>
        <v>0.15</v>
      </c>
      <c r="J63" s="839"/>
      <c r="K63" s="2490"/>
      <c r="L63" s="2539"/>
      <c r="M63" s="2539"/>
      <c r="N63" s="2539"/>
      <c r="O63" s="2539"/>
      <c r="P63" s="2539"/>
      <c r="Q63" s="2539"/>
      <c r="R63" s="2539"/>
      <c r="S63" s="2539"/>
      <c r="T63" s="2539"/>
      <c r="U63" s="2539"/>
      <c r="V63" s="2539"/>
      <c r="W63" s="2539"/>
      <c r="X63" s="2539"/>
      <c r="Y63" s="2539"/>
      <c r="Z63" s="2539"/>
      <c r="AA63" s="2539"/>
      <c r="AB63" s="2539"/>
      <c r="AC63" s="2539"/>
    </row>
    <row r="64" spans="1:29" s="610" customFormat="1" ht="15" thickBot="1">
      <c r="A64" s="611" t="s">
        <v>1902</v>
      </c>
      <c r="B64" s="208">
        <f t="shared" si="17"/>
        <v>813</v>
      </c>
      <c r="C64" s="161">
        <f t="shared" si="16"/>
        <v>0.15</v>
      </c>
      <c r="D64" s="888">
        <v>0.25</v>
      </c>
      <c r="E64" s="207">
        <f>'数据-汇总表'!E15</f>
        <v>0</v>
      </c>
      <c r="F64" s="830">
        <f t="shared" si="15"/>
        <v>0</v>
      </c>
      <c r="G64" s="1832" t="s">
        <v>1896</v>
      </c>
      <c r="H64" s="841" t="str">
        <f>项目基本情况!C37</f>
        <v>七级</v>
      </c>
      <c r="I64" s="837">
        <f>SUMIF(修正!A57:A68,H64,修正!G57:G68)</f>
        <v>0.15</v>
      </c>
      <c r="J64" s="840"/>
      <c r="K64" s="2480"/>
      <c r="L64" s="2539"/>
      <c r="M64" s="2539"/>
      <c r="N64" s="2539"/>
      <c r="O64" s="2539"/>
      <c r="P64" s="2539"/>
      <c r="Q64" s="2539"/>
      <c r="R64" s="2539"/>
      <c r="S64" s="2539"/>
      <c r="T64" s="2539"/>
      <c r="U64" s="2539"/>
      <c r="V64" s="2539"/>
      <c r="W64" s="2539"/>
      <c r="X64" s="2539"/>
      <c r="Y64" s="2539"/>
      <c r="Z64" s="2539"/>
      <c r="AA64" s="2539"/>
      <c r="AB64" s="2539"/>
      <c r="AC64" s="2539"/>
    </row>
    <row r="65" spans="1:29" s="610" customFormat="1" ht="13.5" thickBot="1">
      <c r="A65" s="613" t="s">
        <v>1903</v>
      </c>
      <c r="B65" s="614" t="s">
        <v>22</v>
      </c>
      <c r="C65" s="614" t="s">
        <v>23</v>
      </c>
      <c r="D65" s="614" t="s">
        <v>392</v>
      </c>
      <c r="E65" s="614">
        <f>IF(B46="楼面地价",SUM(E56:E64),'数据-汇总表'!D3)</f>
        <v>106355.86000000013</v>
      </c>
      <c r="F65" s="615">
        <f>IF(B46="楼面地价",SUM(F56:F64),ROUND(C48*E65/10000,0))</f>
        <v>174122</v>
      </c>
      <c r="G65" s="674"/>
      <c r="H65" s="674"/>
      <c r="I65" s="674"/>
      <c r="J65" s="674"/>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3"/>
      <c r="B66" s="653"/>
      <c r="C66" s="654"/>
      <c r="D66" s="383"/>
      <c r="E66" s="383"/>
      <c r="F66" s="383"/>
      <c r="G66" s="383"/>
      <c r="H66" s="383"/>
      <c r="I66" s="383"/>
      <c r="J66" s="858"/>
      <c r="K66" s="832"/>
      <c r="L66" s="833"/>
      <c r="M66" s="858"/>
      <c r="N66" s="858"/>
      <c r="O66" s="858"/>
      <c r="P66" s="2480"/>
      <c r="Q66" s="2480"/>
      <c r="R66" s="2480"/>
      <c r="S66" s="2480"/>
      <c r="T66" s="2480"/>
      <c r="U66" s="2480"/>
      <c r="V66" s="2480"/>
      <c r="W66" s="2480"/>
      <c r="X66" s="2480"/>
      <c r="Y66" s="2480"/>
      <c r="Z66" s="2480"/>
      <c r="AA66" s="2480"/>
      <c r="AB66" s="2480"/>
      <c r="AC66" s="2480"/>
    </row>
    <row r="67" spans="1:29">
      <c r="A67" s="383"/>
      <c r="B67" s="653"/>
      <c r="C67" s="653" t="str">
        <f>YEAR(C7)&amp;"-"&amp;MONTH(C7)&amp;"-1"</f>
        <v>2024-12-1</v>
      </c>
      <c r="D67" s="653">
        <f>EDATE(C67,-3)</f>
        <v>45536</v>
      </c>
      <c r="E67" s="653">
        <f>EDATE(D67,-3)</f>
        <v>45444</v>
      </c>
      <c r="F67" s="653">
        <f t="shared" ref="F67:O67" si="18">EDATE(E67,-3)</f>
        <v>45352</v>
      </c>
      <c r="G67" s="653">
        <f t="shared" si="18"/>
        <v>45261</v>
      </c>
      <c r="H67" s="653">
        <f t="shared" si="18"/>
        <v>45170</v>
      </c>
      <c r="I67" s="653">
        <f t="shared" si="18"/>
        <v>45078</v>
      </c>
      <c r="J67" s="653">
        <f t="shared" si="18"/>
        <v>44986</v>
      </c>
      <c r="K67" s="653">
        <f t="shared" si="18"/>
        <v>44896</v>
      </c>
      <c r="L67" s="653">
        <f t="shared" si="18"/>
        <v>44805</v>
      </c>
      <c r="M67" s="653">
        <f t="shared" si="18"/>
        <v>44713</v>
      </c>
      <c r="N67" s="653">
        <f t="shared" si="18"/>
        <v>44621</v>
      </c>
      <c r="O67" s="653">
        <f t="shared" si="18"/>
        <v>44531</v>
      </c>
      <c r="P67" s="2480"/>
      <c r="Q67" s="2480"/>
      <c r="R67" s="2480"/>
      <c r="S67" s="2480"/>
      <c r="T67" s="2480"/>
      <c r="U67" s="2480"/>
      <c r="V67" s="2480"/>
      <c r="W67" s="2480"/>
      <c r="X67" s="2480"/>
      <c r="Y67" s="2480"/>
      <c r="Z67" s="2480"/>
      <c r="AA67" s="2480"/>
      <c r="AB67" s="2480"/>
      <c r="AC67" s="2480"/>
    </row>
    <row r="68" spans="1:29" ht="21.75" thickBot="1">
      <c r="A68" s="655" t="s">
        <v>1798</v>
      </c>
      <c r="B68" s="383"/>
      <c r="C68" s="656"/>
      <c r="D68" s="656"/>
      <c r="E68" s="656"/>
      <c r="F68" s="657"/>
      <c r="G68" s="657"/>
      <c r="H68" s="656"/>
      <c r="I68" s="656"/>
      <c r="J68" s="883"/>
      <c r="K68" s="884"/>
      <c r="L68" s="885"/>
      <c r="M68" s="883"/>
      <c r="N68" s="2530"/>
      <c r="O68" s="2530"/>
      <c r="P68" s="2530"/>
      <c r="Q68" s="2501"/>
      <c r="R68" s="2480"/>
      <c r="S68" s="2480"/>
      <c r="T68" s="2480"/>
      <c r="U68" s="2480"/>
      <c r="V68" s="2480"/>
      <c r="W68" s="2480"/>
      <c r="X68" s="2480"/>
      <c r="Y68" s="2480"/>
      <c r="Z68" s="2480"/>
      <c r="AA68" s="2480"/>
      <c r="AB68" s="2480"/>
      <c r="AC68" s="2480"/>
    </row>
    <row r="69" spans="1:29" s="440" customFormat="1" ht="15">
      <c r="A69" s="1626" t="s">
        <v>1904</v>
      </c>
      <c r="B69" s="1043"/>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3"/>
      <c r="Q69" s="2503"/>
      <c r="R69" s="2503"/>
      <c r="S69" s="2503"/>
      <c r="T69" s="2503"/>
      <c r="U69" s="2503"/>
      <c r="V69" s="2503"/>
      <c r="W69" s="2503"/>
      <c r="X69" s="2503"/>
      <c r="Y69" s="2503"/>
      <c r="Z69" s="2503"/>
      <c r="AA69" s="2503"/>
      <c r="AB69" s="2503"/>
      <c r="AC69" s="2503"/>
    </row>
    <row r="70" spans="1:29" s="101" customFormat="1" ht="30" customHeight="1">
      <c r="A70" s="1833" t="s">
        <v>1905</v>
      </c>
      <c r="B70" s="278"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c r="O70" s="1095"/>
      <c r="P70" s="2501"/>
      <c r="Q70" s="2433"/>
      <c r="R70" s="2433"/>
      <c r="S70" s="2433"/>
      <c r="T70" s="2433"/>
      <c r="U70" s="2433"/>
      <c r="V70" s="2433"/>
      <c r="W70" s="2433"/>
      <c r="X70" s="2433"/>
      <c r="Y70" s="2433"/>
      <c r="Z70" s="2433"/>
      <c r="AA70" s="2433"/>
      <c r="AB70" s="2433"/>
      <c r="AC70" s="2433"/>
    </row>
    <row r="71" spans="1:29" s="101" customFormat="1" ht="15.75" thickBot="1">
      <c r="A71" s="447" t="s">
        <v>1716</v>
      </c>
      <c r="B71" s="448"/>
      <c r="C71" s="449"/>
      <c r="D71" s="450"/>
      <c r="E71" s="450"/>
      <c r="F71" s="450"/>
      <c r="G71" s="450"/>
      <c r="H71" s="450"/>
      <c r="I71" s="450"/>
      <c r="J71" s="450"/>
      <c r="K71" s="450"/>
      <c r="L71" s="450"/>
      <c r="M71" s="451"/>
      <c r="N71" s="450"/>
      <c r="O71" s="886"/>
      <c r="P71" s="2501"/>
      <c r="Q71" s="2501"/>
      <c r="R71" s="2433"/>
      <c r="S71" s="2433"/>
      <c r="T71" s="2433"/>
      <c r="U71" s="2433"/>
      <c r="V71" s="2433"/>
      <c r="W71" s="2433"/>
      <c r="X71" s="2433"/>
      <c r="Y71" s="2433"/>
      <c r="Z71" s="2433"/>
      <c r="AA71" s="2433"/>
      <c r="AB71" s="2433"/>
      <c r="AC71" s="2433"/>
    </row>
    <row r="72" spans="1:29" s="101" customFormat="1" ht="15">
      <c r="A72" s="453" t="s">
        <v>1681</v>
      </c>
      <c r="B72" s="442"/>
      <c r="C72" s="454" t="s">
        <v>1776</v>
      </c>
      <c r="D72" s="31"/>
      <c r="E72" s="31"/>
      <c r="F72" s="31"/>
      <c r="G72" s="31"/>
      <c r="H72" s="31"/>
      <c r="I72" s="31"/>
      <c r="J72" s="31"/>
      <c r="K72" s="31"/>
      <c r="L72" s="455"/>
      <c r="M72" s="456"/>
      <c r="N72" s="2513"/>
      <c r="O72" s="2513"/>
      <c r="P72" s="2537"/>
      <c r="Q72" s="2501"/>
      <c r="R72" s="2433"/>
      <c r="S72" s="2433"/>
      <c r="T72" s="2433"/>
      <c r="U72" s="2433"/>
      <c r="V72" s="2433"/>
      <c r="W72" s="2433"/>
      <c r="X72" s="2433"/>
      <c r="Y72" s="2433"/>
      <c r="Z72" s="2433"/>
      <c r="AA72" s="2433"/>
      <c r="AB72" s="2433"/>
      <c r="AC72" s="2433"/>
    </row>
    <row r="73" spans="1:29" s="101" customFormat="1" ht="15.75" thickBot="1">
      <c r="A73" s="453"/>
      <c r="B73" s="442"/>
      <c r="C73" s="561">
        <v>100</v>
      </c>
      <c r="D73" s="444"/>
      <c r="E73" s="444"/>
      <c r="F73" s="444"/>
      <c r="G73" s="444"/>
      <c r="H73" s="444"/>
      <c r="I73" s="444"/>
      <c r="J73" s="444"/>
      <c r="K73" s="444"/>
      <c r="L73" s="444"/>
      <c r="M73" s="446"/>
      <c r="N73" s="2513"/>
      <c r="O73" s="2513"/>
      <c r="P73" s="2501"/>
      <c r="Q73" s="2501"/>
      <c r="R73" s="2433"/>
      <c r="S73" s="2433"/>
      <c r="T73" s="2433"/>
      <c r="U73" s="2433"/>
      <c r="V73" s="2433"/>
      <c r="W73" s="2433"/>
      <c r="X73" s="2433"/>
      <c r="Y73" s="2433"/>
      <c r="Z73" s="2433"/>
      <c r="AA73" s="2433"/>
      <c r="AB73" s="2433"/>
      <c r="AC73" s="2433"/>
    </row>
    <row r="74" spans="1:29">
      <c r="A74" s="377" t="s">
        <v>1719</v>
      </c>
      <c r="B74" s="458" t="s">
        <v>1685</v>
      </c>
      <c r="C74" s="3166" t="s">
        <v>308</v>
      </c>
      <c r="D74" s="460"/>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5"/>
      <c r="B75" s="464"/>
      <c r="C75" s="465">
        <v>100</v>
      </c>
      <c r="D75" s="465"/>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5"/>
      <c r="B76" s="467" t="s">
        <v>1688</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5"/>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5"/>
      <c r="B78" s="475" t="s">
        <v>1689</v>
      </c>
      <c r="C78" s="476" t="str">
        <f>C79&amp;"（含）"&amp;"-"&amp;D79</f>
        <v>0（含）-1</v>
      </c>
      <c r="D78" s="476" t="str">
        <f t="shared" ref="D78:L78" si="20">D79&amp;"（含）"&amp;"-"&amp;E79</f>
        <v>1（含）-2</v>
      </c>
      <c r="E78" s="476" t="str">
        <f t="shared" si="20"/>
        <v>2（含）-3</v>
      </c>
      <c r="F78" s="476" t="str">
        <f t="shared" si="20"/>
        <v>3（含）-4</v>
      </c>
      <c r="G78" s="476" t="str">
        <f t="shared" si="20"/>
        <v>4（含）-</v>
      </c>
      <c r="H78" s="476" t="str">
        <f t="shared" si="20"/>
        <v>（含）-</v>
      </c>
      <c r="I78" s="476" t="str">
        <f t="shared" si="20"/>
        <v>（含）-</v>
      </c>
      <c r="J78" s="476" t="str">
        <f t="shared" si="20"/>
        <v>（含）-</v>
      </c>
      <c r="K78" s="476" t="str">
        <f t="shared" si="20"/>
        <v>（含）-</v>
      </c>
      <c r="L78" s="476" t="str">
        <f t="shared" si="20"/>
        <v>（含）-</v>
      </c>
      <c r="M78" s="385"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5"/>
      <c r="B79" s="477"/>
      <c r="C79" s="478">
        <v>0</v>
      </c>
      <c r="D79" s="478">
        <v>1</v>
      </c>
      <c r="E79" s="478">
        <v>2</v>
      </c>
      <c r="F79" s="478">
        <v>3</v>
      </c>
      <c r="G79" s="478">
        <v>4</v>
      </c>
      <c r="H79" s="478"/>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5"/>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5"/>
      <c r="O80" s="2515"/>
      <c r="P80" s="2513"/>
      <c r="Q80" s="2501"/>
      <c r="R80" s="2480"/>
      <c r="S80" s="2480"/>
      <c r="T80" s="2480"/>
      <c r="U80" s="2480"/>
      <c r="V80" s="2480"/>
      <c r="W80" s="2480"/>
      <c r="X80" s="2480"/>
      <c r="Y80" s="2480"/>
      <c r="Z80" s="2480"/>
      <c r="AA80" s="2480"/>
      <c r="AB80" s="2480"/>
      <c r="AC80" s="2480"/>
    </row>
    <row r="81" spans="1:29" s="406"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6"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6" customFormat="1" ht="15.75" thickTop="1">
      <c r="A83" s="482"/>
      <c r="B83" s="467" t="str">
        <f>B13</f>
        <v>政府指导价</v>
      </c>
      <c r="C83" s="31">
        <v>46000</v>
      </c>
      <c r="D83" s="31">
        <v>45000</v>
      </c>
      <c r="E83" s="31">
        <v>44000</v>
      </c>
      <c r="F83" s="31">
        <v>43000</v>
      </c>
      <c r="G83" s="31">
        <v>42000</v>
      </c>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6" customFormat="1" ht="15.75" thickBot="1">
      <c r="A84" s="482"/>
      <c r="B84" s="472"/>
      <c r="C84" s="499">
        <v>100</v>
      </c>
      <c r="D84" s="499">
        <v>99</v>
      </c>
      <c r="E84" s="499">
        <v>98</v>
      </c>
      <c r="F84" s="499">
        <v>97</v>
      </c>
      <c r="G84" s="499">
        <v>96</v>
      </c>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6" customFormat="1" ht="15.75" thickTop="1">
      <c r="A85" s="482"/>
      <c r="B85" s="475">
        <f>B14</f>
        <v>111</v>
      </c>
      <c r="C85" s="31"/>
      <c r="D85" s="31"/>
      <c r="E85" s="31"/>
      <c r="F85" s="31"/>
      <c r="G85" s="31"/>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6" customFormat="1" ht="15.75" thickBot="1">
      <c r="A86" s="497"/>
      <c r="B86" s="498"/>
      <c r="C86" s="499"/>
      <c r="D86" s="499"/>
      <c r="E86" s="499"/>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7" t="s">
        <v>1690</v>
      </c>
      <c r="B87" s="458" t="s">
        <v>1720</v>
      </c>
      <c r="C87" s="502" t="s">
        <v>1721</v>
      </c>
      <c r="D87" s="502" t="s">
        <v>1722</v>
      </c>
      <c r="E87" s="502" t="s">
        <v>1723</v>
      </c>
      <c r="F87" s="502" t="s">
        <v>1724</v>
      </c>
      <c r="G87" s="502" t="s">
        <v>1725</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5"/>
      <c r="B88" s="472"/>
      <c r="C88" s="473">
        <v>100</v>
      </c>
      <c r="D88" s="473">
        <f>C88-$K15</f>
        <v>98</v>
      </c>
      <c r="E88" s="473">
        <f>D88-$K15</f>
        <v>96</v>
      </c>
      <c r="F88" s="473">
        <f>E88-$K15</f>
        <v>94</v>
      </c>
      <c r="G88" s="473">
        <f>F88-$K15</f>
        <v>92</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5"/>
      <c r="B89" s="467" t="s">
        <v>1906</v>
      </c>
      <c r="C89" s="507" t="s">
        <v>1721</v>
      </c>
      <c r="D89" s="507" t="s">
        <v>1722</v>
      </c>
      <c r="E89" s="507" t="s">
        <v>1723</v>
      </c>
      <c r="F89" s="507" t="s">
        <v>1724</v>
      </c>
      <c r="G89" s="507" t="s">
        <v>1725</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5"/>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5"/>
      <c r="B91" s="467" t="s">
        <v>1821</v>
      </c>
      <c r="C91" s="507" t="s">
        <v>1721</v>
      </c>
      <c r="D91" s="507" t="s">
        <v>1722</v>
      </c>
      <c r="E91" s="507" t="s">
        <v>1723</v>
      </c>
      <c r="F91" s="507" t="s">
        <v>1724</v>
      </c>
      <c r="G91" s="507" t="s">
        <v>1725</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5"/>
      <c r="B93" s="467" t="s">
        <v>1726</v>
      </c>
      <c r="C93" s="507" t="s">
        <v>1721</v>
      </c>
      <c r="D93" s="507" t="s">
        <v>1722</v>
      </c>
      <c r="E93" s="507" t="s">
        <v>1723</v>
      </c>
      <c r="F93" s="507" t="s">
        <v>1724</v>
      </c>
      <c r="G93" s="507" t="s">
        <v>1725</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5"/>
      <c r="B94" s="472"/>
      <c r="C94" s="473">
        <v>100</v>
      </c>
      <c r="D94" s="473">
        <f>C94-$K21</f>
        <v>98</v>
      </c>
      <c r="E94" s="473">
        <f>D94-$K21</f>
        <v>96</v>
      </c>
      <c r="F94" s="473">
        <f>E94-$K21</f>
        <v>94</v>
      </c>
      <c r="G94" s="473">
        <f>F94-$K21</f>
        <v>92</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1" customFormat="1" ht="15.75" thickTop="1">
      <c r="A95" s="368"/>
      <c r="B95" s="467" t="s">
        <v>1907</v>
      </c>
      <c r="C95" s="507" t="s">
        <v>1721</v>
      </c>
      <c r="D95" s="507" t="s">
        <v>1722</v>
      </c>
      <c r="E95" s="507" t="s">
        <v>1723</v>
      </c>
      <c r="F95" s="507" t="s">
        <v>1724</v>
      </c>
      <c r="G95" s="507" t="s">
        <v>1725</v>
      </c>
      <c r="H95" s="507"/>
      <c r="I95" s="507"/>
      <c r="J95" s="507"/>
      <c r="K95" s="507"/>
      <c r="L95" s="616"/>
      <c r="M95" s="545"/>
      <c r="N95" s="2513"/>
      <c r="O95" s="2513"/>
      <c r="P95" s="2513"/>
      <c r="Q95" s="2501"/>
      <c r="R95" s="2433"/>
      <c r="S95" s="2433"/>
      <c r="T95" s="2433"/>
      <c r="U95" s="2433"/>
      <c r="V95" s="2433"/>
      <c r="W95" s="2433"/>
      <c r="X95" s="2433"/>
      <c r="Y95" s="2433"/>
      <c r="Z95" s="2433"/>
      <c r="AA95" s="2433"/>
      <c r="AB95" s="2433"/>
      <c r="AC95" s="2433"/>
    </row>
    <row r="96" spans="1:29" s="101" customFormat="1" ht="15.75" thickBot="1">
      <c r="A96" s="368"/>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3"/>
      <c r="S96" s="2433"/>
      <c r="T96" s="2433"/>
      <c r="U96" s="2433"/>
      <c r="V96" s="2433"/>
      <c r="W96" s="2433"/>
      <c r="X96" s="2433"/>
      <c r="Y96" s="2433"/>
      <c r="Z96" s="2433"/>
      <c r="AA96" s="2433"/>
      <c r="AB96" s="2433"/>
      <c r="AC96" s="2433"/>
    </row>
    <row r="97" spans="1:29" s="101" customFormat="1" ht="27.75" thickTop="1">
      <c r="A97" s="368"/>
      <c r="B97" s="467" t="s">
        <v>1908</v>
      </c>
      <c r="C97" s="502" t="s">
        <v>1721</v>
      </c>
      <c r="D97" s="502" t="s">
        <v>1722</v>
      </c>
      <c r="E97" s="502" t="s">
        <v>1723</v>
      </c>
      <c r="F97" s="502" t="s">
        <v>1724</v>
      </c>
      <c r="G97" s="502" t="s">
        <v>1725</v>
      </c>
      <c r="H97" s="507"/>
      <c r="I97" s="507"/>
      <c r="J97" s="507"/>
      <c r="K97" s="507"/>
      <c r="L97" s="507"/>
      <c r="M97" s="545"/>
      <c r="N97" s="2513"/>
      <c r="O97" s="2513"/>
      <c r="P97" s="2513"/>
      <c r="Q97" s="2501"/>
      <c r="R97" s="2433"/>
      <c r="S97" s="2433"/>
      <c r="T97" s="2433"/>
      <c r="U97" s="2433"/>
      <c r="V97" s="2433"/>
      <c r="W97" s="2433"/>
      <c r="X97" s="2433"/>
      <c r="Y97" s="2433"/>
      <c r="Z97" s="2433"/>
      <c r="AA97" s="2433"/>
      <c r="AB97" s="2433"/>
      <c r="AC97" s="2433"/>
    </row>
    <row r="98" spans="1:29" s="101" customFormat="1" ht="15.75" thickBot="1">
      <c r="A98" s="368"/>
      <c r="B98" s="472"/>
      <c r="C98" s="473">
        <v>100</v>
      </c>
      <c r="D98" s="473">
        <f>C98-$K25</f>
        <v>98</v>
      </c>
      <c r="E98" s="473">
        <f>D98-$K25</f>
        <v>96</v>
      </c>
      <c r="F98" s="473">
        <f>E98-$K25</f>
        <v>94</v>
      </c>
      <c r="G98" s="473">
        <f>F98-$K25</f>
        <v>92</v>
      </c>
      <c r="H98" s="473"/>
      <c r="I98" s="473"/>
      <c r="J98" s="473"/>
      <c r="K98" s="473"/>
      <c r="L98" s="473"/>
      <c r="M98" s="474"/>
      <c r="N98" s="2515"/>
      <c r="O98" s="2515"/>
      <c r="P98" s="2513"/>
      <c r="Q98" s="2501"/>
      <c r="R98" s="2433"/>
      <c r="S98" s="2433"/>
      <c r="T98" s="2433"/>
      <c r="U98" s="2433"/>
      <c r="V98" s="2433"/>
      <c r="W98" s="2433"/>
      <c r="X98" s="2433"/>
      <c r="Y98" s="2433"/>
      <c r="Z98" s="2433"/>
      <c r="AA98" s="2433"/>
      <c r="AB98" s="2433"/>
      <c r="AC98" s="2433"/>
    </row>
    <row r="99" spans="1:29" s="406" customFormat="1" ht="15.75" thickTop="1">
      <c r="A99" s="482"/>
      <c r="B99" s="467" t="s">
        <v>1778</v>
      </c>
      <c r="C99" s="502" t="s">
        <v>1721</v>
      </c>
      <c r="D99" s="502" t="s">
        <v>1722</v>
      </c>
      <c r="E99" s="502" t="s">
        <v>1723</v>
      </c>
      <c r="F99" s="502" t="s">
        <v>1724</v>
      </c>
      <c r="G99" s="502" t="s">
        <v>1725</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6"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6"/>
      <c r="O101" s="2516"/>
      <c r="P101" s="2516"/>
      <c r="Q101" s="2508"/>
      <c r="R101" s="2486"/>
      <c r="S101" s="2486"/>
      <c r="T101" s="2486"/>
      <c r="U101" s="2486"/>
      <c r="V101" s="2486"/>
      <c r="W101" s="2486"/>
      <c r="X101" s="2486"/>
      <c r="Y101" s="2486"/>
      <c r="Z101" s="2486"/>
      <c r="AA101" s="2486"/>
      <c r="AB101" s="2486"/>
      <c r="AC101" s="2486"/>
    </row>
    <row r="102" spans="1:29" s="406" customFormat="1" ht="15.75" thickBot="1">
      <c r="A102" s="482"/>
      <c r="B102" s="475"/>
      <c r="C102" s="473">
        <v>100</v>
      </c>
      <c r="D102" s="473">
        <f>C102-$K29</f>
        <v>99</v>
      </c>
      <c r="E102" s="473">
        <f>D102-$K29</f>
        <v>98</v>
      </c>
      <c r="F102" s="473">
        <f>E102-$K29</f>
        <v>97</v>
      </c>
      <c r="G102" s="473">
        <f>F102-$K29</f>
        <v>96</v>
      </c>
      <c r="H102" s="477"/>
      <c r="I102" s="477"/>
      <c r="J102" s="477"/>
      <c r="K102" s="477"/>
      <c r="L102" s="477"/>
      <c r="M102" s="1062"/>
      <c r="N102" s="2516"/>
      <c r="O102" s="2516"/>
      <c r="P102" s="2516"/>
      <c r="Q102" s="2508"/>
      <c r="R102" s="2486"/>
      <c r="S102" s="2486"/>
      <c r="T102" s="2486"/>
      <c r="U102" s="2486"/>
      <c r="V102" s="2486"/>
      <c r="W102" s="2486"/>
      <c r="X102" s="2486"/>
      <c r="Y102" s="2486"/>
      <c r="Z102" s="2486"/>
      <c r="AA102" s="2486"/>
      <c r="AB102" s="2486"/>
      <c r="AC102" s="2486"/>
    </row>
    <row r="103" spans="1:29" ht="15.75" thickTop="1">
      <c r="A103" s="365"/>
      <c r="B103" s="467" t="str">
        <f>B31</f>
        <v>临街状况</v>
      </c>
      <c r="C103" s="468" t="s">
        <v>1909</v>
      </c>
      <c r="D103" s="468" t="s">
        <v>1910</v>
      </c>
      <c r="E103" s="468" t="s">
        <v>1911</v>
      </c>
      <c r="F103" s="468" t="s">
        <v>1912</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5"/>
      <c r="B105" s="467" t="s">
        <v>1815</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5"/>
      <c r="B107" s="467" t="s">
        <v>1873</v>
      </c>
      <c r="C107" s="511"/>
      <c r="D107" s="511"/>
      <c r="E107" s="511"/>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5"/>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5"/>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3"/>
      <c r="B111" s="467">
        <f>B36</f>
        <v>111</v>
      </c>
      <c r="C111" s="31"/>
      <c r="D111" s="31"/>
      <c r="E111" s="31"/>
      <c r="F111" s="31"/>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5"/>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6" customFormat="1" ht="15" thickTop="1">
      <c r="A113" s="404"/>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6" customFormat="1" ht="15.75" thickBot="1">
      <c r="A114" s="482"/>
      <c r="B114" s="475"/>
      <c r="C114" s="444"/>
      <c r="D114" s="595"/>
      <c r="E114" s="595"/>
      <c r="F114" s="595"/>
      <c r="G114" s="595"/>
      <c r="H114" s="595"/>
      <c r="I114" s="595"/>
      <c r="J114" s="595"/>
      <c r="K114" s="595"/>
      <c r="L114" s="595"/>
      <c r="M114" s="617"/>
      <c r="N114" s="2515"/>
      <c r="O114" s="2515"/>
      <c r="P114" s="2516"/>
      <c r="Q114" s="2508"/>
      <c r="R114" s="2486"/>
      <c r="S114" s="2486"/>
      <c r="T114" s="2486"/>
      <c r="U114" s="2486"/>
      <c r="V114" s="2486"/>
      <c r="W114" s="2486"/>
      <c r="X114" s="2486"/>
      <c r="Y114" s="2486"/>
      <c r="Z114" s="2486"/>
      <c r="AA114" s="2486"/>
      <c r="AB114" s="2486"/>
      <c r="AC114" s="2486"/>
    </row>
    <row r="115" spans="1:29" ht="28.5">
      <c r="A115" s="377" t="s">
        <v>1694</v>
      </c>
      <c r="B115" s="458" t="s">
        <v>1913</v>
      </c>
      <c r="C115" s="459" t="str">
        <f>C116&amp;"(含)"&amp;"-"&amp;D116</f>
        <v>0(含)-20000</v>
      </c>
      <c r="D115" s="459" t="str">
        <f t="shared" ref="D115:M115" si="25">D116&amp;"(含)"&amp;"-"&amp;E116</f>
        <v>20000(含)-40000</v>
      </c>
      <c r="E115" s="459" t="str">
        <f t="shared" si="25"/>
        <v>40000(含)-60000</v>
      </c>
      <c r="F115" s="459" t="str">
        <f t="shared" si="25"/>
        <v>60000(含)-80000</v>
      </c>
      <c r="G115" s="459" t="str">
        <f t="shared" si="25"/>
        <v>80000(含)-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5"/>
      <c r="B116" s="475"/>
      <c r="C116" s="6">
        <v>0</v>
      </c>
      <c r="D116" s="6">
        <v>20000</v>
      </c>
      <c r="E116" s="6">
        <v>40000</v>
      </c>
      <c r="F116" s="6">
        <v>60000</v>
      </c>
      <c r="G116" s="6">
        <v>80000</v>
      </c>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5"/>
      <c r="B117" s="472"/>
      <c r="C117" s="499">
        <v>100</v>
      </c>
      <c r="D117" s="519">
        <f>C117+2</f>
        <v>102</v>
      </c>
      <c r="E117" s="519">
        <f t="shared" ref="E117:G117" si="26">D117+2</f>
        <v>104</v>
      </c>
      <c r="F117" s="519">
        <f t="shared" si="26"/>
        <v>106</v>
      </c>
      <c r="G117" s="519">
        <f t="shared" si="26"/>
        <v>108</v>
      </c>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7"/>
      <c r="B118" s="467" t="s">
        <v>1914</v>
      </c>
      <c r="C118" s="511" t="s">
        <v>4231</v>
      </c>
      <c r="D118" s="511" t="s">
        <v>4232</v>
      </c>
      <c r="E118" s="511" t="s">
        <v>4233</v>
      </c>
      <c r="F118" s="511" t="s">
        <v>4234</v>
      </c>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5"/>
      <c r="B119" s="472"/>
      <c r="C119" s="473">
        <v>100</v>
      </c>
      <c r="D119" s="473">
        <f t="shared" ref="D119:M119" si="27">C119-$K39</f>
        <v>99</v>
      </c>
      <c r="E119" s="473">
        <f t="shared" si="27"/>
        <v>98</v>
      </c>
      <c r="F119" s="473">
        <f t="shared" si="27"/>
        <v>97</v>
      </c>
      <c r="G119" s="473">
        <f t="shared" si="27"/>
        <v>96</v>
      </c>
      <c r="H119" s="473">
        <f t="shared" si="27"/>
        <v>95</v>
      </c>
      <c r="I119" s="473">
        <f t="shared" si="27"/>
        <v>94</v>
      </c>
      <c r="J119" s="473">
        <f t="shared" si="27"/>
        <v>93</v>
      </c>
      <c r="K119" s="473">
        <f t="shared" si="27"/>
        <v>92</v>
      </c>
      <c r="L119" s="473">
        <f t="shared" si="27"/>
        <v>91</v>
      </c>
      <c r="M119" s="474">
        <f t="shared" si="27"/>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7"/>
      <c r="B120" s="467" t="s">
        <v>1915</v>
      </c>
      <c r="C120" s="3167" t="s">
        <v>4235</v>
      </c>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5"/>
      <c r="B121" s="472"/>
      <c r="C121" s="473">
        <v>100</v>
      </c>
      <c r="D121" s="473">
        <f t="shared" ref="D121:M121" si="28">C121-$K40</f>
        <v>99</v>
      </c>
      <c r="E121" s="473">
        <f t="shared" si="28"/>
        <v>98</v>
      </c>
      <c r="F121" s="473">
        <f t="shared" si="28"/>
        <v>97</v>
      </c>
      <c r="G121" s="473">
        <f t="shared" si="28"/>
        <v>96</v>
      </c>
      <c r="H121" s="473">
        <f t="shared" si="28"/>
        <v>95</v>
      </c>
      <c r="I121" s="473">
        <f t="shared" si="28"/>
        <v>94</v>
      </c>
      <c r="J121" s="473">
        <f t="shared" si="28"/>
        <v>93</v>
      </c>
      <c r="K121" s="473">
        <f t="shared" si="28"/>
        <v>92</v>
      </c>
      <c r="L121" s="473">
        <f t="shared" si="28"/>
        <v>91</v>
      </c>
      <c r="M121" s="474">
        <f t="shared" si="28"/>
        <v>90</v>
      </c>
      <c r="N121" s="2515"/>
      <c r="O121" s="2515"/>
      <c r="P121" s="2513"/>
      <c r="Q121" s="2501"/>
      <c r="R121" s="2480"/>
      <c r="S121" s="2480"/>
      <c r="T121" s="2480"/>
      <c r="U121" s="2480"/>
      <c r="V121" s="2480"/>
      <c r="W121" s="2480"/>
      <c r="X121" s="2480"/>
      <c r="Y121" s="2480"/>
      <c r="Z121" s="2480"/>
      <c r="AA121" s="2480"/>
      <c r="AB121" s="2480"/>
      <c r="AC121" s="2480"/>
    </row>
    <row r="122" spans="1:29" s="406" customFormat="1" ht="15" thickTop="1">
      <c r="A122" s="404"/>
      <c r="B122" s="467" t="s">
        <v>1916</v>
      </c>
      <c r="C122" s="3168" t="s">
        <v>4236</v>
      </c>
      <c r="D122" s="3168" t="s">
        <v>4237</v>
      </c>
      <c r="E122" s="3168" t="s">
        <v>4238</v>
      </c>
      <c r="F122" s="3168" t="s">
        <v>4239</v>
      </c>
      <c r="G122" s="3168" t="s">
        <v>4240</v>
      </c>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6" customFormat="1" ht="15.75" thickBot="1">
      <c r="A123" s="482"/>
      <c r="B123" s="472"/>
      <c r="C123" s="473">
        <v>100</v>
      </c>
      <c r="D123" s="473">
        <f t="shared" ref="D123:M123" si="29">C123-$K41</f>
        <v>99</v>
      </c>
      <c r="E123" s="473">
        <f t="shared" si="29"/>
        <v>98</v>
      </c>
      <c r="F123" s="473">
        <f t="shared" si="29"/>
        <v>97</v>
      </c>
      <c r="G123" s="473">
        <f t="shared" si="29"/>
        <v>96</v>
      </c>
      <c r="H123" s="473">
        <f t="shared" si="29"/>
        <v>95</v>
      </c>
      <c r="I123" s="473">
        <f t="shared" si="29"/>
        <v>94</v>
      </c>
      <c r="J123" s="473">
        <f t="shared" si="29"/>
        <v>93</v>
      </c>
      <c r="K123" s="473">
        <f t="shared" si="29"/>
        <v>92</v>
      </c>
      <c r="L123" s="473">
        <f t="shared" si="29"/>
        <v>91</v>
      </c>
      <c r="M123" s="474">
        <f t="shared" si="29"/>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7"/>
      <c r="B124" s="467" t="s">
        <v>1917</v>
      </c>
      <c r="C124" s="3167" t="s">
        <v>4241</v>
      </c>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 t="shared" ref="D125:M125" si="30">C125-$K42</f>
        <v>99</v>
      </c>
      <c r="E125" s="473">
        <f t="shared" si="30"/>
        <v>98</v>
      </c>
      <c r="F125" s="473">
        <f t="shared" si="30"/>
        <v>97</v>
      </c>
      <c r="G125" s="473">
        <f t="shared" si="30"/>
        <v>96</v>
      </c>
      <c r="H125" s="473">
        <f t="shared" si="30"/>
        <v>95</v>
      </c>
      <c r="I125" s="473">
        <f t="shared" si="30"/>
        <v>94</v>
      </c>
      <c r="J125" s="473">
        <f t="shared" si="30"/>
        <v>93</v>
      </c>
      <c r="K125" s="473">
        <f t="shared" si="30"/>
        <v>92</v>
      </c>
      <c r="L125" s="473">
        <f t="shared" si="30"/>
        <v>91</v>
      </c>
      <c r="M125" s="474">
        <f t="shared" si="30"/>
        <v>90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7"/>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5"/>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7"/>
      <c r="B128" s="467">
        <f>B44</f>
        <v>111</v>
      </c>
      <c r="C128" s="31"/>
      <c r="D128" s="31"/>
      <c r="E128" s="31"/>
      <c r="F128" s="31"/>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5"/>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6" customFormat="1" ht="15" thickTop="1">
      <c r="A130" s="404"/>
      <c r="B130" s="467">
        <f>B45</f>
        <v>111</v>
      </c>
      <c r="C130" s="31"/>
      <c r="D130" s="31"/>
      <c r="E130" s="31"/>
      <c r="F130" s="31"/>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6" customFormat="1" ht="15.75" thickBot="1">
      <c r="A131" s="497"/>
      <c r="B131" s="618"/>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400-000000000000}">
      <formula1>住宅朝向</formula1>
    </dataValidation>
    <dataValidation type="list" allowBlank="1" showInputMessage="1" showErrorMessage="1" sqref="E28 C28 G28 I28" xr:uid="{00000000-0002-0000-1400-000001000000}">
      <formula1>公共配套设施</formula1>
    </dataValidation>
    <dataValidation type="list" allowBlank="1" showInputMessage="1" showErrorMessage="1" sqref="E22 C22 G22 I22" xr:uid="{00000000-0002-0000-1400-000002000000}">
      <formula1>交通便捷度</formula1>
    </dataValidation>
    <dataValidation type="list" allowBlank="1" showInputMessage="1" showErrorMessage="1" sqref="E16 G16 I16 C16" xr:uid="{00000000-0002-0000-1400-000003000000}">
      <formula1>居住社区成熟度</formula1>
    </dataValidation>
    <dataValidation type="list" allowBlank="1" showInputMessage="1" showErrorMessage="1" sqref="C26 E26 G26 I26" xr:uid="{00000000-0002-0000-1400-000004000000}">
      <formula1>环境</formula1>
    </dataValidation>
    <dataValidation type="list" allowBlank="1" showInputMessage="1" showErrorMessage="1" sqref="B46" xr:uid="{00000000-0002-0000-1400-000005000000}">
      <formula1>单价内涵</formula1>
    </dataValidation>
    <dataValidation type="list" allowBlank="1" showInputMessage="1" showErrorMessage="1" sqref="C8 E8 G8 I8" xr:uid="{00000000-0002-0000-1400-000006000000}">
      <formula1>套综交易情况</formula1>
    </dataValidation>
    <dataValidation type="list" allowBlank="1" showInputMessage="1" showErrorMessage="1" sqref="C9 E9 G9 I9" xr:uid="{00000000-0002-0000-1400-000007000000}">
      <formula1>套综用途</formula1>
    </dataValidation>
    <dataValidation type="list" allowBlank="1" showInputMessage="1" showErrorMessage="1" sqref="E18 C18 G18 I18" xr:uid="{00000000-0002-0000-1400-000008000000}">
      <formula1>商业繁华度</formula1>
    </dataValidation>
    <dataValidation type="list" allowBlank="1" showInputMessage="1" showErrorMessage="1" sqref="E20 C20 G20 I20" xr:uid="{00000000-0002-0000-1400-000009000000}">
      <formula1>办公集聚程度</formula1>
    </dataValidation>
    <dataValidation type="list" allowBlank="1" showInputMessage="1" showErrorMessage="1" sqref="C33 E33 G33 I33" xr:uid="{00000000-0002-0000-1400-00000A000000}">
      <formula1>套综道路等级</formula1>
    </dataValidation>
    <dataValidation type="list" allowBlank="1" showInputMessage="1" showErrorMessage="1" sqref="C34 E34 G34 I34" xr:uid="{00000000-0002-0000-1400-00000B000000}">
      <formula1>套综土地级别</formula1>
    </dataValidation>
    <dataValidation type="list" allowBlank="1" showInputMessage="1" showErrorMessage="1" sqref="C39 E39 G39 I39" xr:uid="{00000000-0002-0000-1400-00000C000000}">
      <formula1>套综宗地形状</formula1>
    </dataValidation>
    <dataValidation type="list" allowBlank="1" showInputMessage="1" showErrorMessage="1" sqref="C40 E40 G40 I40" xr:uid="{00000000-0002-0000-1400-00000D000000}">
      <formula1>套综临街宽度及深度</formula1>
    </dataValidation>
    <dataValidation type="list" allowBlank="1" showInputMessage="1" showErrorMessage="1" sqref="C41 E41 G41 I41" xr:uid="{00000000-0002-0000-1400-00000E000000}">
      <formula1>套综宗地内开发程度</formula1>
    </dataValidation>
    <dataValidation type="list" allowBlank="1" showInputMessage="1" showErrorMessage="1" sqref="C42 E42 G42 I42" xr:uid="{00000000-0002-0000-1400-00000F000000}">
      <formula1>套综工程地质条件</formula1>
    </dataValidation>
    <dataValidation type="list" allowBlank="1" showInputMessage="1" showErrorMessage="1" sqref="C31 E31 G31 I31" xr:uid="{00000000-0002-0000-1400-000010000000}">
      <formula1>临街状况</formula1>
    </dataValidation>
    <dataValidation type="list" allowBlank="1" showInputMessage="1" showErrorMessage="1" sqref="E24 G24 I24 C24" xr:uid="{00000000-0002-0000-1400-000011000000}">
      <formula1>区域土地利用方向</formula1>
    </dataValidation>
    <dataValidation type="list" allowBlank="1" showInputMessage="1" showErrorMessage="1" sqref="C55" xr:uid="{00000000-0002-0000-1400-000012000000}">
      <formula1>"北京市系数,其他省市系数"</formula1>
    </dataValidation>
    <dataValidation type="list" allowBlank="1" showInputMessage="1" showErrorMessage="1" sqref="G61" xr:uid="{00000000-0002-0000-1400-000013000000}">
      <formula1>"商业,办公,住宅,工业"</formula1>
    </dataValidation>
    <dataValidation type="list" allowBlank="1" showInputMessage="1" showErrorMessage="1" sqref="G62" xr:uid="{00000000-0002-0000-1400-000014000000}">
      <formula1>"住宅,工业"</formula1>
    </dataValidation>
    <dataValidation type="list" allowBlank="1" showInputMessage="1" showErrorMessage="1" sqref="C30 E30 G30 I30" xr:uid="{00000000-0002-0000-1400-000015000000}">
      <formula1>基础设施水平</formula1>
    </dataValidation>
    <dataValidation type="list" allowBlank="1" showInputMessage="1" showErrorMessage="1" sqref="A70" xr:uid="{00000000-0002-0000-1400-000016000000}">
      <formula1>"综合,商业,办公,住宅"</formula1>
    </dataValidation>
    <dataValidation type="list" allowBlank="1" showInputMessage="1" showErrorMessage="1" sqref="D47" xr:uid="{00000000-0002-0000-1400-000017000000}">
      <formula1>"简单平均,加权平均"</formula1>
    </dataValidation>
    <dataValidation type="list" allowBlank="1" showInputMessage="1" showErrorMessage="1" sqref="D57:D64" xr:uid="{00000000-0002-0000-14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17"/>
  <sheetViews>
    <sheetView topLeftCell="J1" workbookViewId="0">
      <selection activeCell="X29" sqref="X29"/>
    </sheetView>
  </sheetViews>
  <sheetFormatPr defaultRowHeight="13.5"/>
  <cols>
    <col min="9" max="9" width="21.5" customWidth="1"/>
    <col min="10" max="10" width="39.625" customWidth="1"/>
  </cols>
  <sheetData>
    <row r="1" spans="1:30" s="1153" customFormat="1">
      <c r="A1" s="1153" t="s">
        <v>4089</v>
      </c>
      <c r="B1" s="1153" t="s">
        <v>4090</v>
      </c>
      <c r="C1" s="1153" t="s">
        <v>4091</v>
      </c>
      <c r="D1" s="1153" t="s">
        <v>4092</v>
      </c>
      <c r="E1" s="1153" t="s">
        <v>4093</v>
      </c>
      <c r="F1" s="1153" t="s">
        <v>4094</v>
      </c>
      <c r="G1" s="1153" t="s">
        <v>4095</v>
      </c>
      <c r="H1" s="1153" t="s">
        <v>4096</v>
      </c>
      <c r="I1" s="1153" t="s">
        <v>4097</v>
      </c>
      <c r="J1" s="1153" t="s">
        <v>4098</v>
      </c>
      <c r="K1" s="1153" t="s">
        <v>4099</v>
      </c>
      <c r="L1" s="1153" t="s">
        <v>4100</v>
      </c>
      <c r="M1" s="1153" t="s">
        <v>4101</v>
      </c>
      <c r="N1" s="1153" t="s">
        <v>4102</v>
      </c>
      <c r="O1" s="1153" t="s">
        <v>4103</v>
      </c>
      <c r="P1" s="1153" t="s">
        <v>4104</v>
      </c>
      <c r="Q1" s="1153" t="s">
        <v>4105</v>
      </c>
      <c r="R1" s="1153" t="s">
        <v>4106</v>
      </c>
      <c r="S1" s="1153" t="s">
        <v>4107</v>
      </c>
      <c r="T1" s="1153" t="s">
        <v>4108</v>
      </c>
      <c r="U1" s="1153" t="s">
        <v>4109</v>
      </c>
      <c r="V1" s="1153" t="s">
        <v>4110</v>
      </c>
      <c r="W1" s="1153" t="s">
        <v>4111</v>
      </c>
      <c r="X1" s="1153" t="s">
        <v>4112</v>
      </c>
      <c r="Y1" s="1153" t="s">
        <v>4113</v>
      </c>
      <c r="Z1" s="1153" t="s">
        <v>4114</v>
      </c>
      <c r="AA1" s="1153" t="s">
        <v>4115</v>
      </c>
      <c r="AB1" s="1153" t="s">
        <v>4116</v>
      </c>
      <c r="AC1" s="1153" t="s">
        <v>4117</v>
      </c>
      <c r="AD1" s="1153" t="s">
        <v>4118</v>
      </c>
    </row>
    <row r="2" spans="1:30" s="1153" customFormat="1">
      <c r="A2" s="1153" t="s">
        <v>4119</v>
      </c>
      <c r="B2" s="1153" t="s">
        <v>3388</v>
      </c>
      <c r="C2" s="1153" t="s">
        <v>4120</v>
      </c>
      <c r="D2" s="1153" t="s">
        <v>4121</v>
      </c>
      <c r="E2" s="1153">
        <v>171090.53</v>
      </c>
      <c r="F2" s="1153">
        <v>185879.6</v>
      </c>
      <c r="G2" s="1153">
        <v>0</v>
      </c>
      <c r="H2" s="1153">
        <v>0</v>
      </c>
      <c r="I2" s="1153" t="s">
        <v>4122</v>
      </c>
      <c r="J2" s="1153" t="s">
        <v>4123</v>
      </c>
      <c r="K2" s="1153" t="s">
        <v>4124</v>
      </c>
      <c r="L2" s="1153">
        <v>2</v>
      </c>
      <c r="M2" s="1153" t="s">
        <v>4125</v>
      </c>
      <c r="N2" s="1153" t="s">
        <v>4126</v>
      </c>
      <c r="O2" s="1153" t="s">
        <v>4127</v>
      </c>
      <c r="P2" s="1153" t="s">
        <v>4128</v>
      </c>
      <c r="Q2" s="1153" t="s">
        <v>4129</v>
      </c>
      <c r="R2" s="1153">
        <v>432000</v>
      </c>
      <c r="S2" s="1153">
        <v>86400</v>
      </c>
      <c r="T2" s="1153" t="s">
        <v>4130</v>
      </c>
      <c r="U2" s="1153">
        <v>432000</v>
      </c>
      <c r="V2" s="1153">
        <v>25249.79</v>
      </c>
      <c r="W2" s="1153">
        <v>1683.32</v>
      </c>
      <c r="X2" s="1153">
        <v>23241</v>
      </c>
      <c r="Y2" s="1153" t="s">
        <v>4126</v>
      </c>
      <c r="Z2" s="1153">
        <v>0</v>
      </c>
      <c r="AA2" s="1153">
        <v>496800</v>
      </c>
      <c r="AB2" s="1153" t="s">
        <v>4126</v>
      </c>
      <c r="AC2" s="1153" t="s">
        <v>4126</v>
      </c>
      <c r="AD2" s="1153" t="s">
        <v>4131</v>
      </c>
    </row>
    <row r="3" spans="1:30" s="1153" customFormat="1">
      <c r="A3" s="1153" t="s">
        <v>4132</v>
      </c>
      <c r="B3" s="1153" t="s">
        <v>3388</v>
      </c>
      <c r="C3" s="1153" t="s">
        <v>4133</v>
      </c>
      <c r="D3" s="1153" t="s">
        <v>4134</v>
      </c>
      <c r="E3" s="1153">
        <v>50136.84</v>
      </c>
      <c r="F3" s="1153">
        <v>77018.94</v>
      </c>
      <c r="G3" s="1153">
        <v>0</v>
      </c>
      <c r="H3" s="1153">
        <v>0</v>
      </c>
      <c r="I3" s="1153" t="s">
        <v>4122</v>
      </c>
      <c r="J3" s="1153" t="s">
        <v>4135</v>
      </c>
      <c r="K3" s="1153" t="s">
        <v>4136</v>
      </c>
      <c r="L3" s="1153">
        <v>1.6</v>
      </c>
      <c r="M3" s="1153" t="s">
        <v>4125</v>
      </c>
      <c r="N3" s="1153" t="s">
        <v>4126</v>
      </c>
      <c r="O3" s="1153" t="s">
        <v>4137</v>
      </c>
      <c r="P3" s="1153" t="s">
        <v>4128</v>
      </c>
      <c r="Q3" s="1153" t="s">
        <v>4138</v>
      </c>
      <c r="R3" s="1153">
        <v>119000</v>
      </c>
      <c r="S3" s="1153">
        <v>23800</v>
      </c>
      <c r="T3" s="1153" t="s">
        <v>4139</v>
      </c>
      <c r="U3" s="1153">
        <v>119000</v>
      </c>
      <c r="V3" s="1153">
        <v>23735.040000000001</v>
      </c>
      <c r="W3" s="1153">
        <v>1582.34</v>
      </c>
      <c r="X3" s="1153">
        <v>15451</v>
      </c>
      <c r="Y3" s="1153" t="s">
        <v>4126</v>
      </c>
      <c r="Z3" s="1153">
        <v>0</v>
      </c>
      <c r="AA3" s="1153">
        <v>136850</v>
      </c>
      <c r="AB3" s="1153">
        <v>44000</v>
      </c>
      <c r="AC3" s="1153">
        <v>44000</v>
      </c>
      <c r="AD3" s="1153" t="s">
        <v>4131</v>
      </c>
    </row>
    <row r="4" spans="1:30" s="1153" customFormat="1">
      <c r="A4" s="1153" t="s">
        <v>4140</v>
      </c>
      <c r="B4" s="1153" t="s">
        <v>3388</v>
      </c>
      <c r="C4" s="1153" t="s">
        <v>4141</v>
      </c>
      <c r="D4" s="1153" t="s">
        <v>4142</v>
      </c>
      <c r="E4" s="1153">
        <v>30551.17</v>
      </c>
      <c r="F4" s="1153">
        <v>42798.91</v>
      </c>
      <c r="G4" s="1153" t="s">
        <v>4126</v>
      </c>
      <c r="H4" s="1153">
        <v>0</v>
      </c>
      <c r="I4" s="1153" t="s">
        <v>4122</v>
      </c>
      <c r="J4" s="1153" t="s">
        <v>4143</v>
      </c>
      <c r="K4" s="1153" t="s">
        <v>4144</v>
      </c>
      <c r="L4" s="1153">
        <v>1.5</v>
      </c>
      <c r="M4" s="1153" t="s">
        <v>4125</v>
      </c>
      <c r="N4" s="1153" t="s">
        <v>4126</v>
      </c>
      <c r="O4" s="1153" t="s">
        <v>4145</v>
      </c>
      <c r="P4" s="1153" t="s">
        <v>4128</v>
      </c>
      <c r="Q4" s="1153" t="s">
        <v>4146</v>
      </c>
      <c r="R4" s="1153">
        <v>62000</v>
      </c>
      <c r="S4" s="1153">
        <v>12500</v>
      </c>
      <c r="T4" s="1153" t="s">
        <v>4147</v>
      </c>
      <c r="U4" s="1153">
        <v>62000</v>
      </c>
      <c r="V4" s="1153">
        <v>20293.82</v>
      </c>
      <c r="W4" s="1153">
        <v>1352.92</v>
      </c>
      <c r="X4" s="1153">
        <v>14486</v>
      </c>
      <c r="Y4" s="1153" t="s">
        <v>4126</v>
      </c>
      <c r="Z4" s="1153">
        <v>0</v>
      </c>
      <c r="AA4" s="1153">
        <v>71300</v>
      </c>
      <c r="AB4" s="1153">
        <v>45000</v>
      </c>
      <c r="AC4" s="1153">
        <v>45000</v>
      </c>
      <c r="AD4" s="1153" t="s">
        <v>4148</v>
      </c>
    </row>
    <row r="5" spans="1:30" s="1153" customFormat="1">
      <c r="A5" s="1153" t="s">
        <v>4149</v>
      </c>
      <c r="B5" s="1153" t="s">
        <v>3388</v>
      </c>
      <c r="C5" s="1153" t="s">
        <v>4150</v>
      </c>
      <c r="D5" s="1153" t="s">
        <v>4151</v>
      </c>
      <c r="E5" s="1153">
        <v>16909.86</v>
      </c>
      <c r="F5" s="1153">
        <v>33819.72</v>
      </c>
      <c r="G5" s="1153" t="s">
        <v>4126</v>
      </c>
      <c r="H5" s="1153">
        <v>0</v>
      </c>
      <c r="I5" s="1153" t="s">
        <v>4152</v>
      </c>
      <c r="J5" s="1153" t="s">
        <v>4153</v>
      </c>
      <c r="K5" s="1153" t="s">
        <v>4154</v>
      </c>
      <c r="L5" s="1153">
        <v>2</v>
      </c>
      <c r="M5" s="1153" t="s">
        <v>4125</v>
      </c>
      <c r="N5" s="1153" t="s">
        <v>4126</v>
      </c>
      <c r="O5" s="1153" t="s">
        <v>4145</v>
      </c>
      <c r="P5" s="1153" t="s">
        <v>4128</v>
      </c>
      <c r="Q5" s="1153" t="s">
        <v>4155</v>
      </c>
      <c r="R5" s="1153">
        <v>101500</v>
      </c>
      <c r="S5" s="1153">
        <v>21000</v>
      </c>
      <c r="T5" s="1153" t="s">
        <v>4147</v>
      </c>
      <c r="U5" s="1153">
        <v>116725</v>
      </c>
      <c r="V5" s="1153">
        <v>69027.77</v>
      </c>
      <c r="W5" s="1153">
        <v>4601.8500000000004</v>
      </c>
      <c r="X5" s="1153">
        <v>34514</v>
      </c>
      <c r="Y5" s="1153" t="s">
        <v>4126</v>
      </c>
      <c r="Z5" s="1153">
        <v>15</v>
      </c>
      <c r="AA5" s="1153">
        <v>116725</v>
      </c>
      <c r="AB5" s="1153">
        <v>60000</v>
      </c>
      <c r="AC5" s="1153">
        <v>60000</v>
      </c>
      <c r="AD5" s="1153" t="s">
        <v>4156</v>
      </c>
    </row>
    <row r="6" spans="1:30" s="3164" customFormat="1">
      <c r="A6" s="3164" t="s">
        <v>4157</v>
      </c>
      <c r="B6" s="3164" t="s">
        <v>3388</v>
      </c>
      <c r="C6" s="3164" t="s">
        <v>4158</v>
      </c>
      <c r="D6" s="3164" t="s">
        <v>4159</v>
      </c>
      <c r="E6" s="3164">
        <v>28400</v>
      </c>
      <c r="F6" s="3164">
        <v>56800</v>
      </c>
      <c r="G6" s="3164" t="s">
        <v>4126</v>
      </c>
      <c r="H6" s="3164">
        <v>0</v>
      </c>
      <c r="I6" s="3164" t="s">
        <v>4152</v>
      </c>
      <c r="J6" s="3164" t="s">
        <v>4160</v>
      </c>
      <c r="K6" s="3164" t="s">
        <v>4154</v>
      </c>
      <c r="L6" s="3164">
        <v>2</v>
      </c>
      <c r="M6" s="3164" t="s">
        <v>4125</v>
      </c>
      <c r="N6" s="3164" t="s">
        <v>4126</v>
      </c>
      <c r="O6" s="3164" t="s">
        <v>4161</v>
      </c>
      <c r="P6" s="3164" t="s">
        <v>4128</v>
      </c>
      <c r="Q6" s="3164" t="s">
        <v>4162</v>
      </c>
      <c r="R6" s="3164">
        <v>126000</v>
      </c>
      <c r="S6" s="3164">
        <v>26000</v>
      </c>
      <c r="T6" s="3164" t="s">
        <v>4163</v>
      </c>
      <c r="U6" s="3164">
        <v>126000</v>
      </c>
      <c r="V6" s="3164">
        <v>44366.19</v>
      </c>
      <c r="W6" s="3164">
        <v>2957.75</v>
      </c>
      <c r="X6" s="3164">
        <v>22183</v>
      </c>
      <c r="Y6" s="3164" t="s">
        <v>4126</v>
      </c>
      <c r="Z6" s="3164">
        <v>0</v>
      </c>
      <c r="AA6" s="3164">
        <v>144900</v>
      </c>
      <c r="AB6" s="3164">
        <v>46000</v>
      </c>
      <c r="AC6" s="3164">
        <v>46000</v>
      </c>
      <c r="AD6" s="3164" t="s">
        <v>4131</v>
      </c>
    </row>
    <row r="7" spans="1:30" s="1153" customFormat="1">
      <c r="A7" s="1153" t="s">
        <v>4164</v>
      </c>
      <c r="B7" s="1153" t="s">
        <v>3388</v>
      </c>
      <c r="C7" s="1153" t="s">
        <v>4165</v>
      </c>
      <c r="D7" s="1153" t="s">
        <v>4166</v>
      </c>
      <c r="E7" s="1153">
        <v>69893.14</v>
      </c>
      <c r="F7" s="1153">
        <v>107430.41</v>
      </c>
      <c r="G7" s="1153" t="s">
        <v>4126</v>
      </c>
      <c r="H7" s="1153">
        <v>0</v>
      </c>
      <c r="I7" s="1153" t="s">
        <v>4122</v>
      </c>
      <c r="J7" s="1153" t="s">
        <v>4167</v>
      </c>
      <c r="K7" s="1153" t="s">
        <v>4168</v>
      </c>
      <c r="L7" s="1153">
        <v>1.7</v>
      </c>
      <c r="M7" s="1153" t="s">
        <v>4125</v>
      </c>
      <c r="N7" s="1153" t="s">
        <v>4126</v>
      </c>
      <c r="O7" s="1153" t="s">
        <v>4169</v>
      </c>
      <c r="P7" s="1153" t="s">
        <v>4128</v>
      </c>
      <c r="Q7" s="1153" t="s">
        <v>4170</v>
      </c>
      <c r="R7" s="1153">
        <v>199000</v>
      </c>
      <c r="S7" s="1153">
        <v>40000</v>
      </c>
      <c r="T7" s="1153" t="s">
        <v>4171</v>
      </c>
      <c r="U7" s="1153">
        <v>199000</v>
      </c>
      <c r="V7" s="1153">
        <v>28472.03</v>
      </c>
      <c r="W7" s="1153">
        <v>1898.14</v>
      </c>
      <c r="X7" s="1153">
        <v>18524</v>
      </c>
      <c r="Y7" s="1153" t="s">
        <v>4126</v>
      </c>
      <c r="Z7" s="1153">
        <v>0</v>
      </c>
      <c r="AA7" s="1153">
        <v>228850</v>
      </c>
      <c r="AB7" s="1153">
        <v>43000</v>
      </c>
      <c r="AC7" s="1153">
        <v>43000</v>
      </c>
      <c r="AD7" s="1153" t="s">
        <v>4131</v>
      </c>
    </row>
    <row r="8" spans="1:30" s="3165" customFormat="1">
      <c r="A8" s="3165" t="s">
        <v>4172</v>
      </c>
      <c r="B8" s="3165" t="s">
        <v>3388</v>
      </c>
      <c r="C8" s="3165" t="s">
        <v>4158</v>
      </c>
      <c r="D8" s="3165" t="s">
        <v>4173</v>
      </c>
      <c r="E8" s="3165">
        <v>63203.19</v>
      </c>
      <c r="F8" s="3165">
        <v>107665.74</v>
      </c>
      <c r="G8" s="3165" t="s">
        <v>4126</v>
      </c>
      <c r="H8" s="3165">
        <v>0</v>
      </c>
      <c r="I8" s="3165" t="s">
        <v>4122</v>
      </c>
      <c r="J8" s="3165" t="s">
        <v>4135</v>
      </c>
      <c r="K8" s="3165" t="s">
        <v>4174</v>
      </c>
      <c r="L8" s="3165">
        <v>1.8</v>
      </c>
      <c r="M8" s="3165" t="s">
        <v>4125</v>
      </c>
      <c r="N8" s="3165" t="s">
        <v>4126</v>
      </c>
      <c r="O8" s="3165" t="s">
        <v>4175</v>
      </c>
      <c r="P8" s="3165" t="s">
        <v>4128</v>
      </c>
      <c r="Q8" s="3165" t="s">
        <v>4176</v>
      </c>
      <c r="R8" s="3165">
        <v>227000</v>
      </c>
      <c r="S8" s="3165">
        <v>46000</v>
      </c>
      <c r="T8" s="3165" t="s">
        <v>4177</v>
      </c>
      <c r="U8" s="3165">
        <v>228200</v>
      </c>
      <c r="V8" s="3165">
        <v>36105.769999999997</v>
      </c>
      <c r="W8" s="3165">
        <v>2407.0500000000002</v>
      </c>
      <c r="X8" s="3165">
        <v>21195</v>
      </c>
      <c r="Y8" s="3165" t="s">
        <v>4126</v>
      </c>
      <c r="Z8" s="3165">
        <v>0.53</v>
      </c>
      <c r="AA8" s="3165">
        <v>261050</v>
      </c>
      <c r="AB8" s="3165">
        <v>46000</v>
      </c>
      <c r="AC8" s="3165">
        <v>46000</v>
      </c>
      <c r="AD8" s="3165" t="s">
        <v>4131</v>
      </c>
    </row>
    <row r="9" spans="1:30" s="3164" customFormat="1">
      <c r="A9" s="3164" t="s">
        <v>4178</v>
      </c>
      <c r="B9" s="3164" t="s">
        <v>3388</v>
      </c>
      <c r="C9" s="3164" t="s">
        <v>4179</v>
      </c>
      <c r="D9" s="3164" t="s">
        <v>4180</v>
      </c>
      <c r="E9" s="3164">
        <v>20354.939999999999</v>
      </c>
      <c r="F9" s="3164">
        <v>47549.3</v>
      </c>
      <c r="G9" s="3164" t="s">
        <v>4126</v>
      </c>
      <c r="H9" s="3164">
        <v>0</v>
      </c>
      <c r="I9" s="3164" t="s">
        <v>4152</v>
      </c>
      <c r="J9" s="3164" t="s">
        <v>4160</v>
      </c>
      <c r="K9" s="3164" t="s">
        <v>4181</v>
      </c>
      <c r="L9" s="3164">
        <v>2.4</v>
      </c>
      <c r="M9" s="3164" t="s">
        <v>4125</v>
      </c>
      <c r="N9" s="3164" t="s">
        <v>4126</v>
      </c>
      <c r="O9" s="3164" t="s">
        <v>4182</v>
      </c>
      <c r="P9" s="3164" t="s">
        <v>4128</v>
      </c>
      <c r="Q9" s="3164" t="s">
        <v>4183</v>
      </c>
      <c r="R9" s="3164">
        <v>96000</v>
      </c>
      <c r="S9" s="3164">
        <v>20000</v>
      </c>
      <c r="T9" s="3164" t="s">
        <v>4126</v>
      </c>
      <c r="U9" s="3164">
        <v>110400</v>
      </c>
      <c r="V9" s="3164">
        <v>54237.45</v>
      </c>
      <c r="W9" s="3164">
        <v>3615.83</v>
      </c>
      <c r="X9" s="3164">
        <v>23218</v>
      </c>
      <c r="Y9" s="3164" t="s">
        <v>4126</v>
      </c>
      <c r="Z9" s="3164">
        <v>15</v>
      </c>
      <c r="AA9" s="3164">
        <v>110400</v>
      </c>
      <c r="AB9" s="3164">
        <v>46000</v>
      </c>
      <c r="AC9" s="3164">
        <v>46000</v>
      </c>
      <c r="AD9" s="3164" t="s">
        <v>4131</v>
      </c>
    </row>
    <row r="10" spans="1:30" s="1153" customFormat="1">
      <c r="A10" s="1153" t="s">
        <v>4184</v>
      </c>
      <c r="B10" s="1153" t="s">
        <v>3388</v>
      </c>
      <c r="C10" s="1153" t="s">
        <v>4185</v>
      </c>
      <c r="D10" s="1153" t="s">
        <v>4186</v>
      </c>
      <c r="E10" s="1153">
        <v>34099.22</v>
      </c>
      <c r="F10" s="1153">
        <v>61378.59</v>
      </c>
      <c r="G10" s="1153" t="s">
        <v>4126</v>
      </c>
      <c r="H10" s="1153">
        <v>0</v>
      </c>
      <c r="I10" s="1153" t="s">
        <v>4152</v>
      </c>
      <c r="J10" s="1153" t="s">
        <v>4160</v>
      </c>
      <c r="K10" s="1153" t="s">
        <v>4187</v>
      </c>
      <c r="L10" s="1153">
        <v>1.8</v>
      </c>
      <c r="M10" s="1153" t="s">
        <v>4125</v>
      </c>
      <c r="N10" s="1153" t="s">
        <v>4126</v>
      </c>
      <c r="O10" s="1153" t="s">
        <v>4188</v>
      </c>
      <c r="P10" s="1153" t="s">
        <v>4128</v>
      </c>
      <c r="Q10" s="1153" t="s">
        <v>4189</v>
      </c>
      <c r="R10" s="1153">
        <v>150500</v>
      </c>
      <c r="S10" s="1153">
        <v>31000</v>
      </c>
      <c r="T10" s="1153" t="s">
        <v>4190</v>
      </c>
      <c r="U10" s="1153">
        <v>173075</v>
      </c>
      <c r="V10" s="1153">
        <v>50756.29</v>
      </c>
      <c r="W10" s="1153">
        <v>3383.75</v>
      </c>
      <c r="X10" s="1153">
        <v>28198</v>
      </c>
      <c r="Y10" s="1153" t="s">
        <v>4126</v>
      </c>
      <c r="Z10" s="1153">
        <v>15</v>
      </c>
      <c r="AA10" s="1153">
        <v>173075</v>
      </c>
      <c r="AB10" s="1153">
        <v>58000</v>
      </c>
      <c r="AC10" s="1153">
        <v>58000</v>
      </c>
      <c r="AD10" s="1153" t="s">
        <v>4156</v>
      </c>
    </row>
    <row r="11" spans="1:30" s="1153" customFormat="1">
      <c r="A11" s="1153" t="s">
        <v>4191</v>
      </c>
      <c r="B11" s="1153" t="s">
        <v>3388</v>
      </c>
      <c r="C11" s="1153" t="s">
        <v>4185</v>
      </c>
      <c r="D11" s="1153" t="s">
        <v>4192</v>
      </c>
      <c r="E11" s="1153">
        <v>31562.01</v>
      </c>
      <c r="F11" s="1153">
        <v>56811.61</v>
      </c>
      <c r="G11" s="1153" t="s">
        <v>4126</v>
      </c>
      <c r="H11" s="1153">
        <v>0</v>
      </c>
      <c r="I11" s="1153" t="s">
        <v>4152</v>
      </c>
      <c r="J11" s="1153" t="s">
        <v>4160</v>
      </c>
      <c r="K11" s="1153" t="s">
        <v>4187</v>
      </c>
      <c r="L11" s="1153">
        <v>1.8</v>
      </c>
      <c r="M11" s="1153" t="s">
        <v>4125</v>
      </c>
      <c r="N11" s="1153" t="s">
        <v>4126</v>
      </c>
      <c r="O11" s="1153" t="s">
        <v>4188</v>
      </c>
      <c r="P11" s="1153" t="s">
        <v>4128</v>
      </c>
      <c r="Q11" s="1153" t="s">
        <v>4193</v>
      </c>
      <c r="R11" s="1153">
        <v>144000</v>
      </c>
      <c r="S11" s="1153">
        <v>29000</v>
      </c>
      <c r="T11" s="1153" t="s">
        <v>4190</v>
      </c>
      <c r="U11" s="1153">
        <v>165600</v>
      </c>
      <c r="V11" s="1153">
        <v>52468.14</v>
      </c>
      <c r="W11" s="1153">
        <v>3497.88</v>
      </c>
      <c r="X11" s="1153">
        <v>29149</v>
      </c>
      <c r="Y11" s="1153" t="s">
        <v>4126</v>
      </c>
      <c r="Z11" s="1153">
        <v>15</v>
      </c>
      <c r="AA11" s="1153">
        <v>165600</v>
      </c>
      <c r="AB11" s="1153">
        <v>58000</v>
      </c>
      <c r="AC11" s="1153">
        <v>58000</v>
      </c>
      <c r="AD11" s="1153" t="s">
        <v>4156</v>
      </c>
    </row>
    <row r="12" spans="1:30" s="1153" customFormat="1">
      <c r="A12" s="1153" t="s">
        <v>4194</v>
      </c>
      <c r="B12" s="1153" t="s">
        <v>3388</v>
      </c>
      <c r="C12" s="1153" t="s">
        <v>4195</v>
      </c>
      <c r="D12" s="1153" t="s">
        <v>4196</v>
      </c>
      <c r="E12" s="1153">
        <v>89084.800000000003</v>
      </c>
      <c r="F12" s="1153">
        <v>141877.1</v>
      </c>
      <c r="G12" s="1153">
        <v>42312.87</v>
      </c>
      <c r="H12" s="1153">
        <v>0</v>
      </c>
      <c r="I12" s="1153" t="s">
        <v>4122</v>
      </c>
      <c r="J12" s="1153" t="s">
        <v>4143</v>
      </c>
      <c r="K12" s="1153" t="s">
        <v>4197</v>
      </c>
      <c r="L12" s="1153">
        <v>5</v>
      </c>
      <c r="M12" s="1153" t="s">
        <v>4125</v>
      </c>
      <c r="N12" s="1153" t="s">
        <v>4198</v>
      </c>
      <c r="O12" s="1153" t="s">
        <v>4199</v>
      </c>
      <c r="P12" s="1153" t="s">
        <v>4128</v>
      </c>
      <c r="Q12" s="1153" t="s">
        <v>4200</v>
      </c>
      <c r="R12" s="1153">
        <v>160000</v>
      </c>
      <c r="S12" s="1153">
        <v>32000</v>
      </c>
      <c r="T12" s="1153" t="s">
        <v>4201</v>
      </c>
      <c r="U12" s="1153">
        <v>160000</v>
      </c>
      <c r="V12" s="1153">
        <v>17960.41</v>
      </c>
      <c r="W12" s="1153">
        <v>1197.3599999999999</v>
      </c>
      <c r="X12" s="1153">
        <v>11277</v>
      </c>
      <c r="Y12" s="1153">
        <v>16070</v>
      </c>
      <c r="Z12" s="1153">
        <v>0</v>
      </c>
      <c r="AA12" s="1153">
        <v>184000</v>
      </c>
      <c r="AB12" s="1153">
        <v>44000</v>
      </c>
      <c r="AC12" s="1153">
        <v>44000</v>
      </c>
      <c r="AD12" s="1153" t="s">
        <v>4131</v>
      </c>
    </row>
    <row r="13" spans="1:30" s="3164" customFormat="1">
      <c r="A13" s="3164" t="s">
        <v>4202</v>
      </c>
      <c r="B13" s="3164" t="s">
        <v>3388</v>
      </c>
      <c r="C13" s="3164" t="s">
        <v>4158</v>
      </c>
      <c r="D13" s="3164" t="s">
        <v>4203</v>
      </c>
      <c r="E13" s="3164">
        <v>69193.56</v>
      </c>
      <c r="F13" s="3164">
        <v>110709.69</v>
      </c>
      <c r="G13" s="3164" t="s">
        <v>4126</v>
      </c>
      <c r="H13" s="3164">
        <v>0</v>
      </c>
      <c r="I13" s="3164" t="s">
        <v>4152</v>
      </c>
      <c r="J13" s="3164" t="s">
        <v>4204</v>
      </c>
      <c r="K13" s="3164" t="s">
        <v>4205</v>
      </c>
      <c r="L13" s="3164">
        <v>1.6</v>
      </c>
      <c r="M13" s="3164" t="s">
        <v>4125</v>
      </c>
      <c r="N13" s="3164" t="s">
        <v>4198</v>
      </c>
      <c r="O13" s="3164" t="s">
        <v>4199</v>
      </c>
      <c r="P13" s="3164" t="s">
        <v>4128</v>
      </c>
      <c r="Q13" s="3164" t="s">
        <v>4206</v>
      </c>
      <c r="R13" s="3164">
        <v>243000</v>
      </c>
      <c r="S13" s="3164">
        <v>49000</v>
      </c>
      <c r="T13" s="3164" t="s">
        <v>4201</v>
      </c>
      <c r="U13" s="3164">
        <v>243000</v>
      </c>
      <c r="V13" s="3164">
        <v>35118.870000000003</v>
      </c>
      <c r="W13" s="3164">
        <v>2341.2600000000002</v>
      </c>
      <c r="X13" s="3164">
        <v>21949</v>
      </c>
      <c r="Y13" s="3164" t="s">
        <v>4126</v>
      </c>
      <c r="Z13" s="3164">
        <v>0</v>
      </c>
      <c r="AA13" s="3164">
        <v>279450</v>
      </c>
      <c r="AB13" s="3164">
        <v>46000</v>
      </c>
      <c r="AC13" s="3164">
        <v>46000</v>
      </c>
      <c r="AD13" s="3164" t="s">
        <v>4131</v>
      </c>
    </row>
    <row r="14" spans="1:30" s="1153" customFormat="1">
      <c r="A14" s="1153" t="s">
        <v>4207</v>
      </c>
      <c r="B14" s="1153" t="s">
        <v>3388</v>
      </c>
      <c r="C14" s="1153" t="s">
        <v>4185</v>
      </c>
      <c r="D14" s="1153" t="s">
        <v>4208</v>
      </c>
      <c r="E14" s="1153">
        <v>157751.99</v>
      </c>
      <c r="F14" s="1153">
        <v>187262.38</v>
      </c>
      <c r="G14" s="1153" t="s">
        <v>4126</v>
      </c>
      <c r="H14" s="1153">
        <v>0</v>
      </c>
      <c r="I14" s="1153" t="s">
        <v>4122</v>
      </c>
      <c r="J14" s="1153" t="s">
        <v>4143</v>
      </c>
      <c r="K14" s="1153" t="s">
        <v>4209</v>
      </c>
      <c r="L14" s="1153">
        <v>1.2</v>
      </c>
      <c r="M14" s="1153" t="s">
        <v>4125</v>
      </c>
      <c r="N14" s="1153" t="s">
        <v>4210</v>
      </c>
      <c r="O14" s="1153" t="s">
        <v>4211</v>
      </c>
      <c r="P14" s="1153" t="s">
        <v>4128</v>
      </c>
      <c r="Q14" s="1153" t="s">
        <v>4212</v>
      </c>
      <c r="R14" s="1153">
        <v>539000</v>
      </c>
      <c r="S14" s="1153">
        <v>108000</v>
      </c>
      <c r="T14" s="1153" t="s">
        <v>4213</v>
      </c>
      <c r="U14" s="1153">
        <v>547000</v>
      </c>
      <c r="V14" s="1153">
        <v>34674.68</v>
      </c>
      <c r="W14" s="1153">
        <v>2311.65</v>
      </c>
      <c r="X14" s="1153">
        <v>29210</v>
      </c>
      <c r="Y14" s="1153" t="s">
        <v>4126</v>
      </c>
      <c r="Z14" s="1153">
        <v>1.48</v>
      </c>
      <c r="AA14" s="1153">
        <v>619850</v>
      </c>
      <c r="AB14" s="1153">
        <v>59700</v>
      </c>
      <c r="AC14" s="1153">
        <v>59700</v>
      </c>
      <c r="AD14" s="1153" t="s">
        <v>4156</v>
      </c>
    </row>
    <row r="15" spans="1:30" s="1153" customFormat="1">
      <c r="A15" s="1153" t="s">
        <v>4214</v>
      </c>
      <c r="B15" s="1153" t="s">
        <v>3388</v>
      </c>
      <c r="C15" s="1153" t="s">
        <v>4215</v>
      </c>
      <c r="D15" s="1153" t="s">
        <v>4216</v>
      </c>
      <c r="E15" s="1153">
        <v>39732.370000000003</v>
      </c>
      <c r="F15" s="1153">
        <v>62838.75</v>
      </c>
      <c r="G15" s="1153" t="s">
        <v>4126</v>
      </c>
      <c r="H15" s="1153">
        <v>0</v>
      </c>
      <c r="I15" s="1153" t="s">
        <v>4122</v>
      </c>
      <c r="J15" s="1153" t="s">
        <v>4143</v>
      </c>
      <c r="K15" s="1153" t="s">
        <v>4217</v>
      </c>
      <c r="L15" s="1153">
        <v>1.6</v>
      </c>
      <c r="M15" s="1153" t="s">
        <v>4125</v>
      </c>
      <c r="N15" s="1153" t="s">
        <v>4210</v>
      </c>
      <c r="O15" s="1153" t="s">
        <v>4218</v>
      </c>
      <c r="P15" s="1153" t="s">
        <v>4128</v>
      </c>
      <c r="Q15" s="1153" t="s">
        <v>4219</v>
      </c>
      <c r="R15" s="1153">
        <v>170000</v>
      </c>
      <c r="S15" s="1153">
        <v>34000</v>
      </c>
      <c r="T15" s="1153" t="s">
        <v>4213</v>
      </c>
      <c r="U15" s="1153">
        <v>195500</v>
      </c>
      <c r="V15" s="1153">
        <v>49204.21</v>
      </c>
      <c r="W15" s="1153">
        <v>3280.28</v>
      </c>
      <c r="X15" s="1153">
        <v>31111</v>
      </c>
      <c r="Y15" s="1153" t="s">
        <v>4126</v>
      </c>
      <c r="Z15" s="1153">
        <v>15</v>
      </c>
      <c r="AA15" s="1153">
        <v>195500</v>
      </c>
      <c r="AB15" s="1153">
        <v>73000</v>
      </c>
      <c r="AC15" s="1153">
        <v>73000</v>
      </c>
      <c r="AD15" s="1153" t="s">
        <v>4156</v>
      </c>
    </row>
    <row r="16" spans="1:30" s="1153" customFormat="1">
      <c r="A16" s="1153" t="s">
        <v>4220</v>
      </c>
      <c r="B16" s="1153" t="s">
        <v>3388</v>
      </c>
      <c r="C16" s="1153" t="s">
        <v>4165</v>
      </c>
      <c r="D16" s="1153" t="s">
        <v>4221</v>
      </c>
      <c r="E16" s="1153">
        <v>51409.62</v>
      </c>
      <c r="F16" s="1153">
        <v>83593.919999999998</v>
      </c>
      <c r="G16" s="1153" t="s">
        <v>4126</v>
      </c>
      <c r="H16" s="1153">
        <v>0</v>
      </c>
      <c r="I16" s="1153" t="s">
        <v>4152</v>
      </c>
      <c r="J16" s="1153" t="s">
        <v>4204</v>
      </c>
      <c r="K16" s="1153" t="s">
        <v>4205</v>
      </c>
      <c r="L16" s="1153">
        <v>1.6</v>
      </c>
      <c r="M16" s="1153" t="s">
        <v>4125</v>
      </c>
      <c r="N16" s="1153" t="s">
        <v>4222</v>
      </c>
      <c r="O16" s="1153" t="s">
        <v>4223</v>
      </c>
      <c r="P16" s="1153" t="s">
        <v>4128</v>
      </c>
      <c r="Q16" s="1153" t="s">
        <v>4224</v>
      </c>
      <c r="R16" s="1153">
        <v>166000</v>
      </c>
      <c r="S16" s="1153">
        <v>34000</v>
      </c>
      <c r="T16" s="1153" t="s">
        <v>4225</v>
      </c>
      <c r="U16" s="1153">
        <v>166000</v>
      </c>
      <c r="V16" s="1153">
        <v>32289.67</v>
      </c>
      <c r="W16" s="1153">
        <v>2152.65</v>
      </c>
      <c r="X16" s="1153">
        <v>19858</v>
      </c>
      <c r="Y16" s="1153" t="s">
        <v>4126</v>
      </c>
      <c r="Z16" s="1153">
        <v>0</v>
      </c>
      <c r="AA16" s="1153">
        <v>174300</v>
      </c>
      <c r="AB16" s="1153">
        <v>42000</v>
      </c>
      <c r="AC16" s="1153">
        <v>42000</v>
      </c>
      <c r="AD16" s="1153" t="s">
        <v>4131</v>
      </c>
    </row>
    <row r="17" spans="1:30" s="1153" customFormat="1">
      <c r="A17" s="1153" t="s">
        <v>4226</v>
      </c>
      <c r="B17" s="1153" t="s">
        <v>3388</v>
      </c>
      <c r="C17" s="1153" t="s">
        <v>4195</v>
      </c>
      <c r="D17" s="1153" t="s">
        <v>4227</v>
      </c>
      <c r="E17" s="1153">
        <v>40739.620000000003</v>
      </c>
      <c r="F17" s="1153">
        <v>75359.210000000006</v>
      </c>
      <c r="G17" s="1153" t="s">
        <v>4126</v>
      </c>
      <c r="H17" s="1153">
        <v>0</v>
      </c>
      <c r="I17" s="1153" t="s">
        <v>4122</v>
      </c>
      <c r="J17" s="1153" t="s">
        <v>4135</v>
      </c>
      <c r="K17" s="1153" t="s">
        <v>4228</v>
      </c>
      <c r="L17" s="1153">
        <v>2</v>
      </c>
      <c r="M17" s="1153" t="s">
        <v>4125</v>
      </c>
      <c r="N17" s="1153" t="s">
        <v>4222</v>
      </c>
      <c r="O17" s="1153" t="s">
        <v>4223</v>
      </c>
      <c r="P17" s="1153" t="s">
        <v>4128</v>
      </c>
      <c r="Q17" s="1153" t="s">
        <v>4229</v>
      </c>
      <c r="R17" s="1153">
        <v>140000</v>
      </c>
      <c r="S17" s="1153">
        <v>28000</v>
      </c>
      <c r="T17" s="1153" t="s">
        <v>4225</v>
      </c>
      <c r="U17" s="1153">
        <v>140700</v>
      </c>
      <c r="V17" s="1153">
        <v>34536.400000000001</v>
      </c>
      <c r="W17" s="1153">
        <v>2302.4299999999998</v>
      </c>
      <c r="X17" s="1153">
        <v>18671</v>
      </c>
      <c r="Y17" s="1153" t="s">
        <v>4126</v>
      </c>
      <c r="Z17" s="1153">
        <v>0.5</v>
      </c>
      <c r="AA17" s="1153">
        <v>161000</v>
      </c>
      <c r="AB17" s="1153">
        <v>44000</v>
      </c>
      <c r="AC17" s="1153">
        <v>44000</v>
      </c>
      <c r="AD17" s="1153" t="s">
        <v>4131</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22" zoomScale="85" zoomScaleNormal="70" zoomScaleSheetLayoutView="85" workbookViewId="0">
      <selection activeCell="C51" sqref="C51"/>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371"/>
      <c r="C1" s="188"/>
      <c r="D1" s="188"/>
      <c r="E1" s="188"/>
      <c r="F1" s="188"/>
      <c r="G1" s="1059">
        <f>MATCH(B1,'数据-取费表'!A6:A16,0)+5</f>
        <v>9</v>
      </c>
    </row>
    <row r="2" spans="1:9" s="190" customFormat="1" ht="18" customHeight="1">
      <c r="A2" s="191" t="s">
        <v>1462</v>
      </c>
      <c r="B2" s="192">
        <f ca="1">IF(D2="——",C52,C52-E2)</f>
        <v>285365</v>
      </c>
      <c r="C2" s="189" t="s">
        <v>1463</v>
      </c>
      <c r="D2" s="1707" t="s">
        <v>43</v>
      </c>
      <c r="E2" s="1086" t="e">
        <f ca="1">SUMIF(INDIRECT("'"&amp;G2&amp;"'"&amp;"!A:A"),"承租人权益价值",INDIRECT("'"&amp;G2&amp;"'"&amp;"!c:c"))</f>
        <v>#REF!</v>
      </c>
      <c r="F2" s="1708" t="s">
        <v>1463</v>
      </c>
      <c r="G2" s="1709"/>
    </row>
    <row r="3" spans="1:9" s="190" customFormat="1" ht="18" customHeight="1" thickBot="1">
      <c r="A3" s="193" t="s">
        <v>1464</v>
      </c>
      <c r="B3" s="194">
        <f ca="1">ROUND(B2*10000/(IF(B1="",'数据-汇总表'!E3,INDIRECT("'数据-取费表'!k"&amp;$G$1))),0)</f>
        <v>26831</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C6+C7+C8</f>
        <v>179433</v>
      </c>
      <c r="D5" s="201" t="s">
        <v>1469</v>
      </c>
      <c r="E5" s="202" t="s">
        <v>1470</v>
      </c>
      <c r="F5" s="202" t="s">
        <v>1471</v>
      </c>
      <c r="G5" s="203"/>
    </row>
    <row r="6" spans="1:9" s="204" customFormat="1" ht="13.5" customHeight="1">
      <c r="A6" s="729" t="s">
        <v>1472</v>
      </c>
      <c r="B6" s="205" t="s">
        <v>1473</v>
      </c>
      <c r="C6" s="206">
        <f>'土地比较法-住宅、综合'!F65</f>
        <v>174122</v>
      </c>
      <c r="D6" s="207"/>
      <c r="E6" s="208"/>
      <c r="F6" s="208"/>
      <c r="G6" s="209"/>
    </row>
    <row r="7" spans="1:9" s="204" customFormat="1" ht="13.5" customHeight="1">
      <c r="A7" s="729" t="s">
        <v>1474</v>
      </c>
      <c r="B7" s="205" t="s">
        <v>1475</v>
      </c>
      <c r="C7" s="210">
        <f>ROUND(C6*F7,0)</f>
        <v>5311</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0</v>
      </c>
      <c r="D8" s="212"/>
      <c r="E8" s="210"/>
      <c r="F8" s="211"/>
      <c r="G8" s="1710" t="s">
        <v>4247</v>
      </c>
    </row>
    <row r="9" spans="1:9" s="204" customFormat="1" ht="13.5" customHeight="1">
      <c r="A9" s="730" t="s">
        <v>355</v>
      </c>
      <c r="B9" s="214" t="s">
        <v>1478</v>
      </c>
      <c r="C9" s="215">
        <f ca="1">ROUND(D9*E9/10000,0)</f>
        <v>1269</v>
      </c>
      <c r="D9" s="792">
        <f ca="1">IF(B1="",'数据-汇总表'!E5,IF(INDIRECT("'数据-取费表'!c"&amp;$G$1)="住宅",INDIRECT("'数据-取费表'!k"&amp;$G$1),0))</f>
        <v>79323.999999999854</v>
      </c>
      <c r="E9" s="215">
        <f>'数据-取费表'!B27</f>
        <v>160</v>
      </c>
      <c r="F9" s="211"/>
      <c r="G9" s="1711"/>
      <c r="H9" s="1067"/>
      <c r="I9" s="1712" t="s">
        <v>1479</v>
      </c>
    </row>
    <row r="10" spans="1:9" s="204" customFormat="1" ht="13.5" customHeight="1">
      <c r="A10" s="730" t="s">
        <v>356</v>
      </c>
      <c r="B10" s="214" t="s">
        <v>1480</v>
      </c>
      <c r="C10" s="215">
        <f ca="1">ROUND(D10*E10/10000,0)</f>
        <v>541</v>
      </c>
      <c r="D10" s="792">
        <f ca="1">IF(B1="",'数据-汇总表'!E6,IF(INDIRECT("'数据-取费表'!c"&amp;$G$1)="住宅",INDIRECT("'数据-取费表'!s"&amp;$G$1),INDIRECT("'数据-取费表'!k"&amp;$G$1)+INDIRECT("'数据-取费表'!s"&amp;$G$1)))</f>
        <v>27031.860000000277</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t="str">
        <f>IF(G19="已包含在土地取得成本中","0",ROUND(D19*E19/10000,0))</f>
        <v>0</v>
      </c>
      <c r="D19" s="202">
        <f ca="1">D9+D10</f>
        <v>106355.86000000013</v>
      </c>
      <c r="E19" s="201">
        <f>'数据-取费表'!B31</f>
        <v>200</v>
      </c>
      <c r="F19" s="221"/>
      <c r="G19" s="1710" t="s">
        <v>4248</v>
      </c>
    </row>
    <row r="20" spans="1:7" s="204" customFormat="1" ht="13.5" customHeight="1">
      <c r="A20" s="245" t="s">
        <v>1493</v>
      </c>
      <c r="B20" s="200" t="s">
        <v>1494</v>
      </c>
      <c r="C20" s="222">
        <f>ROUND((C5+C19)*F20,0)</f>
        <v>3589</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8">
        <f ca="1">ROUND(SUM(C23:C25),0)</f>
        <v>8955</v>
      </c>
      <c r="D22" s="225">
        <f ca="1">C26</f>
        <v>5.0000000000000001E-4</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8867</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0</v>
      </c>
      <c r="D24" s="228"/>
      <c r="E24" s="228"/>
      <c r="F24" s="229"/>
      <c r="G24" s="230" t="s">
        <v>1507</v>
      </c>
    </row>
    <row r="25" spans="1:7" s="204" customFormat="1" ht="24">
      <c r="A25" s="731" t="s">
        <v>1508</v>
      </c>
      <c r="B25" s="205" t="s">
        <v>1509</v>
      </c>
      <c r="C25" s="1039">
        <f ca="1">ROUND(IF('数据-取费表'!B22&lt;=1,C20*F22*'数据-取费表'!B23/2,C20*(POWER((1+F22),'数据-取费表'!B23/2)-1)),0)</f>
        <v>88</v>
      </c>
      <c r="D25" s="228"/>
      <c r="E25" s="231"/>
      <c r="F25" s="229"/>
      <c r="G25" s="232" t="s">
        <v>1510</v>
      </c>
    </row>
    <row r="26" spans="1:7" s="204" customFormat="1">
      <c r="A26" s="731" t="s">
        <v>350</v>
      </c>
      <c r="B26" s="205" t="s">
        <v>1511</v>
      </c>
      <c r="C26" s="228">
        <f ca="1">ROUND(IF('数据-取费表'!B22&lt;=1,F21*F22*'数据-取费表'!B23/2,F21*(POWER((1+F22),'数据-取费表'!B23/2)-1)),4)</f>
        <v>5.0000000000000001E-4</v>
      </c>
      <c r="D26" s="228"/>
      <c r="E26" s="231"/>
      <c r="F26" s="229"/>
      <c r="G26" s="233"/>
    </row>
    <row r="27" spans="1:7" s="204" customFormat="1" ht="24.75">
      <c r="A27" s="245" t="s">
        <v>1512</v>
      </c>
      <c r="B27" s="234" t="s">
        <v>1513</v>
      </c>
      <c r="C27" s="235">
        <f ca="1">C28</f>
        <v>18507</v>
      </c>
      <c r="D27" s="225">
        <f ca="1">C29</f>
        <v>2E-3</v>
      </c>
      <c r="E27" s="226" t="s">
        <v>1514</v>
      </c>
      <c r="F27" s="236">
        <f ca="1">IF(B1="",'数据-取费表'!Q16,INDIRECT("'数据-取费表'!q"&amp;$G$1))</f>
        <v>0.16</v>
      </c>
      <c r="G27" s="237" t="s">
        <v>1515</v>
      </c>
    </row>
    <row r="28" spans="1:7" s="204" customFormat="1" ht="13.5" customHeight="1">
      <c r="A28" s="731" t="s">
        <v>346</v>
      </c>
      <c r="B28" s="238" t="s">
        <v>1516</v>
      </c>
      <c r="C28" s="239">
        <f ca="1">ROUND((C5+C19+C20)*F27*'数据-取费表'!B21/'数据-取费表'!B20,0)</f>
        <v>18507</v>
      </c>
      <c r="D28" s="225"/>
      <c r="E28" s="226"/>
      <c r="F28" s="236"/>
      <c r="G28" s="237"/>
    </row>
    <row r="29" spans="1:7" s="204" customFormat="1" ht="13.5" customHeight="1">
      <c r="A29" s="731" t="s">
        <v>347</v>
      </c>
      <c r="B29" s="238" t="s">
        <v>1517</v>
      </c>
      <c r="C29" s="228">
        <f ca="1">ROUND(C21*F27*'数据-取费表'!B21/'数据-取费表'!B20,4)</f>
        <v>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227747</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44021</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37647</v>
      </c>
      <c r="D34" s="207"/>
      <c r="E34" s="210"/>
      <c r="F34" s="247">
        <f ca="1">IF('数据-取费表'!B24=0,1,IF(B1="",'数据-取费表'!N16,INDIRECT("'数据-取费表'!n"&amp;$G$1)))</f>
        <v>0.63</v>
      </c>
      <c r="G34" s="209" t="s">
        <v>1526</v>
      </c>
    </row>
    <row r="35" spans="1:7" ht="13.5" customHeight="1">
      <c r="A35" s="731" t="s">
        <v>351</v>
      </c>
      <c r="B35" s="205" t="s">
        <v>1527</v>
      </c>
      <c r="C35" s="210">
        <f ca="1">ROUND(C34*F35,0)</f>
        <v>1882</v>
      </c>
      <c r="D35" s="210"/>
      <c r="E35" s="210"/>
      <c r="F35" s="249">
        <f>'数据-取费表'!B33</f>
        <v>0.05</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2399</v>
      </c>
      <c r="D36" s="210"/>
      <c r="E36" s="210"/>
      <c r="F36" s="249">
        <f>'数据-取费表'!B34</f>
        <v>0.08</v>
      </c>
      <c r="G36" s="250" t="s">
        <v>1530</v>
      </c>
    </row>
    <row r="37" spans="1:7" s="248" customFormat="1" ht="13.5" customHeight="1">
      <c r="A37" s="731" t="s">
        <v>353</v>
      </c>
      <c r="B37" s="205" t="s">
        <v>1531</v>
      </c>
      <c r="C37" s="239">
        <f ca="1">ROUND(E37*D37*F34/10000,0)</f>
        <v>1340</v>
      </c>
      <c r="D37" s="207">
        <f ca="1">D19</f>
        <v>106355.86000000013</v>
      </c>
      <c r="E37" s="239">
        <f>'数据-取费表'!B35</f>
        <v>200</v>
      </c>
      <c r="F37" s="249"/>
      <c r="G37" s="251" t="s">
        <v>1532</v>
      </c>
    </row>
    <row r="38" spans="1:7" ht="13.5" customHeight="1">
      <c r="A38" s="731" t="s">
        <v>354</v>
      </c>
      <c r="B38" s="205" t="s">
        <v>1533</v>
      </c>
      <c r="C38" s="210">
        <f ca="1">ROUND(C34*F38,0)</f>
        <v>753</v>
      </c>
      <c r="D38" s="210"/>
      <c r="E38" s="210"/>
      <c r="F38" s="249">
        <f>'数据-取费表'!B36</f>
        <v>0.02</v>
      </c>
      <c r="G38" s="209" t="s">
        <v>1528</v>
      </c>
    </row>
    <row r="39" spans="1:7" s="204" customFormat="1" ht="13.5" customHeight="1">
      <c r="A39" s="245" t="s">
        <v>1534</v>
      </c>
      <c r="B39" s="200" t="s">
        <v>1535</v>
      </c>
      <c r="C39" s="222">
        <f ca="1">ROUND(C33*F20,0)</f>
        <v>880</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1096</v>
      </c>
      <c r="D41" s="225">
        <f ca="1">C44</f>
        <v>5.0000000000000001E-4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1075</v>
      </c>
      <c r="D42" s="228"/>
      <c r="E42" s="228"/>
      <c r="F42" s="229"/>
      <c r="G42" s="3457" t="s">
        <v>1544</v>
      </c>
    </row>
    <row r="43" spans="1:7" ht="13.5" customHeight="1">
      <c r="A43" s="731" t="s">
        <v>347</v>
      </c>
      <c r="B43" s="205" t="s">
        <v>1545</v>
      </c>
      <c r="C43" s="228">
        <f ca="1">ROUND(IF('数据-取费表'!B22&lt;=1,C39*F22*'数据-取费表'!B21/2,C39*(POWER((1+F22),'数据-取费表'!B21/2)-1)),0)</f>
        <v>21</v>
      </c>
      <c r="D43" s="228"/>
      <c r="E43" s="228"/>
      <c r="F43" s="229"/>
      <c r="G43" s="3458"/>
    </row>
    <row r="44" spans="1:7" ht="13.5" customHeight="1">
      <c r="A44" s="731" t="s">
        <v>348</v>
      </c>
      <c r="B44" s="205" t="s">
        <v>1546</v>
      </c>
      <c r="C44" s="228">
        <f ca="1">ROUND(IF('数据-取费表'!B22&lt;=1,C40*F22*'数据-取费表'!B21/2,C40*(POWER((1+F22),'数据-取费表'!B21/2)-1)),4)</f>
        <v>5.0000000000000001E-4</v>
      </c>
      <c r="D44" s="228"/>
      <c r="E44" s="228"/>
      <c r="F44" s="229"/>
      <c r="G44" s="3459"/>
    </row>
    <row r="45" spans="1:7" s="204" customFormat="1" ht="13.5" customHeight="1">
      <c r="A45" s="245" t="s">
        <v>1547</v>
      </c>
      <c r="B45" s="234" t="s">
        <v>1513</v>
      </c>
      <c r="C45" s="235">
        <f ca="1">C46</f>
        <v>7184</v>
      </c>
      <c r="D45" s="225">
        <f ca="1">C47</f>
        <v>3.2000000000000002E-3</v>
      </c>
      <c r="E45" s="226" t="s">
        <v>1539</v>
      </c>
      <c r="F45" s="236">
        <f ca="1">F27</f>
        <v>0.16</v>
      </c>
      <c r="G45" s="237" t="s">
        <v>1548</v>
      </c>
    </row>
    <row r="46" spans="1:7" s="204" customFormat="1" ht="13.5" customHeight="1">
      <c r="A46" s="731" t="s">
        <v>346</v>
      </c>
      <c r="B46" s="238" t="s">
        <v>1549</v>
      </c>
      <c r="C46" s="239">
        <f ca="1">ROUND((C33+C39)*F27,0)</f>
        <v>7184</v>
      </c>
      <c r="D46" s="253"/>
      <c r="E46" s="226"/>
      <c r="F46" s="236"/>
      <c r="G46" s="237"/>
    </row>
    <row r="47" spans="1:7" s="204" customFormat="1" ht="13.5" customHeight="1">
      <c r="A47" s="731" t="s">
        <v>347</v>
      </c>
      <c r="B47" s="238" t="s">
        <v>1550</v>
      </c>
      <c r="C47" s="228">
        <f ca="1">ROUND(C40*F27,4)</f>
        <v>3.2000000000000002E-3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57618</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57618</v>
      </c>
      <c r="D51" s="222"/>
      <c r="E51" s="222"/>
      <c r="F51" s="254"/>
      <c r="G51" s="224" t="s">
        <v>1560</v>
      </c>
    </row>
    <row r="52" spans="1:7" s="198" customFormat="1" ht="16.5" thickBot="1">
      <c r="A52" s="255" t="s">
        <v>1561</v>
      </c>
      <c r="B52" s="256"/>
      <c r="C52" s="257">
        <f ca="1">C31+C51</f>
        <v>285365</v>
      </c>
      <c r="D52" s="256"/>
      <c r="E52" s="256"/>
      <c r="F52" s="256"/>
      <c r="G52" s="258"/>
    </row>
    <row r="55" spans="1:7" ht="15">
      <c r="B55" s="260" t="s">
        <v>1562</v>
      </c>
      <c r="C55" s="261"/>
    </row>
    <row r="56" spans="1:7">
      <c r="B56" s="263" t="s">
        <v>802</v>
      </c>
      <c r="C56" s="265">
        <f ca="1">1-C57</f>
        <v>0.79800000000000004</v>
      </c>
    </row>
    <row r="57" spans="1:7">
      <c r="B57" s="263" t="s">
        <v>803</v>
      </c>
      <c r="C57" s="264">
        <f ca="1">ROUND(C51/C52,3)</f>
        <v>0.20200000000000001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371"/>
      <c r="C1" s="1713" t="s">
        <v>1563</v>
      </c>
      <c r="D1" s="188"/>
      <c r="E1" s="188"/>
      <c r="F1" s="188"/>
      <c r="G1" s="1059">
        <f>MATCH(B1,'数据-取费表'!A6:A16,0)+5</f>
        <v>9</v>
      </c>
      <c r="H1" s="995" t="str">
        <f>IF(ISERROR(FIND("住宅",B1)),"非住宅","住宅")</f>
        <v>非住宅</v>
      </c>
    </row>
    <row r="2" spans="1:8" s="190" customFormat="1" ht="18" customHeight="1">
      <c r="A2" s="191" t="s">
        <v>1462</v>
      </c>
      <c r="B2" s="3115">
        <f ca="1">ROUND(IF(D2="——",C52/10000,C52/10000-E2),4)</f>
        <v>97999.2166</v>
      </c>
      <c r="C2" s="189" t="s">
        <v>1463</v>
      </c>
      <c r="D2" s="1707" t="s">
        <v>43</v>
      </c>
      <c r="E2" s="1086" t="e">
        <f ca="1">SUMIF(INDIRECT("'"&amp;G2&amp;"'"&amp;"!A:A"),"承租人权益价值",INDIRECT("'"&amp;G2&amp;"'"&amp;"!c:c"))</f>
        <v>#REF!</v>
      </c>
      <c r="F2" s="1708" t="s">
        <v>1463</v>
      </c>
      <c r="G2" s="1709"/>
    </row>
    <row r="3" spans="1:8" s="190" customFormat="1" ht="18" customHeight="1" thickBot="1">
      <c r="A3" s="193" t="s">
        <v>1464</v>
      </c>
      <c r="B3" s="194">
        <f ca="1">ROUND(B2*10000/(IF(B1="",'数据-汇总表'!E3,INDIRECT("'数据-取费表'!k"&amp;$G$1))),0)</f>
        <v>9214</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18098212</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18098212</v>
      </c>
      <c r="D8" s="212"/>
      <c r="E8" s="210"/>
      <c r="F8" s="211"/>
      <c r="G8" s="1710"/>
    </row>
    <row r="9" spans="1:8" s="204" customFormat="1" ht="13.5" customHeight="1">
      <c r="A9" s="730" t="s">
        <v>355</v>
      </c>
      <c r="B9" s="214" t="s">
        <v>1478</v>
      </c>
      <c r="C9" s="215">
        <f ca="1">ROUND(D9*E9,0)</f>
        <v>12691840</v>
      </c>
      <c r="D9" s="792">
        <f ca="1">IF(B1="",'数据-汇总表'!E5,IF(INDIRECT("'数据-取费表'!c"&amp;$G$1)="住宅",INDIRECT("'数据-取费表'!k"&amp;$G$1),0))</f>
        <v>79323.999999999854</v>
      </c>
      <c r="E9" s="215">
        <f>'数据-取费表'!B27</f>
        <v>160</v>
      </c>
      <c r="F9" s="211"/>
      <c r="G9" s="216"/>
    </row>
    <row r="10" spans="1:8" s="204" customFormat="1" ht="13.5" customHeight="1">
      <c r="A10" s="730" t="s">
        <v>356</v>
      </c>
      <c r="B10" s="214" t="s">
        <v>1480</v>
      </c>
      <c r="C10" s="215">
        <f ca="1">ROUND(D10*E10,0)</f>
        <v>5406372</v>
      </c>
      <c r="D10" s="792">
        <f ca="1">IF(B1="",'数据-汇总表'!E6,IF(INDIRECT("'数据-取费表'!c"&amp;$G$1)="住宅",INDIRECT("'数据-取费表'!s"&amp;$G$1),INDIRECT("'数据-取费表'!k"&amp;$G$1)+INDIRECT("'数据-取费表'!s"&amp;$G$1)))</f>
        <v>27031.860000000277</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21271172</v>
      </c>
      <c r="D19" s="202">
        <f ca="1">D9+D10</f>
        <v>106355.86000000013</v>
      </c>
      <c r="E19" s="201">
        <f>'数据-取费表'!B31</f>
        <v>200</v>
      </c>
      <c r="F19" s="221"/>
      <c r="G19" s="1710"/>
    </row>
    <row r="20" spans="1:7" s="204" customFormat="1" ht="13.5" customHeight="1">
      <c r="A20" s="245" t="s">
        <v>1574</v>
      </c>
      <c r="B20" s="200" t="s">
        <v>1575</v>
      </c>
      <c r="C20" s="222">
        <f ca="1">ROUND((C5+C19)*F20,0)</f>
        <v>787388</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3153060</v>
      </c>
      <c r="D22" s="225">
        <f ca="1">C26</f>
        <v>8.0000000000000004E-4</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1435390</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1687041</v>
      </c>
      <c r="D24" s="228"/>
      <c r="E24" s="228"/>
      <c r="F24" s="229"/>
      <c r="G24" s="230" t="s">
        <v>1586</v>
      </c>
    </row>
    <row r="25" spans="1:7" s="204" customFormat="1" ht="24">
      <c r="A25" s="731" t="s">
        <v>1476</v>
      </c>
      <c r="B25" s="205" t="s">
        <v>1587</v>
      </c>
      <c r="C25" s="228">
        <f ca="1">ROUND(IF('数据-取费表'!B22&lt;=1,C20*F22*'数据-取费表'!B22/2,C20*(POWER((1+F22),'数据-取费表'!B22/2)-1)),0)</f>
        <v>30629</v>
      </c>
      <c r="D25" s="228"/>
      <c r="E25" s="231"/>
      <c r="F25" s="229"/>
      <c r="G25" s="232" t="s">
        <v>1588</v>
      </c>
    </row>
    <row r="26" spans="1:7" s="204" customFormat="1">
      <c r="A26" s="731" t="s">
        <v>350</v>
      </c>
      <c r="B26" s="205" t="s">
        <v>1511</v>
      </c>
      <c r="C26" s="228">
        <f ca="1">ROUND(IF('数据-取费表'!B22&lt;=1,F21*F22*'数据-取费表'!B22/2,F21*(POWER((1+F22),'数据-取费表'!B22/2)-1)),4)</f>
        <v>8.0000000000000004E-4</v>
      </c>
      <c r="D26" s="228"/>
      <c r="E26" s="231"/>
      <c r="F26" s="229"/>
      <c r="G26" s="233"/>
    </row>
    <row r="27" spans="1:7" s="204" customFormat="1" ht="24.75">
      <c r="A27" s="245" t="s">
        <v>1512</v>
      </c>
      <c r="B27" s="234" t="s">
        <v>1513</v>
      </c>
      <c r="C27" s="235">
        <f ca="1">C28</f>
        <v>6425084</v>
      </c>
      <c r="D27" s="225">
        <f ca="1">C29</f>
        <v>3.2000000000000002E-3</v>
      </c>
      <c r="E27" s="226" t="s">
        <v>1514</v>
      </c>
      <c r="F27" s="236">
        <f ca="1">IF(B1="",'数据-取费表'!Q16,INDIRECT("'数据-取费表'!q"&amp;$G$1))</f>
        <v>0.16</v>
      </c>
      <c r="G27" s="237" t="s">
        <v>1515</v>
      </c>
    </row>
    <row r="28" spans="1:7" s="204" customFormat="1" ht="13.5" customHeight="1">
      <c r="A28" s="731" t="s">
        <v>346</v>
      </c>
      <c r="B28" s="238" t="s">
        <v>1516</v>
      </c>
      <c r="C28" s="239">
        <f ca="1">ROUND((C5+C19+C20)*F27,0)</f>
        <v>6425084</v>
      </c>
      <c r="D28" s="225"/>
      <c r="E28" s="226"/>
      <c r="F28" s="236"/>
      <c r="G28" s="237"/>
    </row>
    <row r="29" spans="1:7" s="204" customFormat="1" ht="13.5" customHeight="1">
      <c r="A29" s="731" t="s">
        <v>347</v>
      </c>
      <c r="B29" s="238" t="s">
        <v>1517</v>
      </c>
      <c r="C29" s="228">
        <f ca="1">ROUND(C21*F27,4)</f>
        <v>3.2000000000000002E-3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53901502</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698765178</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597587370</v>
      </c>
      <c r="D34" s="207"/>
      <c r="E34" s="210"/>
      <c r="F34" s="247"/>
      <c r="G34" s="209"/>
    </row>
    <row r="35" spans="1:7" ht="13.5" customHeight="1">
      <c r="A35" s="731" t="s">
        <v>351</v>
      </c>
      <c r="B35" s="205" t="s">
        <v>1527</v>
      </c>
      <c r="C35" s="210">
        <f ca="1">ROUND(C34*F35,0)</f>
        <v>29879369</v>
      </c>
      <c r="D35" s="210"/>
      <c r="E35" s="210"/>
      <c r="F35" s="249">
        <f>'数据-取费表'!B33</f>
        <v>0.05</v>
      </c>
      <c r="G35" s="209" t="s">
        <v>1528</v>
      </c>
    </row>
    <row r="36" spans="1:7" ht="24">
      <c r="A36" s="731" t="s">
        <v>352</v>
      </c>
      <c r="B36" s="205" t="s">
        <v>1529</v>
      </c>
      <c r="C36" s="210">
        <f ca="1">ROUND(IF(B1="",SUM('数据-取费表'!AP6:AP13)*F36,IF(INDIRECT("'数据-取费表'!c"&amp;$G$1)="住宅",INDIRECT("'数据-取费表'!k"&amp;$G$1)*INDIRECT("'数据-取费表'!l"&amp;$G$1)*F36,0)),0)</f>
        <v>38075520</v>
      </c>
      <c r="D36" s="210"/>
      <c r="E36" s="210"/>
      <c r="F36" s="249">
        <f>'数据-取费表'!B34</f>
        <v>0.08</v>
      </c>
      <c r="G36" s="250" t="s">
        <v>1530</v>
      </c>
    </row>
    <row r="37" spans="1:7" s="248" customFormat="1" ht="13.5" customHeight="1">
      <c r="A37" s="731" t="s">
        <v>353</v>
      </c>
      <c r="B37" s="205" t="s">
        <v>1531</v>
      </c>
      <c r="C37" s="239">
        <f ca="1">ROUND(E37*D37,0)</f>
        <v>21271172</v>
      </c>
      <c r="D37" s="207">
        <f ca="1">D19</f>
        <v>106355.86000000013</v>
      </c>
      <c r="E37" s="239">
        <f>'数据-取费表'!B35</f>
        <v>200</v>
      </c>
      <c r="F37" s="249"/>
      <c r="G37" s="251"/>
    </row>
    <row r="38" spans="1:7" ht="13.5" customHeight="1">
      <c r="A38" s="731" t="s">
        <v>354</v>
      </c>
      <c r="B38" s="205" t="s">
        <v>1533</v>
      </c>
      <c r="C38" s="210">
        <f ca="1">ROUND(C34*F38,0)</f>
        <v>11951747</v>
      </c>
      <c r="D38" s="210"/>
      <c r="E38" s="210"/>
      <c r="F38" s="249">
        <f>'数据-取费表'!B36</f>
        <v>0.02</v>
      </c>
      <c r="G38" s="209" t="s">
        <v>1528</v>
      </c>
    </row>
    <row r="39" spans="1:7" s="204" customFormat="1" ht="13.5" customHeight="1">
      <c r="A39" s="245" t="s">
        <v>1534</v>
      </c>
      <c r="B39" s="200" t="s">
        <v>1535</v>
      </c>
      <c r="C39" s="222">
        <f ca="1">ROUND(C33*F20,0)</f>
        <v>13975304</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27724897</v>
      </c>
      <c r="D41" s="225">
        <f ca="1">C44</f>
        <v>8.0000000000000004E-4</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27181272</v>
      </c>
      <c r="D42" s="228"/>
      <c r="E42" s="228"/>
      <c r="F42" s="229"/>
      <c r="G42" s="3457" t="s">
        <v>1591</v>
      </c>
    </row>
    <row r="43" spans="1:7" ht="13.5" customHeight="1">
      <c r="A43" s="731" t="s">
        <v>347</v>
      </c>
      <c r="B43" s="205" t="s">
        <v>1545</v>
      </c>
      <c r="C43" s="228">
        <f ca="1">ROUND(IF('数据-取费表'!B22&lt;=1,C39*F22*'数据-取费表'!B20/2,C39*(POWER((1+F22),'数据-取费表'!B20/2)-1)),0)</f>
        <v>543625</v>
      </c>
      <c r="D43" s="228"/>
      <c r="E43" s="228"/>
      <c r="F43" s="229"/>
      <c r="G43" s="3458"/>
    </row>
    <row r="44" spans="1:7" ht="13.5" customHeight="1">
      <c r="A44" s="731" t="s">
        <v>348</v>
      </c>
      <c r="B44" s="205" t="s">
        <v>1546</v>
      </c>
      <c r="C44" s="228">
        <f ca="1">ROUND(IF('数据-取费表'!B22&lt;=1,C40*F22*'数据-取费表'!B20/2,C40*(POWER((1+F22),'数据-取费表'!B20/2)-1)),4)</f>
        <v>8.0000000000000004E-4</v>
      </c>
      <c r="D44" s="228"/>
      <c r="E44" s="228"/>
      <c r="F44" s="229"/>
      <c r="G44" s="3459"/>
    </row>
    <row r="45" spans="1:7" s="204" customFormat="1" ht="13.5" customHeight="1">
      <c r="A45" s="245" t="s">
        <v>1547</v>
      </c>
      <c r="B45" s="234" t="s">
        <v>1513</v>
      </c>
      <c r="C45" s="235">
        <f ca="1">C46</f>
        <v>114038477</v>
      </c>
      <c r="D45" s="225">
        <f ca="1">C47</f>
        <v>3.2000000000000002E-3</v>
      </c>
      <c r="E45" s="226" t="s">
        <v>1539</v>
      </c>
      <c r="F45" s="236">
        <f ca="1">F27</f>
        <v>0.16</v>
      </c>
      <c r="G45" s="237" t="s">
        <v>1548</v>
      </c>
    </row>
    <row r="46" spans="1:7" s="204" customFormat="1" ht="13.5" customHeight="1">
      <c r="A46" s="731" t="s">
        <v>346</v>
      </c>
      <c r="B46" s="238" t="s">
        <v>1549</v>
      </c>
      <c r="C46" s="239">
        <f ca="1">ROUND((C33+C39)*F27,0)</f>
        <v>114038477</v>
      </c>
      <c r="D46" s="253"/>
      <c r="E46" s="226"/>
      <c r="F46" s="236"/>
      <c r="G46" s="237"/>
    </row>
    <row r="47" spans="1:7" s="204" customFormat="1" ht="13.5" customHeight="1">
      <c r="A47" s="731" t="s">
        <v>347</v>
      </c>
      <c r="B47" s="238" t="s">
        <v>1550</v>
      </c>
      <c r="C47" s="228">
        <f ca="1">ROUND(C40*F27,4)</f>
        <v>3.2000000000000002E-3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926090664</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926090664</v>
      </c>
      <c r="D51" s="222"/>
      <c r="E51" s="222"/>
      <c r="F51" s="254"/>
      <c r="G51" s="224" t="s">
        <v>1560</v>
      </c>
    </row>
    <row r="52" spans="1:7" s="198" customFormat="1" ht="16.5" thickBot="1">
      <c r="A52" s="255" t="s">
        <v>1561</v>
      </c>
      <c r="B52" s="256"/>
      <c r="C52" s="257">
        <f ca="1">C31+C51</f>
        <v>979992166</v>
      </c>
      <c r="D52" s="256"/>
      <c r="E52" s="256"/>
      <c r="F52" s="256"/>
      <c r="G52" s="258"/>
    </row>
    <row r="55" spans="1:7" ht="15">
      <c r="B55" s="260" t="s">
        <v>1562</v>
      </c>
      <c r="C55" s="261"/>
    </row>
    <row r="56" spans="1:7">
      <c r="B56" s="263" t="s">
        <v>802</v>
      </c>
      <c r="C56" s="265">
        <f ca="1">1-C57</f>
        <v>5.5000000000000049E-2</v>
      </c>
    </row>
    <row r="57" spans="1:7">
      <c r="B57" s="263" t="s">
        <v>803</v>
      </c>
      <c r="C57" s="264">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85" zoomScaleNormal="70" zoomScaleSheetLayoutView="85" workbookViewId="0">
      <selection activeCell="D7" sqref="D7:E7"/>
    </sheetView>
  </sheetViews>
  <sheetFormatPr defaultColWidth="6.625" defaultRowHeight="12.75"/>
  <cols>
    <col min="1" max="1" width="9.75" style="684" customWidth="1"/>
    <col min="2" max="2" width="25.75" style="732" customWidth="1"/>
    <col min="3" max="3" width="10.375" style="771" customWidth="1"/>
    <col min="4" max="4" width="9.875" style="732" customWidth="1"/>
    <col min="5" max="5" width="9.5" style="684"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6" t="s">
        <v>1594</v>
      </c>
      <c r="B1" s="119"/>
      <c r="C1" s="1107"/>
      <c r="D1" s="1106"/>
      <c r="E1" s="2560"/>
      <c r="F1" s="2560"/>
      <c r="G1" s="2441"/>
      <c r="H1" s="2560"/>
      <c r="I1" s="2560"/>
      <c r="J1" s="2560"/>
      <c r="K1" s="2561">
        <f>MATCH(C1,'数据-取费表'!A6:A16,0)+5</f>
        <v>9</v>
      </c>
    </row>
    <row r="2" spans="1:33" ht="18" customHeight="1">
      <c r="A2" s="191" t="s">
        <v>1462</v>
      </c>
      <c r="B2" s="194">
        <f ca="1">C32</f>
        <v>234386</v>
      </c>
      <c r="C2" s="266" t="s">
        <v>1595</v>
      </c>
      <c r="D2" s="266"/>
      <c r="E2" s="2560"/>
      <c r="F2" s="2560"/>
      <c r="G2" s="2560"/>
      <c r="H2" s="2560"/>
      <c r="I2" s="2560"/>
      <c r="J2" s="2560"/>
      <c r="K2" s="2560"/>
    </row>
    <row r="3" spans="1:33" ht="18" customHeight="1" thickBot="1">
      <c r="A3" s="193" t="s">
        <v>1464</v>
      </c>
      <c r="B3" s="194">
        <f ca="1">ROUND(B2*10000/IF(C1="",'数据-汇总表'!E3,INDIRECT("'数据-取费表'!K"&amp;$K$1)),0)</f>
        <v>22038</v>
      </c>
      <c r="C3" s="266" t="s">
        <v>1596</v>
      </c>
      <c r="D3" s="266"/>
      <c r="E3" s="2560"/>
      <c r="F3" s="2560"/>
      <c r="G3" s="2560"/>
      <c r="H3" s="2560"/>
      <c r="I3" s="2560"/>
      <c r="J3" s="2560"/>
      <c r="K3" s="2560"/>
    </row>
    <row r="4" spans="1:33" s="736" customFormat="1" ht="16.5" customHeight="1">
      <c r="A4" s="733" t="s">
        <v>1597</v>
      </c>
      <c r="B4" s="734"/>
      <c r="C4" s="772">
        <f>SUM(C8:K8)</f>
        <v>314918</v>
      </c>
      <c r="D4" s="734"/>
      <c r="E4" s="734"/>
      <c r="F4" s="734"/>
      <c r="G4" s="734"/>
      <c r="H4" s="734"/>
      <c r="I4" s="734"/>
      <c r="J4" s="734"/>
      <c r="K4" s="735"/>
    </row>
    <row r="5" spans="1:33" s="740" customFormat="1" ht="15">
      <c r="A5" s="737" t="s">
        <v>1598</v>
      </c>
      <c r="B5" s="738" t="s">
        <v>1599</v>
      </c>
      <c r="C5" s="1714" t="s">
        <v>4016</v>
      </c>
      <c r="D5" s="1714" t="s">
        <v>4295</v>
      </c>
      <c r="E5" s="1714" t="s">
        <v>4296</v>
      </c>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f>'比较法-住宅'!B3</f>
        <v>37920</v>
      </c>
      <c r="D6" s="742">
        <f>'比较法-仓储'!B3</f>
        <v>13570</v>
      </c>
      <c r="E6" s="742">
        <f>'比较法-车位'!B3</f>
        <v>4981</v>
      </c>
      <c r="F6" s="742"/>
      <c r="G6" s="742"/>
      <c r="H6" s="742"/>
      <c r="I6" s="742"/>
      <c r="J6" s="742"/>
      <c r="K6" s="743"/>
      <c r="L6" s="681"/>
      <c r="M6" s="681"/>
      <c r="N6" s="681"/>
      <c r="O6" s="681"/>
      <c r="P6" s="681"/>
      <c r="Q6" s="681"/>
      <c r="R6" s="681"/>
      <c r="S6" s="681"/>
      <c r="T6" s="681"/>
      <c r="U6" s="681"/>
      <c r="V6" s="681"/>
      <c r="W6" s="681"/>
      <c r="X6" s="681"/>
      <c r="Y6" s="681"/>
      <c r="Z6" s="681"/>
      <c r="AA6" s="681"/>
      <c r="AB6" s="681"/>
      <c r="AC6" s="681"/>
      <c r="AD6" s="681"/>
      <c r="AE6" s="681"/>
      <c r="AF6" s="681"/>
      <c r="AG6" s="681"/>
    </row>
    <row r="7" spans="1:33" s="120" customFormat="1" ht="13.5" customHeight="1">
      <c r="A7" s="741" t="s">
        <v>1601</v>
      </c>
      <c r="B7" s="121" t="s">
        <v>1602</v>
      </c>
      <c r="C7" s="267">
        <f>SUMIF('数据-汇总表'!$C19:$C33,假设开发法!C5,'数据-汇总表'!$E19:$E33)</f>
        <v>79323.999999999854</v>
      </c>
      <c r="D7" s="267">
        <f>SUMIF('数据-汇总表'!$C19:$C33,假设开发法!D5,'数据-汇总表'!$E19:$E33)</f>
        <v>851.55000000000007</v>
      </c>
      <c r="E7" s="267">
        <f>SUMIF('数据-汇总表'!$C19:$C33,假设开发法!E5,'数据-汇总表'!$E19:$E33)</f>
        <v>26180.310000000281</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1"/>
      <c r="M7" s="681"/>
      <c r="N7" s="681"/>
      <c r="O7" s="681"/>
      <c r="P7" s="681"/>
      <c r="Q7" s="681"/>
      <c r="R7" s="681"/>
      <c r="S7" s="681"/>
      <c r="T7" s="681"/>
      <c r="U7" s="681"/>
      <c r="V7" s="681"/>
      <c r="W7" s="681"/>
      <c r="X7" s="681"/>
      <c r="Y7" s="681"/>
      <c r="Z7" s="681"/>
      <c r="AA7" s="681"/>
      <c r="AB7" s="681"/>
      <c r="AC7" s="681"/>
      <c r="AD7" s="681"/>
      <c r="AE7" s="681"/>
      <c r="AF7" s="681"/>
      <c r="AG7" s="681"/>
    </row>
    <row r="8" spans="1:33" s="120" customFormat="1" ht="13.5" customHeight="1" thickBot="1">
      <c r="A8" s="1715" t="s">
        <v>1603</v>
      </c>
      <c r="B8" s="154" t="s">
        <v>1604</v>
      </c>
      <c r="C8" s="773">
        <f>'比较法-住宅'!B2</f>
        <v>300797</v>
      </c>
      <c r="D8" s="773">
        <f>'比较法-仓储'!B2</f>
        <v>1156</v>
      </c>
      <c r="E8" s="773">
        <f>典型户型修正!T23</f>
        <v>12965</v>
      </c>
      <c r="F8" s="774"/>
      <c r="G8" s="774"/>
      <c r="H8" s="774"/>
      <c r="I8" s="774"/>
      <c r="J8" s="774"/>
      <c r="K8" s="775"/>
      <c r="L8" s="681"/>
      <c r="M8" s="681"/>
      <c r="N8" s="681"/>
      <c r="O8" s="681"/>
      <c r="P8" s="681"/>
      <c r="Q8" s="681"/>
      <c r="R8" s="681"/>
      <c r="S8" s="681"/>
      <c r="T8" s="681"/>
      <c r="U8" s="681"/>
      <c r="V8" s="681"/>
      <c r="W8" s="681"/>
      <c r="X8" s="681"/>
      <c r="Y8" s="681"/>
      <c r="Z8" s="681"/>
      <c r="AA8" s="681"/>
      <c r="AB8" s="681"/>
      <c r="AC8" s="681"/>
      <c r="AD8" s="681"/>
      <c r="AE8" s="681"/>
      <c r="AF8" s="681"/>
      <c r="AG8" s="681"/>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22111</v>
      </c>
      <c r="D11" s="751"/>
      <c r="E11" s="136"/>
      <c r="F11" s="761">
        <f ca="1">1-IF('数据-取费表'!B24=0,1,IF(C1="",'数据-取费表'!N16,INDIRECT("'数据-取费表'!n"&amp;$K$1)))</f>
        <v>0.37</v>
      </c>
      <c r="G11" s="5"/>
      <c r="H11" s="746"/>
      <c r="I11" s="746"/>
      <c r="J11" s="746"/>
      <c r="K11" s="747"/>
    </row>
    <row r="12" spans="1:33" s="752" customFormat="1" ht="13.5" customHeight="1">
      <c r="A12" s="749" t="s">
        <v>636</v>
      </c>
      <c r="B12" s="750" t="s">
        <v>1613</v>
      </c>
      <c r="C12" s="21">
        <f ca="1">ROUND(C11*F12,0)</f>
        <v>1106</v>
      </c>
      <c r="D12" s="751"/>
      <c r="E12" s="136"/>
      <c r="F12" s="761">
        <f>'数据-取费表'!B33</f>
        <v>0.05</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1409</v>
      </c>
      <c r="D13" s="793"/>
      <c r="E13" s="136"/>
      <c r="F13" s="761">
        <f>'数据-取费表'!B34</f>
        <v>0.08</v>
      </c>
      <c r="G13" s="5" t="s">
        <v>1616</v>
      </c>
      <c r="H13" s="746"/>
      <c r="I13" s="746"/>
      <c r="J13" s="746"/>
      <c r="K13" s="747"/>
    </row>
    <row r="14" spans="1:33" s="754" customFormat="1" ht="13.5" customHeight="1">
      <c r="A14" s="749" t="s">
        <v>638</v>
      </c>
      <c r="B14" s="750" t="s">
        <v>1617</v>
      </c>
      <c r="C14" s="21">
        <f ca="1">ROUND(D14*E14*F11/10000,0)</f>
        <v>787</v>
      </c>
      <c r="D14" s="793">
        <f ca="1">IF(C1="",'数据-汇总表'!E3,INDIRECT("'数据-取费表'!K"&amp;$K$1)+INDIRECT("'数据-取费表'!S"&amp;$K$1))</f>
        <v>106355.86000000013</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442</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25855</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106355.86000000013</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1810</v>
      </c>
      <c r="D18" s="793"/>
      <c r="E18" s="21"/>
      <c r="F18" s="753"/>
      <c r="G18" s="1716"/>
      <c r="H18" s="1103"/>
      <c r="I18" s="1717" t="s">
        <v>1625</v>
      </c>
      <c r="J18" s="756"/>
      <c r="K18" s="757"/>
    </row>
    <row r="19" spans="1:33" s="752" customFormat="1" ht="13.5" customHeight="1">
      <c r="A19" s="749" t="s">
        <v>360</v>
      </c>
      <c r="B19" s="750" t="s">
        <v>1626</v>
      </c>
      <c r="C19" s="21">
        <f ca="1">ROUND(D19*E19/10000,0)</f>
        <v>1269</v>
      </c>
      <c r="D19" s="793">
        <f ca="1">IF(C1="",'数据-汇总表'!E5,IF(INDIRECT("'数据-取费表'!c"&amp;$K$1)="住宅",INDIRECT("'数据-取费表'!k"&amp;$K$1),0))</f>
        <v>79323.999999999854</v>
      </c>
      <c r="E19" s="21">
        <f>'数据-取费表'!B27</f>
        <v>160</v>
      </c>
      <c r="F19" s="753"/>
      <c r="G19" s="12"/>
      <c r="H19" s="1105"/>
      <c r="I19" s="758"/>
      <c r="J19" s="758"/>
      <c r="K19" s="759"/>
    </row>
    <row r="20" spans="1:33" s="752" customFormat="1" ht="13.5" customHeight="1">
      <c r="A20" s="749" t="s">
        <v>361</v>
      </c>
      <c r="B20" s="750" t="s">
        <v>1627</v>
      </c>
      <c r="C20" s="21">
        <f ca="1">ROUND(D20*E20/10000,0)</f>
        <v>541</v>
      </c>
      <c r="D20" s="793">
        <f ca="1">IF(C1="",'数据-汇总表'!E6,IF(INDIRECT("'数据-取费表'!c"&amp;$K$1)="住宅",INDIRECT("'数据-取费表'!s"&amp;$K$1),INDIRECT("'数据-取费表'!k"&amp;$K$1)+INDIRECT("'数据-取费表'!s"&amp;$K$1)))</f>
        <v>27031.860000000277</v>
      </c>
      <c r="E20" s="21">
        <f>'数据-取费表'!B28</f>
        <v>200</v>
      </c>
      <c r="F20" s="753"/>
      <c r="G20" s="12"/>
      <c r="H20" s="758"/>
      <c r="I20" s="758"/>
      <c r="J20" s="758"/>
      <c r="K20" s="759"/>
    </row>
    <row r="21" spans="1:33" s="752" customFormat="1" ht="13.5" customHeight="1">
      <c r="A21" s="741" t="s">
        <v>357</v>
      </c>
      <c r="B21" s="762" t="s">
        <v>1628</v>
      </c>
      <c r="C21" s="763">
        <f ca="1">C16+C17+C18</f>
        <v>27665</v>
      </c>
      <c r="D21" s="764"/>
      <c r="E21" s="271"/>
      <c r="F21" s="271"/>
      <c r="G21" s="121" t="s">
        <v>1629</v>
      </c>
      <c r="H21" s="756"/>
      <c r="I21" s="756"/>
      <c r="J21" s="756"/>
      <c r="K21" s="757"/>
    </row>
    <row r="22" spans="1:33" s="752" customFormat="1" ht="13.5" customHeight="1">
      <c r="A22" s="741" t="s">
        <v>1601</v>
      </c>
      <c r="B22" s="762" t="s">
        <v>1630</v>
      </c>
      <c r="C22" s="763">
        <f ca="1">ROUND(C21*F22,0)</f>
        <v>553</v>
      </c>
      <c r="D22" s="271"/>
      <c r="E22" s="271"/>
      <c r="F22" s="765">
        <f>'数据-取费表'!B37</f>
        <v>0.02</v>
      </c>
      <c r="G22" s="5" t="s">
        <v>1631</v>
      </c>
      <c r="H22" s="746"/>
      <c r="I22" s="746"/>
      <c r="J22" s="746"/>
      <c r="K22" s="747"/>
    </row>
    <row r="23" spans="1:33" s="752" customFormat="1" ht="13.5" customHeight="1">
      <c r="A23" s="741" t="s">
        <v>1603</v>
      </c>
      <c r="B23" s="762" t="s">
        <v>1632</v>
      </c>
      <c r="C23" s="763">
        <f ca="1">ROUND(C4*F23*F11,0)</f>
        <v>2330</v>
      </c>
      <c r="D23" s="271"/>
      <c r="E23" s="271"/>
      <c r="F23" s="765">
        <f>'数据-取费表'!B38</f>
        <v>0.02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4"/>
    </row>
    <row r="25" spans="1:33" s="752" customFormat="1" ht="13.5" customHeight="1">
      <c r="A25" s="741" t="s">
        <v>1637</v>
      </c>
      <c r="B25" s="764" t="s">
        <v>1638</v>
      </c>
      <c r="C25" s="1040">
        <f ca="1">C27</f>
        <v>432</v>
      </c>
      <c r="D25" s="270">
        <f ca="1">C26</f>
        <v>2.93E-2</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4"/>
    </row>
    <row r="26" spans="1:33" s="769" customFormat="1" ht="13.5" customHeight="1">
      <c r="A26" s="749" t="s">
        <v>358</v>
      </c>
      <c r="B26" s="768" t="s">
        <v>1639</v>
      </c>
      <c r="C26" s="1041">
        <f ca="1">ROUND(IF('数据-取费表'!B22&lt;=1,(1+C24)*F25*'数据-取费表'!B24,(1+C24)*(POWER((1+F25),'数据-取费表'!B24)-1)),4)</f>
        <v>2.93E-2</v>
      </c>
      <c r="D26" s="274"/>
      <c r="E26" s="275"/>
      <c r="F26" s="276"/>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432</v>
      </c>
      <c r="D27" s="274"/>
      <c r="E27" s="275"/>
      <c r="F27" s="276"/>
      <c r="G27" s="1718" t="str">
        <f>IF('数据-取费表'!B22&lt;=1,"（1）-（3）项×年利率×建设期÷2","（1）-（3）项×((1+年利率)^(建设期÷2)-1)")</f>
        <v>（1）-（3）项×((1+年利率)^(建设期÷2)-1)</v>
      </c>
      <c r="H27" s="756"/>
      <c r="I27" s="756"/>
      <c r="J27" s="756"/>
      <c r="K27" s="757"/>
    </row>
    <row r="28" spans="1:33" s="279" customFormat="1" ht="13.5" customHeight="1">
      <c r="A28" s="741" t="s">
        <v>1641</v>
      </c>
      <c r="B28" s="1719" t="s">
        <v>1642</v>
      </c>
      <c r="C28" s="277">
        <f ca="1">C30</f>
        <v>4888</v>
      </c>
      <c r="D28" s="270">
        <f ca="1">C29</f>
        <v>6.0600000000000001E-2</v>
      </c>
      <c r="E28" s="272" t="s">
        <v>12</v>
      </c>
      <c r="F28" s="278">
        <f ca="1">IF(C1="",'数据-取费表'!Q16,INDIRECT("'数据-取费表'!q"&amp;$K$1))</f>
        <v>0.16</v>
      </c>
      <c r="G28" s="766"/>
      <c r="H28" s="767"/>
      <c r="I28" s="767"/>
      <c r="J28" s="767"/>
      <c r="K28" s="54"/>
    </row>
    <row r="29" spans="1:33" s="281" customFormat="1" ht="13.5" customHeight="1">
      <c r="A29" s="749" t="s">
        <v>358</v>
      </c>
      <c r="B29" s="770" t="s">
        <v>1643</v>
      </c>
      <c r="C29" s="274">
        <f ca="1">ROUND((1+C24)*F28*'数据-取费表'!B24/'数据-取费表'!B20,4)</f>
        <v>6.0600000000000001E-2</v>
      </c>
      <c r="D29" s="274"/>
      <c r="E29" s="275"/>
      <c r="F29" s="280"/>
      <c r="G29" s="121" t="s">
        <v>1644</v>
      </c>
      <c r="H29" s="756"/>
      <c r="I29" s="756"/>
      <c r="J29" s="756"/>
      <c r="K29" s="757"/>
    </row>
    <row r="30" spans="1:33" s="281" customFormat="1" ht="13.5" customHeight="1">
      <c r="A30" s="749" t="s">
        <v>359</v>
      </c>
      <c r="B30" s="770" t="s">
        <v>1645</v>
      </c>
      <c r="C30" s="282">
        <f ca="1">ROUND((C21+C22+C23)*F28,0)</f>
        <v>4888</v>
      </c>
      <c r="D30" s="274"/>
      <c r="E30" s="275"/>
      <c r="F30" s="280"/>
      <c r="G30" s="121"/>
      <c r="H30" s="756"/>
      <c r="I30" s="756"/>
      <c r="J30" s="756"/>
      <c r="K30" s="757"/>
    </row>
    <row r="31" spans="1:33" s="752" customFormat="1" ht="13.5" customHeight="1" thickBot="1">
      <c r="A31" s="1720" t="s">
        <v>1646</v>
      </c>
      <c r="B31" s="780" t="s">
        <v>1647</v>
      </c>
      <c r="C31" s="781">
        <f>ROUND(C4*F31/(1+'数据-取费表'!C42),0)</f>
        <v>16796</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234386</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804</v>
      </c>
      <c r="B2" s="1291" t="e">
        <f ca="1">C40+J29+L46</f>
        <v>#DIV/0!</v>
      </c>
      <c r="C2" s="1286" t="s">
        <v>805</v>
      </c>
      <c r="D2" s="1286"/>
      <c r="E2" s="1292"/>
      <c r="F2" s="1293"/>
      <c r="G2" s="2471"/>
      <c r="H2" s="2461"/>
      <c r="I2" s="2461"/>
      <c r="J2" s="2461"/>
      <c r="K2" s="2462"/>
      <c r="L2" s="2461"/>
      <c r="M2" s="2461"/>
    </row>
    <row r="3" spans="1:37" ht="18" customHeight="1" thickBot="1">
      <c r="A3" s="1294" t="s">
        <v>806</v>
      </c>
      <c r="B3" s="1295">
        <f ca="1">IF(ISERROR(B2*10000/F43),0,ROUND(B2*10000/F43,0))</f>
        <v>0</v>
      </c>
      <c r="C3" s="1286" t="s">
        <v>807</v>
      </c>
      <c r="D3" s="1286"/>
      <c r="E3" s="1292"/>
      <c r="F3" s="1293"/>
      <c r="G3" s="2471"/>
      <c r="H3" s="646"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0</v>
      </c>
      <c r="D5" s="1270" t="s">
        <v>693</v>
      </c>
      <c r="E5" s="1005"/>
      <c r="F5" s="1006"/>
      <c r="G5" s="1289"/>
      <c r="H5" s="289">
        <v>1</v>
      </c>
      <c r="I5" s="290" t="s">
        <v>692</v>
      </c>
      <c r="J5" s="1004">
        <f ca="1">J6+J10+J12</f>
        <v>0</v>
      </c>
      <c r="K5" s="1270" t="s">
        <v>693</v>
      </c>
      <c r="L5" s="1005"/>
      <c r="M5" s="1006"/>
    </row>
    <row r="6" spans="1:37" ht="18" customHeight="1">
      <c r="A6" s="1003" t="s">
        <v>398</v>
      </c>
      <c r="B6" s="3462" t="s">
        <v>694</v>
      </c>
      <c r="C6" s="1008">
        <f ca="1">ROUND(F6*F8*F7*(1-F9)/10000,0)</f>
        <v>0</v>
      </c>
      <c r="D6" s="145" t="s">
        <v>2108</v>
      </c>
      <c r="E6" s="292" t="s">
        <v>696</v>
      </c>
      <c r="F6" s="293">
        <f ca="1">INDIRECT("'数据-取费表'!u"&amp;$G$1)</f>
        <v>0</v>
      </c>
      <c r="G6" s="1289"/>
      <c r="H6" s="1003" t="s">
        <v>398</v>
      </c>
      <c r="I6" s="3462" t="s">
        <v>694</v>
      </c>
      <c r="J6" s="291">
        <f ca="1">ROUND(M6*M8*M7*(1-M9)/10000,0)</f>
        <v>0</v>
      </c>
      <c r="K6" s="145" t="s">
        <v>2107</v>
      </c>
      <c r="L6" s="292" t="s">
        <v>696</v>
      </c>
      <c r="M6" s="293">
        <f ca="1">INDIRECT("'数据-取费表'!z"&amp;$G$1)</f>
        <v>0</v>
      </c>
    </row>
    <row r="7" spans="1:37" ht="18" customHeight="1">
      <c r="A7" s="1007"/>
      <c r="B7" s="3463"/>
      <c r="C7" s="1009"/>
      <c r="D7" s="297"/>
      <c r="E7" s="1010" t="s">
        <v>697</v>
      </c>
      <c r="F7" s="293">
        <f ca="1">IF(INDIRECT("'数据-取费表'!ah"&amp;$G$1)="",INDIRECT("'数据-取费表'!k"&amp;$G$1),INDIRECT("'数据-取费表'!ah"&amp;$G$1))</f>
        <v>0</v>
      </c>
      <c r="G7" s="1289"/>
      <c r="H7" s="294"/>
      <c r="I7" s="3463"/>
      <c r="J7" s="296"/>
      <c r="K7" s="297"/>
      <c r="L7" s="292" t="s">
        <v>697</v>
      </c>
      <c r="M7" s="293">
        <f ca="1">F7</f>
        <v>0</v>
      </c>
    </row>
    <row r="8" spans="1:37" ht="18" customHeight="1">
      <c r="A8" s="294"/>
      <c r="B8" s="3463"/>
      <c r="C8" s="296"/>
      <c r="D8" s="297"/>
      <c r="E8" s="292" t="s">
        <v>698</v>
      </c>
      <c r="F8" s="293">
        <f ca="1">INDIRECT("'数据-取费表'!ai"&amp;$G$1)</f>
        <v>0</v>
      </c>
      <c r="G8" s="1289"/>
      <c r="H8" s="294"/>
      <c r="I8" s="3463"/>
      <c r="J8" s="296"/>
      <c r="K8" s="297"/>
      <c r="L8" s="292" t="s">
        <v>698</v>
      </c>
      <c r="M8" s="293">
        <f ca="1">INDIRECT("'数据-取费表'!ai"&amp;$G$1)</f>
        <v>0</v>
      </c>
    </row>
    <row r="9" spans="1:37" ht="18" customHeight="1">
      <c r="A9" s="294"/>
      <c r="B9" s="3464"/>
      <c r="C9" s="296"/>
      <c r="D9" s="297"/>
      <c r="E9" s="292" t="s">
        <v>699</v>
      </c>
      <c r="F9" s="302">
        <f ca="1">INDIRECT("'数据-取费表'!w"&amp;$G$1)</f>
        <v>0</v>
      </c>
      <c r="G9" s="1289"/>
      <c r="H9" s="294"/>
      <c r="I9" s="3464"/>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48" t="s">
        <v>2115</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ROUND(F17*(F43+INDIRECT("'数据-取费表'!S"&amp;$G$1))/10000,0)</f>
        <v>0</v>
      </c>
      <c r="D17" s="292" t="s">
        <v>717</v>
      </c>
      <c r="E17" s="292" t="s">
        <v>718</v>
      </c>
      <c r="F17" s="23">
        <f>'数据-取费表'!B35</f>
        <v>200</v>
      </c>
      <c r="G17" s="1300"/>
      <c r="H17" s="925" t="s">
        <v>398</v>
      </c>
      <c r="I17" s="292" t="s">
        <v>719</v>
      </c>
      <c r="J17" s="2136">
        <f ca="1">ROUND(IF(AND(项目基本情况!B11="自然人",项目基本情况!B10="北京市"),J6*M17/(1+'数据-取费表'!C42),J18+J19+J20),2)</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IF(K19="按租金收入计税",ROUND(J6*M19/(1+'数据-取费表'!C42),2),ROUND(C29*M19*0.7,2))</f>
        <v>0</v>
      </c>
      <c r="K19" s="1275" t="s">
        <v>3333</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0.02</v>
      </c>
      <c r="G20" s="1300"/>
      <c r="H20" s="925"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3"/>
      <c r="I30" s="1302"/>
      <c r="J30" s="1303"/>
      <c r="K30" s="119"/>
      <c r="L30" s="2464"/>
      <c r="M30" s="2465"/>
    </row>
    <row r="31" spans="1:37" ht="18" customHeight="1">
      <c r="A31" s="925" t="s">
        <v>398</v>
      </c>
      <c r="B31" s="292" t="s">
        <v>719</v>
      </c>
      <c r="C31" s="2136">
        <f ca="1">ROUND(IF(AND(项目基本情况!B11="自然人",项目基本情况!B10="北京市"),C6*F31/(1+'数据-取费表'!C42),C32+C33+C34),2)</f>
        <v>0</v>
      </c>
      <c r="D31" s="1254" t="s">
        <v>720</v>
      </c>
      <c r="E31" s="1253" t="s">
        <v>770</v>
      </c>
      <c r="F31" s="2135" t="str">
        <f>IF(项目基本情况!B11="企业","——",IF(M47="住宅",IF(F6*F7*F8/12/(1+'数据-取费表'!F30)&gt;100000,4%,2.5%),IF(F6*F7*F8/12/(1+'数据-取费表'!F30)&gt;100000,12%,7%)))</f>
        <v>——</v>
      </c>
      <c r="G31" s="1289"/>
      <c r="H31" s="2562" t="s">
        <v>2303</v>
      </c>
      <c r="I31" s="1302"/>
      <c r="J31" s="1303"/>
      <c r="K31" s="119"/>
      <c r="L31" s="2464"/>
      <c r="M31" s="2465"/>
    </row>
    <row r="32" spans="1:37" ht="18" customHeight="1">
      <c r="A32" s="925" t="s">
        <v>397</v>
      </c>
      <c r="B32" s="292" t="s">
        <v>723</v>
      </c>
      <c r="C32" s="21">
        <f ca="1">IF(项目基本情况!B11="自然人","——",ROUND(C6*F32/(1+'数据-取费表'!C42),2))</f>
        <v>0</v>
      </c>
      <c r="D32" s="1253" t="s">
        <v>724</v>
      </c>
      <c r="E32" s="292" t="s">
        <v>712</v>
      </c>
      <c r="F32" s="320">
        <f>'数据-取费表'!B41</f>
        <v>5.6000000000000001E-2</v>
      </c>
      <c r="G32" s="1289"/>
      <c r="H32" s="2463"/>
      <c r="I32" s="1302"/>
      <c r="J32" s="1303"/>
      <c r="K32" s="119"/>
      <c r="L32" s="2464"/>
      <c r="M32" s="2465"/>
    </row>
    <row r="33" spans="1:18" ht="18" customHeight="1">
      <c r="A33" s="925" t="s">
        <v>399</v>
      </c>
      <c r="B33" s="292" t="s">
        <v>727</v>
      </c>
      <c r="C33" s="21">
        <f ca="1">IF(项目基本情况!B11="自然人","——",IF(D33="按租金收入计税",ROUND(C6*F33/(1+'数据-取费表'!C42),2),IF(D33="按房产原值计税",ROUND(C29*F33*0.7,2),INDIRECT("'数据-取费表'!Aj"&amp;$G$1))))</f>
        <v>0</v>
      </c>
      <c r="D33" s="1275" t="s">
        <v>3333</v>
      </c>
      <c r="E33" s="292" t="s">
        <v>712</v>
      </c>
      <c r="F33" s="312">
        <f>IF(D33="按票据","——",IF(D33="按租金收入计税",'数据-取费表'!B51,'数据-取费表'!B50))</f>
        <v>0.12</v>
      </c>
      <c r="G33" s="1289"/>
      <c r="H33" s="2466"/>
      <c r="I33" s="1302"/>
      <c r="J33" s="1303"/>
      <c r="K33" s="2467"/>
      <c r="L33" s="2466"/>
      <c r="M33" s="2466"/>
    </row>
    <row r="34" spans="1:18" ht="18" customHeight="1">
      <c r="A34" s="1003" t="s">
        <v>680</v>
      </c>
      <c r="B34" s="145" t="s">
        <v>730</v>
      </c>
      <c r="C34" s="22">
        <f ca="1">IF(项目基本情况!B11="自然人","——",ROUND(F34*F35/10000,2))</f>
        <v>0</v>
      </c>
      <c r="D34" s="314" t="s">
        <v>731</v>
      </c>
      <c r="E34" s="292" t="s">
        <v>732</v>
      </c>
      <c r="F34" s="315">
        <f>'数据-取费表'!B52</f>
        <v>1.5</v>
      </c>
      <c r="G34" s="1289"/>
      <c r="H34" s="2463"/>
      <c r="I34" s="1302"/>
      <c r="J34" s="1303"/>
      <c r="K34" s="2468"/>
      <c r="L34" s="2469"/>
      <c r="M34" s="2469"/>
    </row>
    <row r="35" spans="1:18" ht="18" customHeight="1">
      <c r="A35" s="1037"/>
      <c r="B35" s="1035"/>
      <c r="C35" s="26"/>
      <c r="D35" s="317"/>
      <c r="E35" s="292" t="s">
        <v>736</v>
      </c>
      <c r="F35" s="293">
        <f ca="1">INDIRECT("'数据-取费表'!r"&amp;$G$1)</f>
        <v>0</v>
      </c>
      <c r="G35" s="1289"/>
      <c r="H35" s="2463"/>
      <c r="I35" s="1302"/>
      <c r="J35" s="1303"/>
      <c r="K35" s="2467"/>
      <c r="L35" s="2466"/>
      <c r="M35" s="2466"/>
    </row>
    <row r="36" spans="1:18" ht="18" customHeight="1">
      <c r="A36" s="1036" t="s">
        <v>402</v>
      </c>
      <c r="B36" s="292" t="s">
        <v>738</v>
      </c>
      <c r="C36" s="21">
        <f ca="1">ROUND(C29*F36,2)</f>
        <v>0</v>
      </c>
      <c r="D36" s="1253" t="s">
        <v>771</v>
      </c>
      <c r="E36" s="292" t="s">
        <v>712</v>
      </c>
      <c r="F36" s="318">
        <f ca="1">INDIRECT("'数据-取费表'!Ak"&amp;$G$1)</f>
        <v>0</v>
      </c>
      <c r="G36" s="1289"/>
      <c r="H36" s="2466"/>
      <c r="I36" s="1302"/>
      <c r="J36" s="1303"/>
      <c r="K36" s="2324"/>
      <c r="L36" s="2466"/>
      <c r="M36" s="2466"/>
    </row>
    <row r="37" spans="1:18" ht="18" customHeight="1">
      <c r="A37" s="925" t="s">
        <v>437</v>
      </c>
      <c r="B37" s="292" t="s">
        <v>742</v>
      </c>
      <c r="C37" s="21">
        <f ca="1">ROUND(C13*F37,2)</f>
        <v>0</v>
      </c>
      <c r="D37" s="1253" t="s">
        <v>743</v>
      </c>
      <c r="E37" s="292" t="s">
        <v>744</v>
      </c>
      <c r="F37" s="319">
        <f ca="1">INDIRECT("'数据-取费表'!Al"&amp;$G$1)</f>
        <v>0</v>
      </c>
      <c r="G37" s="1289"/>
      <c r="H37" s="2466"/>
      <c r="I37" s="1302"/>
      <c r="J37" s="1303"/>
      <c r="K37" s="2324"/>
      <c r="L37" s="2466"/>
      <c r="M37" s="2466"/>
    </row>
    <row r="38" spans="1:18" ht="18" customHeight="1" thickBot="1">
      <c r="A38" s="1023" t="s">
        <v>684</v>
      </c>
      <c r="B38" s="1024" t="s">
        <v>728</v>
      </c>
      <c r="C38" s="1025">
        <f ca="1">ROUND(C5*F38,2)</f>
        <v>0</v>
      </c>
      <c r="D38" s="1026" t="s">
        <v>748</v>
      </c>
      <c r="E38" s="1024" t="s">
        <v>744</v>
      </c>
      <c r="F38" s="1020">
        <f ca="1">INDIRECT("'数据-取费表'!Am"&amp;$G$1)</f>
        <v>0</v>
      </c>
      <c r="G38" s="1289"/>
      <c r="H38" s="2466"/>
      <c r="I38" s="1302"/>
      <c r="J38" s="1303"/>
      <c r="K38" s="2464"/>
      <c r="L38" s="2466"/>
      <c r="M38" s="2466"/>
    </row>
    <row r="39" spans="1:18" ht="24.6" customHeight="1" thickTop="1">
      <c r="A39" s="1013" t="s">
        <v>394</v>
      </c>
      <c r="B39" s="1028" t="s">
        <v>772</v>
      </c>
      <c r="C39" s="300">
        <f ca="1">C5-C30</f>
        <v>0</v>
      </c>
      <c r="D39" s="1029" t="s">
        <v>773</v>
      </c>
      <c r="E39" s="1030"/>
      <c r="F39" s="1031"/>
      <c r="G39" s="1289"/>
      <c r="H39" s="2466"/>
      <c r="I39" s="1302"/>
      <c r="J39" s="1303"/>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4"/>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2"/>
      <c r="O45" s="2470"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6">
        <f ca="1">ROUND(IF(F53="押一",C49/12*F11,IF(F53="押二",C49/12*2*F11,IF(F53="押三",C49/12*3*F11,C54*F11))),0)</f>
        <v>0</v>
      </c>
      <c r="D53" s="148" t="s">
        <v>2115</v>
      </c>
      <c r="E53" s="303" t="s">
        <v>701</v>
      </c>
      <c r="F53" s="1050"/>
      <c r="I53" s="1341" t="s">
        <v>836</v>
      </c>
      <c r="J53" s="2002">
        <f ca="1">IF(M47="住宅",IF(D1="——",MAX(J51,L48),MAX(J51,L48-'数据-取费表'!B24)),IF(D1="——",MIN(J51,L48),MIN(J51,L48-'数据-取费表'!B24)))</f>
        <v>0</v>
      </c>
      <c r="K53" s="3460" t="s">
        <v>837</v>
      </c>
      <c r="L53" s="3461"/>
      <c r="O53" s="1322" t="s">
        <v>409</v>
      </c>
      <c r="P53" s="1323" t="s">
        <v>838</v>
      </c>
      <c r="Q53" s="1324" t="e">
        <f ca="1">Q47+Q48</f>
        <v>#DIV/0!</v>
      </c>
      <c r="R53" s="1324" t="s">
        <v>410</v>
      </c>
    </row>
    <row r="54" spans="1:18" s="1289" customFormat="1" ht="13.5"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3333</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ROUND(C68*10000/F71,0)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877</v>
      </c>
      <c r="B1" s="660"/>
      <c r="C1" s="1284"/>
      <c r="D1" s="1268" t="s">
        <v>43</v>
      </c>
      <c r="E1" s="1269" t="s">
        <v>678</v>
      </c>
      <c r="F1" s="996">
        <f ca="1">J53</f>
        <v>0</v>
      </c>
      <c r="G1" s="1283">
        <f>MATCH(C1,'数据-取费表'!A6:A16,0)+5</f>
        <v>9</v>
      </c>
      <c r="H1" s="2458"/>
      <c r="I1" s="2459"/>
      <c r="J1" s="2459"/>
      <c r="K1" s="2460"/>
      <c r="L1" s="2459"/>
      <c r="M1" s="2459"/>
      <c r="N1" s="680"/>
      <c r="O1" s="680"/>
      <c r="P1" s="680"/>
      <c r="Q1" s="680"/>
      <c r="R1" s="680"/>
      <c r="S1" s="680"/>
      <c r="T1" s="680"/>
      <c r="U1" s="680"/>
      <c r="V1" s="680"/>
      <c r="W1" s="680"/>
      <c r="X1" s="680"/>
      <c r="Y1" s="680"/>
      <c r="Z1" s="680"/>
      <c r="AA1" s="680"/>
      <c r="AB1" s="680"/>
      <c r="AC1" s="680"/>
      <c r="AD1" s="680"/>
      <c r="AE1" s="680"/>
      <c r="AF1" s="680"/>
      <c r="AG1" s="680"/>
      <c r="AH1" s="680"/>
      <c r="AI1" s="680"/>
      <c r="AJ1" s="680"/>
      <c r="AK1" s="680"/>
    </row>
    <row r="2" spans="1:37" ht="18" customHeight="1">
      <c r="A2" s="1290" t="s">
        <v>878</v>
      </c>
      <c r="B2" s="3116" t="e">
        <f ca="1">ROUND(D2/10000,4)</f>
        <v>#DIV/0!</v>
      </c>
      <c r="C2" s="1286" t="s">
        <v>879</v>
      </c>
      <c r="D2" s="1372" t="e">
        <f ca="1">C40+J29+L46</f>
        <v>#DIV/0!</v>
      </c>
      <c r="E2" s="1292" t="s">
        <v>880</v>
      </c>
      <c r="F2" s="1293"/>
      <c r="G2" s="2471"/>
      <c r="H2" s="2461"/>
      <c r="I2" s="2461"/>
      <c r="J2" s="2461"/>
      <c r="K2" s="2462"/>
      <c r="L2" s="2461"/>
      <c r="M2" s="2461"/>
    </row>
    <row r="3" spans="1:37" ht="18" customHeight="1" thickBot="1">
      <c r="A3" s="1294" t="s">
        <v>881</v>
      </c>
      <c r="B3" s="1295">
        <f ca="1">IF(ISERROR(D2/F43),0,ROUND(D2/F43,0))</f>
        <v>0</v>
      </c>
      <c r="C3" s="1286" t="s">
        <v>882</v>
      </c>
      <c r="D3" s="1286"/>
      <c r="E3" s="1292"/>
      <c r="F3" s="1293"/>
      <c r="G3" s="2471"/>
      <c r="H3" s="646"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462" t="s">
        <v>694</v>
      </c>
      <c r="C6" s="1008">
        <f ca="1">ROUND(F6*F8*F7*(1-F9),0)</f>
        <v>0</v>
      </c>
      <c r="D6" s="145" t="s">
        <v>2105</v>
      </c>
      <c r="E6" s="292" t="s">
        <v>696</v>
      </c>
      <c r="F6" s="293">
        <f ca="1">INDIRECT("'数据-取费表'!u"&amp;$G$1)</f>
        <v>0</v>
      </c>
      <c r="G6" s="1289"/>
      <c r="H6" s="1003" t="s">
        <v>398</v>
      </c>
      <c r="I6" s="3462" t="s">
        <v>694</v>
      </c>
      <c r="J6" s="291">
        <f ca="1">ROUND(M6*M8*M7*(1-M9),0)</f>
        <v>0</v>
      </c>
      <c r="K6" s="1281" t="s">
        <v>2106</v>
      </c>
      <c r="L6" s="292" t="s">
        <v>696</v>
      </c>
      <c r="M6" s="293">
        <f ca="1">INDIRECT("'数据-取费表'!z"&amp;$G$1)</f>
        <v>0</v>
      </c>
    </row>
    <row r="7" spans="1:37" ht="18" customHeight="1">
      <c r="A7" s="1007"/>
      <c r="B7" s="3463"/>
      <c r="C7" s="1009"/>
      <c r="D7" s="297"/>
      <c r="E7" s="1010" t="s">
        <v>697</v>
      </c>
      <c r="F7" s="293">
        <f ca="1">IF(INDIRECT("'数据-取费表'!ah"&amp;$G$1)="",INDIRECT("'数据-取费表'!k"&amp;$G$1),INDIRECT("'数据-取费表'!ah"&amp;$G$1))</f>
        <v>0</v>
      </c>
      <c r="G7" s="1289"/>
      <c r="H7" s="294"/>
      <c r="I7" s="3463"/>
      <c r="J7" s="296"/>
      <c r="K7" s="297"/>
      <c r="L7" s="292" t="s">
        <v>697</v>
      </c>
      <c r="M7" s="293">
        <f ca="1">F7</f>
        <v>0</v>
      </c>
    </row>
    <row r="8" spans="1:37" ht="18" customHeight="1">
      <c r="A8" s="294"/>
      <c r="B8" s="3463"/>
      <c r="C8" s="296"/>
      <c r="D8" s="297"/>
      <c r="E8" s="292" t="s">
        <v>698</v>
      </c>
      <c r="F8" s="293">
        <f ca="1">INDIRECT("'数据-取费表'!ai"&amp;$G$1)</f>
        <v>0</v>
      </c>
      <c r="G8" s="1289"/>
      <c r="H8" s="294"/>
      <c r="I8" s="3463"/>
      <c r="J8" s="296"/>
      <c r="K8" s="297"/>
      <c r="L8" s="292" t="s">
        <v>698</v>
      </c>
      <c r="M8" s="293">
        <f ca="1">INDIRECT("'数据-取费表'!ai"&amp;$G$1)</f>
        <v>0</v>
      </c>
    </row>
    <row r="9" spans="1:37" ht="18" customHeight="1">
      <c r="A9" s="294"/>
      <c r="B9" s="3464"/>
      <c r="C9" s="296"/>
      <c r="D9" s="297"/>
      <c r="E9" s="292" t="s">
        <v>699</v>
      </c>
      <c r="F9" s="302">
        <f ca="1">INDIRECT("'数据-取费表'!w"&amp;$G$1)</f>
        <v>0</v>
      </c>
      <c r="G9" s="1289"/>
      <c r="H9" s="294"/>
      <c r="I9" s="3464"/>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2115</v>
      </c>
      <c r="E10" s="303" t="s">
        <v>701</v>
      </c>
      <c r="F10" s="1050"/>
      <c r="G10" s="1289"/>
      <c r="H10" s="1003" t="s">
        <v>402</v>
      </c>
      <c r="I10" s="1271" t="s">
        <v>700</v>
      </c>
      <c r="J10" s="291">
        <f ca="1">ROUND(IF(M10="押一",J6/12*M11,IF(M10="押二",J6/12*2*M11,IF(M10="押三",J6/12*3*M11,J11*M11))),0)</f>
        <v>0</v>
      </c>
      <c r="K10" s="1282" t="s">
        <v>2117</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3"/>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6">
        <f ca="1">ROUND(IF(AND(项目基本情况!B11="自然人",项目基本情况!B10="北京市"),J6*M17/(1+'数据-取费表'!C42),J18+J19+J20),0)</f>
        <v>0</v>
      </c>
      <c r="K17" s="1254" t="s">
        <v>720</v>
      </c>
      <c r="L17" s="1253" t="s">
        <v>721</v>
      </c>
      <c r="M17" s="2135"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3333</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0.02</v>
      </c>
      <c r="G20" s="1300"/>
      <c r="H20" s="925"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2.5</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8.0000000000000004E-4</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3"/>
      <c r="I30" s="1302"/>
      <c r="J30" s="1303"/>
      <c r="K30" s="119"/>
      <c r="L30" s="2464"/>
      <c r="M30" s="2465"/>
    </row>
    <row r="31" spans="1:37" ht="18" customHeight="1">
      <c r="A31" s="925" t="s">
        <v>398</v>
      </c>
      <c r="B31" s="292" t="s">
        <v>719</v>
      </c>
      <c r="C31" s="2136">
        <f ca="1">ROUND(IF(AND(项目基本情况!B11="自然人",项目基本情况!B10="北京市"),C6*F31/(1+'数据-取费表'!C42),C32+C33+C34),0)</f>
        <v>0</v>
      </c>
      <c r="D31" s="1254" t="s">
        <v>720</v>
      </c>
      <c r="E31" s="1253" t="s">
        <v>770</v>
      </c>
      <c r="F31" s="2135" t="str">
        <f>IF(项目基本情况!B11="企业","——",IF(M47="住宅",IF(F6*F7*F8/12/(1+'数据-取费表'!F30)&gt;100000,4%,2.5%),IF(F6*F7*F8/12/(1+'数据-取费表'!F30)&gt;100000,12%,7%)))</f>
        <v>——</v>
      </c>
      <c r="G31" s="1289"/>
      <c r="H31" s="2562" t="s">
        <v>2303</v>
      </c>
      <c r="I31" s="1302"/>
      <c r="J31" s="1303"/>
      <c r="K31" s="119"/>
      <c r="L31" s="2464"/>
      <c r="M31" s="2465"/>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3"/>
      <c r="I32" s="1302"/>
      <c r="J32" s="1303"/>
      <c r="K32" s="119"/>
      <c r="L32" s="2464"/>
      <c r="M32" s="2465"/>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3333</v>
      </c>
      <c r="E33" s="292" t="s">
        <v>712</v>
      </c>
      <c r="F33" s="312">
        <f>IF(D33="按票据","——",IF(D33="按租金收入计税",'数据-取费表'!B51,'数据-取费表'!B50))</f>
        <v>0.12</v>
      </c>
      <c r="G33" s="1289"/>
      <c r="H33" s="2466"/>
      <c r="I33" s="1302"/>
      <c r="J33" s="1303"/>
      <c r="K33" s="2467"/>
      <c r="L33" s="2466"/>
      <c r="M33" s="2466"/>
    </row>
    <row r="34" spans="1:18" ht="18" customHeight="1">
      <c r="A34" s="1003" t="s">
        <v>680</v>
      </c>
      <c r="B34" s="145" t="s">
        <v>730</v>
      </c>
      <c r="C34" s="22">
        <f ca="1">IF(项目基本情况!B11="自然人","——",ROUND(F34*F35,0))</f>
        <v>0</v>
      </c>
      <c r="D34" s="314" t="s">
        <v>731</v>
      </c>
      <c r="E34" s="292" t="s">
        <v>732</v>
      </c>
      <c r="F34" s="315">
        <f>'数据-取费表'!B52</f>
        <v>1.5</v>
      </c>
      <c r="G34" s="1289"/>
      <c r="H34" s="2463"/>
      <c r="I34" s="1302"/>
      <c r="J34" s="1303"/>
      <c r="K34" s="2468"/>
      <c r="L34" s="2469"/>
      <c r="M34" s="2469"/>
    </row>
    <row r="35" spans="1:18" ht="18" customHeight="1">
      <c r="A35" s="1037"/>
      <c r="B35" s="1035"/>
      <c r="C35" s="26"/>
      <c r="D35" s="317"/>
      <c r="E35" s="292" t="s">
        <v>736</v>
      </c>
      <c r="F35" s="293">
        <f ca="1">INDIRECT("'数据-取费表'!r"&amp;$G$1)</f>
        <v>0</v>
      </c>
      <c r="G35" s="1289"/>
      <c r="H35" s="2463"/>
      <c r="I35" s="1302"/>
      <c r="J35" s="1303"/>
      <c r="K35" s="2467"/>
      <c r="L35" s="2466"/>
      <c r="M35" s="2466"/>
    </row>
    <row r="36" spans="1:18" ht="18" customHeight="1">
      <c r="A36" s="1036" t="s">
        <v>402</v>
      </c>
      <c r="B36" s="292" t="s">
        <v>738</v>
      </c>
      <c r="C36" s="21">
        <f ca="1">ROUND(C29*F36,0)</f>
        <v>0</v>
      </c>
      <c r="D36" s="1253" t="s">
        <v>771</v>
      </c>
      <c r="E36" s="292" t="s">
        <v>712</v>
      </c>
      <c r="F36" s="318">
        <f ca="1">INDIRECT("'数据-取费表'!Ak"&amp;$G$1)</f>
        <v>0</v>
      </c>
      <c r="G36" s="1289"/>
      <c r="H36" s="2466"/>
      <c r="I36" s="1302"/>
      <c r="J36" s="1303"/>
      <c r="K36" s="2324"/>
      <c r="L36" s="2466"/>
      <c r="M36" s="2466"/>
    </row>
    <row r="37" spans="1:18" ht="18" customHeight="1">
      <c r="A37" s="925" t="s">
        <v>437</v>
      </c>
      <c r="B37" s="292" t="s">
        <v>742</v>
      </c>
      <c r="C37" s="21">
        <f ca="1">ROUND(C13*F37,0)</f>
        <v>0</v>
      </c>
      <c r="D37" s="1253" t="s">
        <v>743</v>
      </c>
      <c r="E37" s="292" t="s">
        <v>744</v>
      </c>
      <c r="F37" s="319">
        <f ca="1">INDIRECT("'数据-取费表'!Al"&amp;$G$1)</f>
        <v>0</v>
      </c>
      <c r="G37" s="1289"/>
      <c r="H37" s="2466"/>
      <c r="I37" s="1302"/>
      <c r="J37" s="1303"/>
      <c r="K37" s="2324"/>
      <c r="L37" s="2466"/>
      <c r="M37" s="2466"/>
    </row>
    <row r="38" spans="1:18" ht="18" customHeight="1" thickBot="1">
      <c r="A38" s="1023" t="s">
        <v>684</v>
      </c>
      <c r="B38" s="1024" t="s">
        <v>728</v>
      </c>
      <c r="C38" s="1025">
        <f ca="1">ROUND(C5*F38,0)</f>
        <v>0</v>
      </c>
      <c r="D38" s="1026" t="s">
        <v>748</v>
      </c>
      <c r="E38" s="1024" t="s">
        <v>744</v>
      </c>
      <c r="F38" s="1020">
        <f ca="1">INDIRECT("'数据-取费表'!Am"&amp;$G$1)</f>
        <v>0</v>
      </c>
      <c r="G38" s="1289"/>
      <c r="H38" s="2466"/>
      <c r="I38" s="1302"/>
      <c r="J38" s="1303"/>
      <c r="K38" s="2464"/>
      <c r="L38" s="2466"/>
      <c r="M38" s="2466"/>
    </row>
    <row r="39" spans="1:18" ht="24.6" customHeight="1" thickTop="1">
      <c r="A39" s="1013" t="s">
        <v>394</v>
      </c>
      <c r="B39" s="1028" t="s">
        <v>772</v>
      </c>
      <c r="C39" s="300">
        <f ca="1">C5-C30</f>
        <v>0</v>
      </c>
      <c r="D39" s="1029" t="s">
        <v>773</v>
      </c>
      <c r="E39" s="1030"/>
      <c r="F39" s="1031"/>
      <c r="G39" s="1289"/>
      <c r="H39" s="2466"/>
      <c r="I39" s="1302"/>
      <c r="J39" s="1303"/>
      <c r="K39" s="2464"/>
      <c r="L39" s="2466"/>
      <c r="M39" s="2466"/>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4"/>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3349</v>
      </c>
      <c r="B45" s="1304"/>
      <c r="C45" s="1373" t="e">
        <f ca="1">ROUND((C68-C40)/10000,4)</f>
        <v>#DIV/0!</v>
      </c>
      <c r="D45" s="3123" t="s">
        <v>3350</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8"/>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0" t="s">
        <v>692</v>
      </c>
      <c r="C48" s="1265">
        <f ca="1">C49+C53+C55</f>
        <v>0</v>
      </c>
      <c r="D48" s="1046"/>
      <c r="E48" s="1047"/>
      <c r="F48" s="905"/>
      <c r="G48" s="678"/>
      <c r="H48" s="679"/>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79"/>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79"/>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2118</v>
      </c>
      <c r="E53" s="303" t="s">
        <v>701</v>
      </c>
      <c r="F53" s="1050"/>
      <c r="I53" s="1341" t="s">
        <v>836</v>
      </c>
      <c r="J53" s="2002">
        <f ca="1">IF(M47="住宅",IF(D1="——",MAX(J51,L48),MAX(J51,L48-'数据-取费表'!B24)),IF(D1="——",MIN(J51,L48),MIN(J51,L48-'数据-取费表'!B24)))</f>
        <v>0</v>
      </c>
      <c r="K53" s="3460" t="s">
        <v>837</v>
      </c>
      <c r="L53" s="3461"/>
      <c r="O53" s="1322" t="s">
        <v>409</v>
      </c>
      <c r="P53" s="1323" t="s">
        <v>838</v>
      </c>
      <c r="Q53" s="1324" t="e">
        <f ca="1">Q47+Q48</f>
        <v>#DIV/0!</v>
      </c>
      <c r="R53" s="1324" t="s">
        <v>410</v>
      </c>
    </row>
    <row r="54" spans="1:18" s="1289" customFormat="1" ht="13.5"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6">
        <f ca="1">ROUND(IF(AND(项目基本情况!B11="自然人",项目基本情况!B10="北京市"),C49*F59/(1+'数据-取费表'!C42),C60+C61+C62),0)</f>
        <v>0</v>
      </c>
      <c r="D59" s="906" t="s">
        <v>720</v>
      </c>
      <c r="E59" s="907" t="s">
        <v>721</v>
      </c>
      <c r="F59" s="2135"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3333</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16.5"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5" thickBot="1">
      <c r="A69" s="894"/>
      <c r="B69" s="895"/>
      <c r="C69" s="296"/>
      <c r="D69" s="913" t="s">
        <v>762</v>
      </c>
      <c r="E69" s="893" t="s">
        <v>763</v>
      </c>
      <c r="F69" s="322">
        <f ca="1">F41</f>
        <v>0</v>
      </c>
      <c r="O69" s="1331" t="s">
        <v>411</v>
      </c>
      <c r="P69" s="1368" t="s">
        <v>872</v>
      </c>
      <c r="Q69" s="1324">
        <f ca="1">C39</f>
        <v>0</v>
      </c>
      <c r="R69" s="1324" t="s">
        <v>818</v>
      </c>
    </row>
    <row r="70" spans="1:18" s="1289" customFormat="1" ht="13.5" thickBot="1">
      <c r="A70" s="897"/>
      <c r="B70" s="898"/>
      <c r="C70" s="300"/>
      <c r="D70" s="909"/>
      <c r="E70" s="893" t="s">
        <v>766</v>
      </c>
      <c r="F70" s="988"/>
      <c r="O70" s="1331" t="s">
        <v>412</v>
      </c>
      <c r="P70" s="1368" t="s">
        <v>873</v>
      </c>
      <c r="Q70" s="1324">
        <f ca="1">C13</f>
        <v>0</v>
      </c>
      <c r="R70" s="1324" t="s">
        <v>818</v>
      </c>
    </row>
    <row r="71" spans="1:18" s="1289" customFormat="1" ht="13.5"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5" thickBot="1">
      <c r="B72" s="682"/>
      <c r="C72" s="682"/>
      <c r="O72" s="1331" t="s">
        <v>407</v>
      </c>
      <c r="P72" s="1323" t="s">
        <v>852</v>
      </c>
      <c r="Q72" s="1334">
        <f>L52</f>
        <v>0</v>
      </c>
      <c r="R72" s="1324"/>
    </row>
    <row r="73" spans="1:18" ht="16.5" thickBot="1">
      <c r="A73" s="1289"/>
      <c r="B73" s="682"/>
      <c r="C73" s="682"/>
      <c r="D73" s="1289"/>
      <c r="E73" s="1289"/>
      <c r="F73" s="1289"/>
      <c r="O73" s="1331" t="s">
        <v>408</v>
      </c>
      <c r="P73" s="1323" t="s">
        <v>855</v>
      </c>
      <c r="Q73" s="1324" t="e">
        <f ca="1">L58</f>
        <v>#DIV/0!</v>
      </c>
      <c r="R73" s="1324" t="s">
        <v>856</v>
      </c>
    </row>
    <row r="74" spans="1:18" ht="13.5"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90" t="s">
        <v>2312</v>
      </c>
      <c r="B2" s="2587" t="e">
        <f>IF(D2="——",C40,C40+E2)</f>
        <v>#DIV/0!</v>
      </c>
      <c r="C2" s="2588" t="s">
        <v>2313</v>
      </c>
      <c r="D2" s="3131" t="s">
        <v>3356</v>
      </c>
      <c r="E2" s="3132"/>
      <c r="F2" s="2590"/>
      <c r="G2" s="2591"/>
      <c r="H2" s="2592"/>
      <c r="I2" s="2593"/>
      <c r="J2" s="3471" t="s">
        <v>2314</v>
      </c>
      <c r="K2" s="3472"/>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473" t="s">
        <v>2324</v>
      </c>
      <c r="K3" s="3474"/>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473" t="s">
        <v>2326</v>
      </c>
      <c r="K4" s="3474"/>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479" t="s">
        <v>2330</v>
      </c>
      <c r="B6" s="3480"/>
      <c r="C6" s="3481"/>
      <c r="D6" s="2614"/>
      <c r="E6" s="2615"/>
      <c r="F6" s="2616"/>
      <c r="G6" s="2617"/>
      <c r="H6" s="2592"/>
      <c r="I6" s="2593"/>
      <c r="J6" s="3465">
        <v>1</v>
      </c>
      <c r="K6" s="3466"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465"/>
      <c r="K7" s="3467"/>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482" t="s">
        <v>2344</v>
      </c>
      <c r="C8" s="3483"/>
      <c r="D8" s="2633" t="s">
        <v>2345</v>
      </c>
      <c r="E8" s="2634" t="s">
        <v>2346</v>
      </c>
      <c r="F8" s="2635" t="s">
        <v>2347</v>
      </c>
      <c r="G8" s="2636"/>
      <c r="H8" s="2592"/>
      <c r="I8" s="2593"/>
      <c r="J8" s="3465"/>
      <c r="K8" s="3467"/>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482" t="s">
        <v>2350</v>
      </c>
      <c r="C9" s="3483"/>
      <c r="D9" s="2633">
        <f>ROUND(D6*E9,0)</f>
        <v>0</v>
      </c>
      <c r="E9" s="2637"/>
      <c r="F9" s="2638" t="s">
        <v>2351</v>
      </c>
      <c r="G9" s="2617"/>
      <c r="H9" s="2592"/>
      <c r="I9" s="2593"/>
      <c r="J9" s="3465"/>
      <c r="K9" s="3467"/>
      <c r="L9" s="2627" t="s">
        <v>2352</v>
      </c>
      <c r="M9" s="2628"/>
      <c r="N9" s="2604"/>
      <c r="O9" s="2629"/>
      <c r="P9" s="2629"/>
      <c r="Q9" s="2630">
        <v>365</v>
      </c>
      <c r="R9" s="2631">
        <f t="shared" si="0"/>
        <v>0</v>
      </c>
      <c r="S9" s="2585"/>
      <c r="T9" s="2585"/>
      <c r="U9" s="2585"/>
      <c r="V9" s="2593"/>
    </row>
    <row r="10" spans="1:22" s="2597" customFormat="1" ht="13.15" customHeight="1">
      <c r="A10" s="2632">
        <v>2</v>
      </c>
      <c r="B10" s="3482" t="s">
        <v>2353</v>
      </c>
      <c r="C10" s="3483"/>
      <c r="D10" s="2633">
        <f>ROUND(D6*E10,0)</f>
        <v>0</v>
      </c>
      <c r="E10" s="2637"/>
      <c r="F10" s="2638" t="s">
        <v>2354</v>
      </c>
      <c r="G10" s="2617"/>
      <c r="H10" s="2592"/>
      <c r="I10" s="2593"/>
      <c r="J10" s="3465"/>
      <c r="K10" s="3467"/>
      <c r="L10" s="2627" t="s">
        <v>2355</v>
      </c>
      <c r="M10" s="2628"/>
      <c r="N10" s="2604"/>
      <c r="O10" s="2629"/>
      <c r="P10" s="2629"/>
      <c r="Q10" s="2630">
        <v>365</v>
      </c>
      <c r="R10" s="2631">
        <f t="shared" si="0"/>
        <v>0</v>
      </c>
      <c r="S10" s="2585"/>
      <c r="T10" s="2585"/>
      <c r="U10" s="2585"/>
      <c r="V10" s="2593"/>
    </row>
    <row r="11" spans="1:22" s="2597" customFormat="1" ht="13.15" customHeight="1">
      <c r="A11" s="2632">
        <v>3</v>
      </c>
      <c r="B11" s="3482" t="s">
        <v>2356</v>
      </c>
      <c r="C11" s="3483"/>
      <c r="D11" s="2633">
        <f>D12+D14+D15+D16</f>
        <v>0</v>
      </c>
      <c r="E11" s="2639" t="e">
        <f>D11/D6</f>
        <v>#DIV/0!</v>
      </c>
      <c r="F11" s="2635"/>
      <c r="G11" s="2636"/>
      <c r="H11" s="2592"/>
      <c r="I11" s="2593"/>
      <c r="J11" s="3465"/>
      <c r="K11" s="3467"/>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475" t="s">
        <v>2359</v>
      </c>
      <c r="C12" s="3476"/>
      <c r="D12" s="2641">
        <f>ROUND(D13*1.2%*(1-30%),0)</f>
        <v>0</v>
      </c>
      <c r="E12" s="2642">
        <v>1.2E-2</v>
      </c>
      <c r="F12" s="2635" t="s">
        <v>2360</v>
      </c>
      <c r="G12" s="2636"/>
      <c r="H12" s="2592"/>
      <c r="I12" s="2593"/>
      <c r="J12" s="3465"/>
      <c r="K12" s="3467"/>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465"/>
      <c r="K13" s="3467"/>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475" t="s">
        <v>2365</v>
      </c>
      <c r="C14" s="3476"/>
      <c r="D14" s="2641">
        <f>ROUND(E14*B5/10000,0)</f>
        <v>0</v>
      </c>
      <c r="E14" s="2630"/>
      <c r="F14" s="2635" t="s">
        <v>2366</v>
      </c>
      <c r="G14" s="2636"/>
      <c r="H14" s="2592"/>
      <c r="I14" s="2593"/>
      <c r="J14" s="3465"/>
      <c r="K14" s="3468"/>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475" t="s">
        <v>2369</v>
      </c>
      <c r="C15" s="3476"/>
      <c r="D15" s="2641">
        <f>ROUND(D6*E15,0)</f>
        <v>0</v>
      </c>
      <c r="E15" s="2642">
        <v>5.5E-2</v>
      </c>
      <c r="F15" s="2635" t="s">
        <v>2370</v>
      </c>
      <c r="G15" s="2617"/>
      <c r="H15" s="2592"/>
      <c r="I15" s="2593"/>
      <c r="J15" s="3465">
        <v>2</v>
      </c>
      <c r="K15" s="3466"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475" t="s">
        <v>2378</v>
      </c>
      <c r="C16" s="3476"/>
      <c r="D16" s="2652">
        <f>D6*E16</f>
        <v>0</v>
      </c>
      <c r="E16" s="2653"/>
      <c r="F16" s="2638" t="s">
        <v>2379</v>
      </c>
      <c r="G16" s="2617"/>
      <c r="H16" s="2592"/>
      <c r="I16" s="2593"/>
      <c r="J16" s="3465"/>
      <c r="K16" s="3467"/>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477" t="s">
        <v>2381</v>
      </c>
      <c r="C17" s="3478"/>
      <c r="D17" s="2655">
        <f>ROUND(D6*E17,0)</f>
        <v>0</v>
      </c>
      <c r="E17" s="2656"/>
      <c r="F17" s="2657" t="s">
        <v>2382</v>
      </c>
      <c r="G17" s="2617"/>
      <c r="H17" s="2592"/>
      <c r="I17" s="2593"/>
      <c r="J17" s="3465"/>
      <c r="K17" s="3467"/>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465"/>
      <c r="K18" s="3467"/>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465"/>
      <c r="K19" s="3468"/>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465">
        <v>3</v>
      </c>
      <c r="K20" s="3466"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465"/>
      <c r="K21" s="3467"/>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465"/>
      <c r="K22" s="3467"/>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465"/>
      <c r="K23" s="3467"/>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465"/>
      <c r="K24" s="3468"/>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469">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470"/>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471" t="s">
        <v>2314</v>
      </c>
      <c r="K32" s="3472"/>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473" t="s">
        <v>2324</v>
      </c>
      <c r="K33" s="3474"/>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473" t="s">
        <v>2326</v>
      </c>
      <c r="K34" s="3474"/>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465">
        <v>1</v>
      </c>
      <c r="K36" s="3466"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465"/>
      <c r="K37" s="3467"/>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465"/>
      <c r="K38" s="3467"/>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465"/>
      <c r="K39" s="3467"/>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465"/>
      <c r="K40" s="3468"/>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469">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470"/>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39" customWidth="1"/>
    <col min="2" max="2" width="12" style="639" customWidth="1"/>
    <col min="3" max="3" width="9" style="639"/>
    <col min="4" max="4" width="14.125" style="639" customWidth="1"/>
    <col min="5" max="5" width="9" style="639"/>
    <col min="6" max="6" width="12.875" style="639" customWidth="1"/>
    <col min="7" max="16384" width="9" style="639"/>
  </cols>
  <sheetData>
    <row r="1" spans="1:22" ht="21">
      <c r="A1" s="1721" t="s">
        <v>1658</v>
      </c>
      <c r="B1" s="1722"/>
      <c r="C1" s="1722"/>
      <c r="D1" s="1722"/>
      <c r="E1" s="1723"/>
      <c r="F1" s="2472"/>
      <c r="G1" s="457"/>
      <c r="H1" s="457"/>
      <c r="I1" s="457"/>
      <c r="J1" s="457"/>
      <c r="K1" s="457"/>
      <c r="L1" s="457"/>
      <c r="M1" s="457"/>
      <c r="N1" s="457"/>
      <c r="O1" s="457"/>
      <c r="P1" s="457"/>
      <c r="Q1" s="457"/>
      <c r="R1" s="457"/>
      <c r="S1" s="457"/>
    </row>
    <row r="2" spans="1:22" ht="15.75">
      <c r="A2" s="1724" t="s">
        <v>1462</v>
      </c>
      <c r="B2" s="808">
        <f ca="1">SUMIF(B6:B13,"&lt;&gt;#ref!",B6:B13)</f>
        <v>0</v>
      </c>
      <c r="C2" s="1725" t="s">
        <v>1651</v>
      </c>
      <c r="D2" s="1726" t="s">
        <v>1652</v>
      </c>
      <c r="E2" s="2386">
        <f>SUM(E6:E13)</f>
        <v>0</v>
      </c>
      <c r="F2" s="2472"/>
      <c r="G2" s="457"/>
      <c r="H2" s="457"/>
      <c r="I2" s="457"/>
      <c r="J2" s="457"/>
      <c r="K2" s="457"/>
      <c r="L2" s="457"/>
      <c r="M2" s="457"/>
      <c r="N2" s="457"/>
      <c r="O2" s="457"/>
      <c r="P2" s="457"/>
      <c r="Q2" s="457"/>
      <c r="R2" s="457"/>
      <c r="S2" s="457"/>
    </row>
    <row r="3" spans="1:22" ht="15.75">
      <c r="A3" s="1724" t="s">
        <v>686</v>
      </c>
      <c r="B3" s="2380" t="e">
        <f ca="1">ROUND(B2*10000/E2,0)</f>
        <v>#DIV/0!</v>
      </c>
      <c r="C3" s="1725" t="s">
        <v>1659</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2" t="s">
        <v>1653</v>
      </c>
      <c r="B5" s="3484" t="s">
        <v>1654</v>
      </c>
      <c r="C5" s="3485"/>
      <c r="D5" s="2473"/>
      <c r="E5" s="1727" t="s">
        <v>1655</v>
      </c>
      <c r="F5" s="127" t="s">
        <v>1656</v>
      </c>
      <c r="G5" s="457"/>
      <c r="H5" s="457"/>
      <c r="I5" s="457"/>
      <c r="J5" s="457"/>
      <c r="K5" s="457"/>
      <c r="L5" s="457"/>
      <c r="M5" s="457"/>
      <c r="N5" s="457"/>
      <c r="O5" s="457"/>
      <c r="P5" s="457"/>
      <c r="Q5" s="457"/>
      <c r="R5" s="457"/>
      <c r="S5" s="457"/>
    </row>
    <row r="6" spans="1:22">
      <c r="A6" s="2383">
        <f>'数据-取费表'!AN6</f>
        <v>0</v>
      </c>
      <c r="B6" s="2381" t="e">
        <f ca="1">IF(F6="是",'数据-取费表'!AO6,0)</f>
        <v>#REF!</v>
      </c>
      <c r="C6" s="1725" t="s">
        <v>1651</v>
      </c>
      <c r="D6" s="2472"/>
      <c r="E6" s="2385">
        <f>IF(OR(A6=0,F6="否"),0,'数据-取费表'!K6+'数据-取费表'!S6)</f>
        <v>0</v>
      </c>
      <c r="F6" s="1728" t="s">
        <v>1657</v>
      </c>
      <c r="G6" s="457"/>
      <c r="H6" s="457"/>
      <c r="I6" s="457"/>
      <c r="J6" s="457"/>
      <c r="K6" s="457"/>
      <c r="L6" s="457"/>
      <c r="M6" s="457"/>
      <c r="N6" s="457"/>
      <c r="O6" s="457"/>
      <c r="P6" s="457"/>
      <c r="Q6" s="457"/>
      <c r="R6" s="457"/>
      <c r="S6" s="457"/>
    </row>
    <row r="7" spans="1:22">
      <c r="A7" s="2383">
        <f>'数据-取费表'!AN7</f>
        <v>0</v>
      </c>
      <c r="B7" s="2381" t="e">
        <f ca="1">IF(F7="是",'数据-取费表'!AO7,0)</f>
        <v>#REF!</v>
      </c>
      <c r="C7" s="1725" t="s">
        <v>1651</v>
      </c>
      <c r="D7" s="2472"/>
      <c r="E7" s="2385">
        <f>IF(OR(A7=0,F7="否"),0,'数据-取费表'!K7+'数据-取费表'!S7)</f>
        <v>0</v>
      </c>
      <c r="F7" s="1728" t="s">
        <v>1657</v>
      </c>
      <c r="G7" s="457"/>
      <c r="H7" s="457"/>
      <c r="I7" s="457"/>
      <c r="J7" s="457"/>
      <c r="K7" s="457"/>
      <c r="L7" s="457"/>
      <c r="M7" s="457"/>
      <c r="N7" s="457"/>
      <c r="O7" s="457"/>
      <c r="P7" s="457"/>
      <c r="Q7" s="457"/>
      <c r="R7" s="457"/>
      <c r="S7" s="457"/>
    </row>
    <row r="8" spans="1:22">
      <c r="A8" s="2383">
        <f>'数据-取费表'!AN8</f>
        <v>0</v>
      </c>
      <c r="B8" s="2381" t="e">
        <f ca="1">IF(F8="是",'数据-取费表'!AO8,0)</f>
        <v>#REF!</v>
      </c>
      <c r="C8" s="1725" t="s">
        <v>1651</v>
      </c>
      <c r="D8" s="2472"/>
      <c r="E8" s="2385">
        <f>IF(OR(A8=0,F8="否"),0,'数据-取费表'!K8+'数据-取费表'!S8)</f>
        <v>0</v>
      </c>
      <c r="F8" s="1728" t="s">
        <v>1657</v>
      </c>
      <c r="G8" s="457"/>
      <c r="H8" s="457"/>
      <c r="I8" s="457"/>
      <c r="J8" s="457"/>
      <c r="K8" s="457"/>
      <c r="L8" s="457"/>
      <c r="M8" s="457"/>
      <c r="N8" s="457"/>
      <c r="O8" s="457"/>
      <c r="P8" s="457"/>
      <c r="Q8" s="457"/>
      <c r="R8" s="457"/>
      <c r="S8" s="457"/>
    </row>
    <row r="9" spans="1:22">
      <c r="A9" s="2383">
        <f>'数据-取费表'!AN9</f>
        <v>0</v>
      </c>
      <c r="B9" s="2381" t="e">
        <f ca="1">IF(F9="是",'数据-取费表'!AO9,0)</f>
        <v>#REF!</v>
      </c>
      <c r="C9" s="1725" t="s">
        <v>1651</v>
      </c>
      <c r="D9" s="2472"/>
      <c r="E9" s="2385">
        <f>IF(OR(A9=0,F9="否"),0,'数据-取费表'!K9+'数据-取费表'!S9)</f>
        <v>0</v>
      </c>
      <c r="F9" s="1728" t="s">
        <v>1657</v>
      </c>
      <c r="G9" s="457"/>
      <c r="H9" s="457"/>
      <c r="I9" s="457"/>
      <c r="J9" s="457"/>
      <c r="K9" s="457"/>
      <c r="L9" s="457"/>
      <c r="M9" s="457"/>
      <c r="N9" s="457"/>
      <c r="O9" s="457"/>
      <c r="P9" s="457"/>
      <c r="Q9" s="457"/>
      <c r="R9" s="457"/>
      <c r="S9" s="457"/>
    </row>
    <row r="10" spans="1:22">
      <c r="A10" s="2383">
        <f>'数据-取费表'!AN10</f>
        <v>0</v>
      </c>
      <c r="B10" s="2381" t="e">
        <f ca="1">IF(F10="是",'数据-取费表'!AO10,0)</f>
        <v>#REF!</v>
      </c>
      <c r="C10" s="1725" t="s">
        <v>1651</v>
      </c>
      <c r="D10" s="2472"/>
      <c r="E10" s="2385">
        <f>IF(OR(A10=0,F10="否"),0,'数据-取费表'!K10+'数据-取费表'!S10)</f>
        <v>0</v>
      </c>
      <c r="F10" s="1728" t="s">
        <v>1657</v>
      </c>
      <c r="G10" s="457"/>
      <c r="H10" s="457"/>
      <c r="I10" s="457"/>
      <c r="J10" s="457"/>
      <c r="K10" s="457"/>
      <c r="L10" s="457"/>
      <c r="M10" s="457"/>
      <c r="N10" s="457"/>
      <c r="O10" s="457"/>
      <c r="P10" s="457"/>
      <c r="Q10" s="457"/>
      <c r="R10" s="457"/>
      <c r="S10" s="457"/>
    </row>
    <row r="11" spans="1:22">
      <c r="A11" s="2383">
        <f>'数据-取费表'!AN11</f>
        <v>0</v>
      </c>
      <c r="B11" s="2381" t="e">
        <f ca="1">IF(F11="是",'数据-取费表'!AO11,0)</f>
        <v>#REF!</v>
      </c>
      <c r="C11" s="1725" t="s">
        <v>1651</v>
      </c>
      <c r="D11" s="2472"/>
      <c r="E11" s="2385">
        <f>IF(OR(A11=0,F11="否"),0,'数据-取费表'!K11+'数据-取费表'!S11)</f>
        <v>0</v>
      </c>
      <c r="F11" s="1728" t="s">
        <v>1657</v>
      </c>
      <c r="G11" s="457"/>
      <c r="H11" s="457"/>
      <c r="I11" s="457"/>
      <c r="J11" s="457"/>
      <c r="K11" s="457"/>
      <c r="L11" s="457"/>
      <c r="M11" s="457"/>
      <c r="N11" s="457"/>
      <c r="O11" s="457"/>
      <c r="P11" s="457"/>
      <c r="Q11" s="457"/>
      <c r="R11" s="457"/>
      <c r="S11" s="457"/>
    </row>
    <row r="12" spans="1:22">
      <c r="A12" s="2383">
        <f>'数据-取费表'!AN12</f>
        <v>0</v>
      </c>
      <c r="B12" s="2381" t="e">
        <f ca="1">IF(F12="是",'数据-取费表'!AO12,0)</f>
        <v>#REF!</v>
      </c>
      <c r="C12" s="1725" t="s">
        <v>1651</v>
      </c>
      <c r="D12" s="2472"/>
      <c r="E12" s="2385">
        <f>IF(OR(A12=0,F12="否"),0,'数据-取费表'!K12+'数据-取费表'!S12)</f>
        <v>0</v>
      </c>
      <c r="F12" s="1728"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29" t="s">
        <v>1651</v>
      </c>
      <c r="D13" s="2474"/>
      <c r="E13" s="2385">
        <f>IF(OR(A13=0,F13="否"),0,'数据-取费表'!K13+'数据-取费表'!S13)</f>
        <v>0</v>
      </c>
      <c r="F13" s="1728"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9" customWidth="1"/>
    <col min="2" max="16384" width="9" style="639"/>
  </cols>
  <sheetData>
    <row r="1" spans="1:1" ht="23.25">
      <c r="A1" s="1377" t="s">
        <v>898</v>
      </c>
    </row>
    <row r="3" spans="1:1" ht="18">
      <c r="A3" s="1378" t="str">
        <f>项目基本情况!B5&amp;"："</f>
        <v>：</v>
      </c>
    </row>
    <row r="4" spans="1:1" ht="54">
      <c r="A4" s="1379" t="str">
        <f>"受贵公司委托，我公司对"&amp;项目基本情况!S1&amp;"进行了预评估。"</f>
        <v>受贵公司委托，我公司对北京市顺义区顺义新城第1街区01-01-09地块R2二类居住用地、01-01-04地块A334托幼用地出让国有建设用地使用权及在建建筑物房地产抵押价值进行了预评估。</v>
      </c>
    </row>
    <row r="5" spans="1:1" ht="18.75">
      <c r="A5" s="1380" t="s">
        <v>899</v>
      </c>
    </row>
    <row r="6" spans="1:1" ht="18.75">
      <c r="A6" s="1381" t="s">
        <v>900</v>
      </c>
    </row>
    <row r="7" spans="1:1" ht="7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顺义新城第1街区01-01-09地块R2二类居住用地、01-01-04地块A334托幼用地出让国有建设用地使用权及在建建筑物房地产，为所有。根据《国有土地使用证》[]，估价对象（分摊）出让国有建设用地使用权面积为39582.79平方米，建筑面积为106355.86平方米。</v>
      </c>
    </row>
    <row r="8" spans="1:1" ht="57.75">
      <c r="A8" s="1382" t="s">
        <v>901</v>
      </c>
    </row>
    <row r="9" spans="1:1" ht="18.75">
      <c r="A9" s="1381" t="s">
        <v>902</v>
      </c>
    </row>
    <row r="10" spans="1:1" ht="90">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顺义新城第1街区01-01-09地块R2二类居住用地、01-01-04地块A334托幼用地出让国有建设用地使用权及在建建筑物房地产,属开发建设的，该项目尚在开发建设中。根据《国有土地使用证》[]，估价对象（分摊）出让国有建设用地使用权面积为39582.79平方米，规划建筑面积为106355.86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2024年12月13日（评估专业人员实地查勘之日）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zoomScaleNormal="60" zoomScaleSheetLayoutView="100" workbookViewId="0">
      <selection activeCell="D3" sqref="D3"/>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0" t="s">
        <v>1661</v>
      </c>
      <c r="C1" s="1152" t="s">
        <v>1662</v>
      </c>
      <c r="D1" s="1139" t="s">
        <v>4016</v>
      </c>
      <c r="E1" s="3117" t="s">
        <v>4287</v>
      </c>
      <c r="F1" s="1731" t="s">
        <v>4288</v>
      </c>
      <c r="G1" s="1149" t="s">
        <v>1663</v>
      </c>
      <c r="H1" s="1148"/>
      <c r="I1" s="1148"/>
      <c r="J1" s="1148"/>
      <c r="K1" s="1150"/>
      <c r="L1" s="1151"/>
      <c r="M1" s="1152"/>
      <c r="N1" s="1152"/>
      <c r="O1" s="1152"/>
      <c r="P1" s="1732"/>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300797</v>
      </c>
      <c r="C2" s="1733" t="s">
        <v>43</v>
      </c>
      <c r="D2" s="1049" t="e">
        <f ca="1">IF(E1="项目模式",SUMIF(INDIRECT("'"&amp;F2&amp;"'"&amp;"!A:A"),"承租人权益价值",INDIRECT("'"&amp;F2&amp;"'"&amp;"!c:c")),SUMIF(INDIRECT("'"&amp;F2&amp;"'"&amp;"!A:A"),"承租人权益价值（单套）",INDIRECT("'"&amp;F2&amp;"'"&amp;"!c:c")))</f>
        <v>#REF!</v>
      </c>
      <c r="E2" s="1734" t="s">
        <v>1664</v>
      </c>
      <c r="F2" s="1735"/>
      <c r="G2" s="851"/>
      <c r="H2" s="851"/>
      <c r="I2" s="851"/>
      <c r="J2" s="851"/>
      <c r="K2" s="1736"/>
      <c r="L2" s="2477"/>
      <c r="M2" s="2478"/>
      <c r="N2" s="2478"/>
      <c r="O2" s="2478"/>
      <c r="P2" s="1737"/>
      <c r="Q2" s="1738"/>
      <c r="R2" s="1738"/>
      <c r="S2" s="1738"/>
      <c r="T2" s="1738"/>
      <c r="U2" s="1738"/>
      <c r="V2" s="1738"/>
      <c r="W2" s="1738"/>
      <c r="X2" s="1738"/>
      <c r="Y2" s="1738"/>
      <c r="Z2" s="1738"/>
      <c r="AA2" s="1738"/>
      <c r="AB2" s="1738"/>
      <c r="AC2" s="995"/>
    </row>
    <row r="3" spans="1:29" s="336" customFormat="1" ht="28.5" customHeight="1" thickBot="1">
      <c r="A3" s="193" t="s">
        <v>686</v>
      </c>
      <c r="B3" s="341">
        <f>IF(C2="——",C49,ROUND(B2*10000/D3,0))</f>
        <v>37920</v>
      </c>
      <c r="C3" s="342" t="s">
        <v>1665</v>
      </c>
      <c r="D3" s="341">
        <f>IF(D1="",'数据-汇总表'!E3,SUMIF('数据-汇总表'!$C19:$C33,D1,'数据-汇总表'!$E19:$E33))</f>
        <v>79323.999999999854</v>
      </c>
      <c r="E3" s="851"/>
      <c r="F3" s="1739"/>
      <c r="G3" s="851"/>
      <c r="H3" s="851"/>
      <c r="I3" s="851"/>
      <c r="J3" s="851"/>
      <c r="K3" s="1736"/>
      <c r="L3" s="2477"/>
      <c r="M3" s="2478"/>
      <c r="N3" s="2478"/>
      <c r="O3" s="2478"/>
      <c r="P3" s="1737"/>
      <c r="Q3" s="1738"/>
      <c r="R3" s="1738"/>
      <c r="S3" s="1738"/>
      <c r="T3" s="1738"/>
      <c r="U3" s="1738"/>
      <c r="V3" s="1738"/>
      <c r="W3" s="1738"/>
      <c r="X3" s="1738"/>
      <c r="Y3" s="1738"/>
      <c r="Z3" s="1738"/>
      <c r="AA3" s="1738"/>
      <c r="AB3" s="1738"/>
      <c r="AC3" s="995"/>
    </row>
    <row r="4" spans="1:29" ht="15">
      <c r="A4" s="343" t="s">
        <v>1666</v>
      </c>
      <c r="B4" s="344"/>
      <c r="C4" s="3419" t="s">
        <v>1667</v>
      </c>
      <c r="D4" s="3431"/>
      <c r="E4" s="3432" t="s">
        <v>1668</v>
      </c>
      <c r="F4" s="3433"/>
      <c r="G4" s="3419" t="s">
        <v>1669</v>
      </c>
      <c r="H4" s="3431"/>
      <c r="I4" s="3419" t="s">
        <v>1670</v>
      </c>
      <c r="J4" s="3431"/>
      <c r="K4" s="1740" t="s">
        <v>1671</v>
      </c>
      <c r="L4" s="2479"/>
      <c r="M4" s="2480"/>
      <c r="N4" s="2480"/>
      <c r="O4" s="2480"/>
      <c r="P4" s="3434" t="s">
        <v>1672</v>
      </c>
      <c r="Q4" s="3435"/>
      <c r="R4" s="3440" t="s">
        <v>1668</v>
      </c>
      <c r="S4" s="3441"/>
      <c r="T4" s="3440" t="s">
        <v>1669</v>
      </c>
      <c r="U4" s="3441"/>
      <c r="V4" s="3427" t="s">
        <v>1670</v>
      </c>
      <c r="W4" s="3427"/>
      <c r="X4" s="1262"/>
      <c r="Y4" s="3440" t="s">
        <v>1672</v>
      </c>
      <c r="Z4" s="3441"/>
      <c r="AA4" s="3428" t="s">
        <v>1668</v>
      </c>
      <c r="AB4" s="3428" t="s">
        <v>1669</v>
      </c>
      <c r="AC4" s="3428" t="s">
        <v>1670</v>
      </c>
    </row>
    <row r="5" spans="1:29" ht="15">
      <c r="A5" s="346"/>
      <c r="B5" s="347"/>
      <c r="C5" s="3448" t="s">
        <v>1673</v>
      </c>
      <c r="D5" s="3449"/>
      <c r="E5" s="3495" t="s">
        <v>4260</v>
      </c>
      <c r="F5" s="3456"/>
      <c r="G5" s="3493" t="s">
        <v>4261</v>
      </c>
      <c r="H5" s="3449"/>
      <c r="I5" s="3494" t="s">
        <v>4262</v>
      </c>
      <c r="J5" s="3449"/>
      <c r="K5" s="1741"/>
      <c r="L5" s="2479"/>
      <c r="M5" s="2480"/>
      <c r="N5" s="2480"/>
      <c r="O5" s="2480"/>
      <c r="P5" s="3436"/>
      <c r="Q5" s="3437"/>
      <c r="R5" s="3442"/>
      <c r="S5" s="3443"/>
      <c r="T5" s="3442"/>
      <c r="U5" s="3443"/>
      <c r="V5" s="3427"/>
      <c r="W5" s="3427"/>
      <c r="X5" s="1262"/>
      <c r="Y5" s="3442"/>
      <c r="Z5" s="3443"/>
      <c r="AA5" s="3429"/>
      <c r="AB5" s="3429"/>
      <c r="AC5" s="3429"/>
    </row>
    <row r="6" spans="1:29" ht="15.75" thickBot="1">
      <c r="A6" s="348"/>
      <c r="B6" s="349"/>
      <c r="C6" s="3446" t="s">
        <v>1677</v>
      </c>
      <c r="D6" s="3447"/>
      <c r="E6" s="3453" t="s">
        <v>1677</v>
      </c>
      <c r="F6" s="3454"/>
      <c r="G6" s="3446" t="s">
        <v>1677</v>
      </c>
      <c r="H6" s="3447"/>
      <c r="I6" s="3446" t="s">
        <v>1677</v>
      </c>
      <c r="J6" s="3447"/>
      <c r="K6" s="1741" t="s">
        <v>1678</v>
      </c>
      <c r="L6" s="2479"/>
      <c r="M6" s="2480"/>
      <c r="N6" s="2480"/>
      <c r="O6" s="2480"/>
      <c r="P6" s="3438"/>
      <c r="Q6" s="3439"/>
      <c r="R6" s="3442"/>
      <c r="S6" s="3443"/>
      <c r="T6" s="3444"/>
      <c r="U6" s="3445"/>
      <c r="V6" s="3427"/>
      <c r="W6" s="3427"/>
      <c r="X6" s="1262"/>
      <c r="Y6" s="3444"/>
      <c r="Z6" s="3445"/>
      <c r="AA6" s="3430"/>
      <c r="AB6" s="3430"/>
      <c r="AC6" s="3430"/>
    </row>
    <row r="7" spans="1:29" s="101" customFormat="1" ht="15.75" thickBot="1">
      <c r="A7" s="350" t="s">
        <v>1679</v>
      </c>
      <c r="B7" s="351"/>
      <c r="C7" s="352">
        <f>'数据-取费表'!B2</f>
        <v>45639</v>
      </c>
      <c r="D7" s="353">
        <v>100</v>
      </c>
      <c r="E7" s="354">
        <v>45627</v>
      </c>
      <c r="F7" s="355">
        <f>SUMIF(58:58,YEAR(E7)&amp;"-"&amp;MONTH(E7),59:59)</f>
        <v>100</v>
      </c>
      <c r="G7" s="354">
        <v>45627</v>
      </c>
      <c r="H7" s="353">
        <f>SUMIF(58:58,YEAR(G7)&amp;"-"&amp;MONTH(G7),59:59)</f>
        <v>100</v>
      </c>
      <c r="I7" s="354">
        <v>45627</v>
      </c>
      <c r="J7" s="353">
        <f>SUMIF(58:58,YEAR(I7)&amp;"-"&amp;MONTH(I7),59:59)</f>
        <v>100</v>
      </c>
      <c r="K7" s="1742"/>
      <c r="L7" s="2481"/>
      <c r="M7" s="2433"/>
      <c r="N7" s="2433"/>
      <c r="O7" s="2433"/>
      <c r="P7" s="3450" t="s">
        <v>1680</v>
      </c>
      <c r="Q7" s="3452"/>
      <c r="R7" s="661" t="s">
        <v>20</v>
      </c>
      <c r="S7" s="662">
        <f t="shared" ref="S7:S15" si="0">F7</f>
        <v>100</v>
      </c>
      <c r="T7" s="661" t="s">
        <v>20</v>
      </c>
      <c r="U7" s="662">
        <f t="shared" ref="U7:U15" si="1">H7</f>
        <v>100</v>
      </c>
      <c r="V7" s="661" t="s">
        <v>20</v>
      </c>
      <c r="W7" s="662">
        <f t="shared" ref="W7:W15" si="2">J7</f>
        <v>100</v>
      </c>
      <c r="X7" s="663"/>
      <c r="Y7" s="3450" t="s">
        <v>1680</v>
      </c>
      <c r="Z7" s="3451"/>
      <c r="AA7" s="50">
        <f>D7/F7</f>
        <v>1</v>
      </c>
      <c r="AB7" s="50">
        <f>D7/H7</f>
        <v>1</v>
      </c>
      <c r="AC7" s="50">
        <f>D7/J7</f>
        <v>1</v>
      </c>
    </row>
    <row r="8" spans="1:29" s="101" customFormat="1" ht="15.75" thickBot="1">
      <c r="A8" s="350" t="s">
        <v>1681</v>
      </c>
      <c r="B8" s="351"/>
      <c r="C8" s="356" t="s">
        <v>4254</v>
      </c>
      <c r="D8" s="353">
        <v>100</v>
      </c>
      <c r="E8" s="1743" t="s">
        <v>4254</v>
      </c>
      <c r="F8" s="355">
        <f>SUMIF(61:61,E8,62:62)-SUMIF(61:61,C8,62:62)+100</f>
        <v>100</v>
      </c>
      <c r="G8" s="1743" t="s">
        <v>4254</v>
      </c>
      <c r="H8" s="353">
        <f>SUMIF(61:61,G8,62:62)-SUMIF(61:61,C8,62:62)+100</f>
        <v>100</v>
      </c>
      <c r="I8" s="1743" t="s">
        <v>4254</v>
      </c>
      <c r="J8" s="353">
        <f>SUMIF(61:61,I8,62:62)-SUMIF(61:61,C8,62:62)+100</f>
        <v>100</v>
      </c>
      <c r="K8" s="1742"/>
      <c r="L8" s="2481"/>
      <c r="M8" s="2433"/>
      <c r="N8" s="2433"/>
      <c r="O8" s="2433"/>
      <c r="P8" s="3450" t="s">
        <v>1683</v>
      </c>
      <c r="Q8" s="3451"/>
      <c r="R8" s="661" t="s">
        <v>20</v>
      </c>
      <c r="S8" s="662">
        <f t="shared" si="0"/>
        <v>100</v>
      </c>
      <c r="T8" s="661" t="s">
        <v>20</v>
      </c>
      <c r="U8" s="662">
        <f t="shared" si="1"/>
        <v>100</v>
      </c>
      <c r="V8" s="661" t="s">
        <v>20</v>
      </c>
      <c r="W8" s="662">
        <f t="shared" si="2"/>
        <v>100</v>
      </c>
      <c r="X8" s="663"/>
      <c r="Y8" s="3450" t="s">
        <v>1683</v>
      </c>
      <c r="Z8" s="3451"/>
      <c r="AA8" s="50">
        <f t="shared" ref="AA8:AA19" si="3">D8/F8</f>
        <v>1</v>
      </c>
      <c r="AB8" s="50">
        <f t="shared" ref="AB8:AB19" si="4">D8/H8</f>
        <v>1</v>
      </c>
      <c r="AC8" s="50">
        <f t="shared" ref="AC8:AC19" si="5">D8/J8</f>
        <v>1</v>
      </c>
    </row>
    <row r="9" spans="1:29" s="101" customFormat="1">
      <c r="A9" s="357" t="s">
        <v>1684</v>
      </c>
      <c r="B9" s="59" t="s">
        <v>1685</v>
      </c>
      <c r="C9" s="3174" t="s">
        <v>4286</v>
      </c>
      <c r="D9" s="58">
        <v>100</v>
      </c>
      <c r="E9" s="359" t="s">
        <v>4016</v>
      </c>
      <c r="F9" s="59">
        <f>SUMIF(63:63,E9,64:64)-SUMIF(63:63,C9,64:64)+100</f>
        <v>100</v>
      </c>
      <c r="G9" s="359" t="s">
        <v>4016</v>
      </c>
      <c r="H9" s="58">
        <f>SUMIF(63:63,G9,64:64)-SUMIF(63:63,C9,64:64)+100</f>
        <v>100</v>
      </c>
      <c r="I9" s="359" t="s">
        <v>4016</v>
      </c>
      <c r="J9" s="58">
        <f>SUMIF(63:63,I9,64:64)-SUMIF(63:63,C9,64:64)+100</f>
        <v>100</v>
      </c>
      <c r="K9" s="1742"/>
      <c r="L9" s="2481"/>
      <c r="M9" s="2433"/>
      <c r="N9" s="2433"/>
      <c r="O9" s="2433"/>
      <c r="P9" s="3421" t="s">
        <v>1686</v>
      </c>
      <c r="Q9" s="528" t="str">
        <f t="shared" ref="Q9:Q15" si="6">B9</f>
        <v>用途</v>
      </c>
      <c r="R9" s="661" t="s">
        <v>14</v>
      </c>
      <c r="S9" s="662">
        <f t="shared" si="0"/>
        <v>100</v>
      </c>
      <c r="T9" s="661" t="s">
        <v>14</v>
      </c>
      <c r="U9" s="662">
        <f t="shared" si="1"/>
        <v>100</v>
      </c>
      <c r="V9" s="661" t="s">
        <v>14</v>
      </c>
      <c r="W9" s="662">
        <f t="shared" si="2"/>
        <v>100</v>
      </c>
      <c r="X9" s="663"/>
      <c r="Y9" s="3322"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1742"/>
      <c r="L10" s="2482"/>
      <c r="M10" s="2483"/>
      <c r="N10" s="2483"/>
      <c r="O10" s="2483"/>
      <c r="P10" s="3421"/>
      <c r="Q10" s="528" t="str">
        <f t="shared" si="6"/>
        <v>土地使用年限（年）</v>
      </c>
      <c r="R10" s="661" t="s">
        <v>14</v>
      </c>
      <c r="S10" s="662">
        <f t="shared" si="0"/>
        <v>100</v>
      </c>
      <c r="T10" s="661" t="s">
        <v>14</v>
      </c>
      <c r="U10" s="662">
        <f t="shared" si="1"/>
        <v>100</v>
      </c>
      <c r="V10" s="661" t="s">
        <v>14</v>
      </c>
      <c r="W10" s="662">
        <f t="shared" si="2"/>
        <v>100</v>
      </c>
      <c r="X10" s="663"/>
      <c r="Y10" s="3322"/>
      <c r="Z10" s="50" t="str">
        <f t="shared" si="7"/>
        <v>土地使用年限（年）</v>
      </c>
      <c r="AA10" s="50">
        <f t="shared" si="3"/>
        <v>1</v>
      </c>
      <c r="AB10" s="50">
        <f t="shared" si="4"/>
        <v>1</v>
      </c>
      <c r="AC10" s="50">
        <f t="shared" si="5"/>
        <v>1</v>
      </c>
    </row>
    <row r="11" spans="1:29" ht="15">
      <c r="A11" s="365"/>
      <c r="B11" s="362" t="s">
        <v>1689</v>
      </c>
      <c r="C11" s="366">
        <f>'土地比较法-住宅、综合'!C11</f>
        <v>1.8</v>
      </c>
      <c r="D11" s="117">
        <v>100</v>
      </c>
      <c r="E11" s="367">
        <v>2</v>
      </c>
      <c r="F11" s="362">
        <f>LOOKUP(E11,68:68,69:69)-LOOKUP(C11,68:68,69:69)+100</f>
        <v>99</v>
      </c>
      <c r="G11" s="366">
        <v>1.6</v>
      </c>
      <c r="H11" s="117">
        <f>LOOKUP(G11,68:68,69:69)-LOOKUP(C11,68:68,69:69)+100</f>
        <v>100</v>
      </c>
      <c r="I11" s="366">
        <v>1.6</v>
      </c>
      <c r="J11" s="117">
        <f>LOOKUP(I11,68:68,69:69)-LOOKUP(C11,68:68,69:69)+100</f>
        <v>100</v>
      </c>
      <c r="K11" s="363">
        <v>1</v>
      </c>
      <c r="L11" s="2484"/>
      <c r="M11" s="2480"/>
      <c r="N11" s="2480"/>
      <c r="O11" s="2480"/>
      <c r="P11" s="3421"/>
      <c r="Q11" s="528" t="str">
        <f t="shared" si="6"/>
        <v>容积率</v>
      </c>
      <c r="R11" s="661" t="s">
        <v>18</v>
      </c>
      <c r="S11" s="662">
        <f t="shared" si="0"/>
        <v>99</v>
      </c>
      <c r="T11" s="661" t="s">
        <v>18</v>
      </c>
      <c r="U11" s="662">
        <f t="shared" si="1"/>
        <v>100</v>
      </c>
      <c r="V11" s="661" t="s">
        <v>18</v>
      </c>
      <c r="W11" s="662">
        <f t="shared" si="2"/>
        <v>100</v>
      </c>
      <c r="X11" s="663"/>
      <c r="Y11" s="3322"/>
      <c r="Z11" s="50" t="str">
        <f t="shared" si="7"/>
        <v>容积率</v>
      </c>
      <c r="AA11" s="50">
        <f t="shared" si="3"/>
        <v>1.0101010101010102</v>
      </c>
      <c r="AB11" s="50">
        <f t="shared" si="4"/>
        <v>1</v>
      </c>
      <c r="AC11" s="50">
        <f t="shared" si="5"/>
        <v>1</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1"/>
      <c r="M12" s="2433"/>
      <c r="N12" s="2433"/>
      <c r="O12" s="2433"/>
      <c r="P12" s="3421"/>
      <c r="Q12" s="528">
        <f t="shared" si="6"/>
        <v>111</v>
      </c>
      <c r="R12" s="661" t="s">
        <v>18</v>
      </c>
      <c r="S12" s="662">
        <f t="shared" si="0"/>
        <v>100</v>
      </c>
      <c r="T12" s="661" t="s">
        <v>18</v>
      </c>
      <c r="U12" s="662">
        <f t="shared" si="1"/>
        <v>100</v>
      </c>
      <c r="V12" s="661" t="s">
        <v>18</v>
      </c>
      <c r="W12" s="662">
        <f t="shared" si="2"/>
        <v>100</v>
      </c>
      <c r="X12" s="663"/>
      <c r="Y12" s="3322"/>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5"/>
      <c r="M13" s="2480"/>
      <c r="N13" s="2480"/>
      <c r="O13" s="2480"/>
      <c r="P13" s="3421"/>
      <c r="Q13" s="528">
        <f t="shared" si="6"/>
        <v>111</v>
      </c>
      <c r="R13" s="661" t="s">
        <v>18</v>
      </c>
      <c r="S13" s="662">
        <f t="shared" si="0"/>
        <v>100</v>
      </c>
      <c r="T13" s="661" t="s">
        <v>18</v>
      </c>
      <c r="U13" s="662">
        <f t="shared" si="1"/>
        <v>100</v>
      </c>
      <c r="V13" s="661" t="s">
        <v>18</v>
      </c>
      <c r="W13" s="662">
        <f t="shared" si="2"/>
        <v>100</v>
      </c>
      <c r="X13" s="663"/>
      <c r="Y13" s="3322"/>
      <c r="Z13" s="50">
        <f t="shared" si="7"/>
        <v>111</v>
      </c>
      <c r="AA13" s="50">
        <f t="shared" si="3"/>
        <v>1</v>
      </c>
      <c r="AB13" s="50">
        <f t="shared" si="4"/>
        <v>1</v>
      </c>
      <c r="AC13" s="50">
        <f t="shared" si="5"/>
        <v>1</v>
      </c>
    </row>
    <row r="14" spans="1:29" ht="15.75"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5"/>
      <c r="M14" s="2480"/>
      <c r="N14" s="2480"/>
      <c r="O14" s="2480"/>
      <c r="P14" s="3421"/>
      <c r="Q14" s="528">
        <f t="shared" si="6"/>
        <v>111</v>
      </c>
      <c r="R14" s="661" t="s">
        <v>18</v>
      </c>
      <c r="S14" s="662">
        <f t="shared" si="0"/>
        <v>100</v>
      </c>
      <c r="T14" s="661" t="s">
        <v>18</v>
      </c>
      <c r="U14" s="662">
        <f t="shared" si="1"/>
        <v>100</v>
      </c>
      <c r="V14" s="661" t="s">
        <v>18</v>
      </c>
      <c r="W14" s="662">
        <f t="shared" si="2"/>
        <v>100</v>
      </c>
      <c r="X14" s="663"/>
      <c r="Y14" s="3322"/>
      <c r="Z14" s="50">
        <f t="shared" si="7"/>
        <v>111</v>
      </c>
      <c r="AA14" s="50">
        <f t="shared" si="3"/>
        <v>1</v>
      </c>
      <c r="AB14" s="50">
        <f t="shared" si="4"/>
        <v>1</v>
      </c>
      <c r="AC14" s="50">
        <f t="shared" si="5"/>
        <v>1</v>
      </c>
    </row>
    <row r="15" spans="1:29" ht="15">
      <c r="A15" s="377" t="s">
        <v>1690</v>
      </c>
      <c r="B15" s="57" t="s">
        <v>1257</v>
      </c>
      <c r="C15" s="1746" t="str">
        <f>估价对象房地状况!C3</f>
        <v>一般</v>
      </c>
      <c r="D15" s="378">
        <v>100</v>
      </c>
      <c r="E15" s="381"/>
      <c r="F15" s="378">
        <f>SUMIF(76:76,E16,77:77)-SUMIF(76:76,C16,77:77)+100</f>
        <v>100</v>
      </c>
      <c r="G15" s="379"/>
      <c r="H15" s="378">
        <f>SUMIF(76:76,G16,77:77)-SUMIF(76:76,C16,77:77)+100</f>
        <v>102</v>
      </c>
      <c r="I15" s="379"/>
      <c r="J15" s="378">
        <f>SUMIF(76:76,I16,77:77)-SUMIF(76:76,C16,77:77)+100</f>
        <v>100</v>
      </c>
      <c r="K15" s="382">
        <v>2</v>
      </c>
      <c r="L15" s="2485"/>
      <c r="M15" s="2480"/>
      <c r="N15" s="2480"/>
      <c r="O15" s="2480"/>
      <c r="P15" s="3491" t="s">
        <v>1691</v>
      </c>
      <c r="Q15" s="1260" t="str">
        <f t="shared" si="6"/>
        <v>居住社区成熟度</v>
      </c>
      <c r="R15" s="664" t="s">
        <v>18</v>
      </c>
      <c r="S15" s="665">
        <f t="shared" si="0"/>
        <v>100</v>
      </c>
      <c r="T15" s="664" t="s">
        <v>18</v>
      </c>
      <c r="U15" s="665">
        <f t="shared" si="1"/>
        <v>102</v>
      </c>
      <c r="V15" s="664" t="s">
        <v>18</v>
      </c>
      <c r="W15" s="665">
        <f t="shared" si="2"/>
        <v>100</v>
      </c>
      <c r="X15" s="1262"/>
      <c r="Y15" s="3423" t="s">
        <v>1691</v>
      </c>
      <c r="Z15" s="1261" t="str">
        <f t="shared" si="7"/>
        <v>居住社区成熟度</v>
      </c>
      <c r="AA15" s="1261">
        <f t="shared" si="3"/>
        <v>1</v>
      </c>
      <c r="AB15" s="1261">
        <f t="shared" si="4"/>
        <v>0.98039215686274506</v>
      </c>
      <c r="AC15" s="1261">
        <f t="shared" si="5"/>
        <v>1</v>
      </c>
    </row>
    <row r="16" spans="1:29" ht="15">
      <c r="A16" s="365"/>
      <c r="B16" s="383"/>
      <c r="C16" s="384" t="s">
        <v>4242</v>
      </c>
      <c r="D16" s="385"/>
      <c r="E16" s="1747" t="s">
        <v>4242</v>
      </c>
      <c r="F16" s="385"/>
      <c r="G16" s="1748" t="s">
        <v>4245</v>
      </c>
      <c r="H16" s="387"/>
      <c r="I16" s="1748" t="s">
        <v>4242</v>
      </c>
      <c r="J16" s="385"/>
      <c r="K16" s="1749"/>
      <c r="L16" s="2485"/>
      <c r="M16" s="2480"/>
      <c r="N16" s="2480"/>
      <c r="O16" s="2480"/>
      <c r="P16" s="3492"/>
      <c r="Q16" s="1260"/>
      <c r="R16" s="664"/>
      <c r="S16" s="665"/>
      <c r="T16" s="664"/>
      <c r="U16" s="665"/>
      <c r="V16" s="664"/>
      <c r="W16" s="665"/>
      <c r="X16" s="1262"/>
      <c r="Y16" s="3424"/>
      <c r="Z16" s="1261"/>
      <c r="AA16" s="1261">
        <v>1</v>
      </c>
      <c r="AB16" s="1261">
        <v>1</v>
      </c>
      <c r="AC16" s="1261">
        <v>1</v>
      </c>
    </row>
    <row r="17" spans="1:29" ht="15">
      <c r="A17" s="365"/>
      <c r="B17" s="388" t="s">
        <v>1259</v>
      </c>
      <c r="C17" s="1750" t="str">
        <f>估价对象房地状况!C6</f>
        <v>一般</v>
      </c>
      <c r="D17" s="387">
        <v>100</v>
      </c>
      <c r="E17" s="391"/>
      <c r="F17" s="387">
        <f>SUMIF(78:78,E18,79:79)-SUMIF(78:78,C18,79:79)+100</f>
        <v>100</v>
      </c>
      <c r="G17" s="389"/>
      <c r="H17" s="392">
        <f>SUMIF(78:78,G18,79:79)-SUMIF(78:78,C18,79:79)+100</f>
        <v>100</v>
      </c>
      <c r="I17" s="389"/>
      <c r="J17" s="392">
        <f>SUMIF(78:78,I18,79:79)-SUMIF(78:78,C18,79:79)+100</f>
        <v>100</v>
      </c>
      <c r="K17" s="382">
        <v>2</v>
      </c>
      <c r="L17" s="2485"/>
      <c r="M17" s="2480"/>
      <c r="N17" s="2480"/>
      <c r="O17" s="2480"/>
      <c r="P17" s="3492"/>
      <c r="Q17" s="1260" t="str">
        <f>B17</f>
        <v>交通便捷度</v>
      </c>
      <c r="R17" s="664" t="s">
        <v>18</v>
      </c>
      <c r="S17" s="665">
        <f>F17</f>
        <v>100</v>
      </c>
      <c r="T17" s="664" t="s">
        <v>18</v>
      </c>
      <c r="U17" s="665">
        <f>H17</f>
        <v>100</v>
      </c>
      <c r="V17" s="664" t="s">
        <v>18</v>
      </c>
      <c r="W17" s="665">
        <f>J17</f>
        <v>100</v>
      </c>
      <c r="X17" s="1262"/>
      <c r="Y17" s="3424"/>
      <c r="Z17" s="1261" t="str">
        <f>Q17</f>
        <v>交通便捷度</v>
      </c>
      <c r="AA17" s="1261">
        <f t="shared" si="3"/>
        <v>1</v>
      </c>
      <c r="AB17" s="1261">
        <f t="shared" si="4"/>
        <v>1</v>
      </c>
      <c r="AC17" s="1261">
        <f t="shared" si="5"/>
        <v>1</v>
      </c>
    </row>
    <row r="18" spans="1:29" ht="15">
      <c r="A18" s="365"/>
      <c r="B18" s="393"/>
      <c r="C18" s="384" t="s">
        <v>4242</v>
      </c>
      <c r="D18" s="387"/>
      <c r="E18" s="1752" t="s">
        <v>4242</v>
      </c>
      <c r="F18" s="387"/>
      <c r="G18" s="1753" t="s">
        <v>4242</v>
      </c>
      <c r="H18" s="385"/>
      <c r="I18" s="1753" t="s">
        <v>4242</v>
      </c>
      <c r="J18" s="385"/>
      <c r="K18" s="1749"/>
      <c r="L18" s="2485"/>
      <c r="M18" s="2480"/>
      <c r="N18" s="2480"/>
      <c r="O18" s="2480"/>
      <c r="P18" s="3492"/>
      <c r="Q18" s="1260"/>
      <c r="R18" s="664"/>
      <c r="S18" s="665"/>
      <c r="T18" s="664"/>
      <c r="U18" s="665"/>
      <c r="V18" s="664"/>
      <c r="W18" s="665"/>
      <c r="X18" s="1262"/>
      <c r="Y18" s="3424"/>
      <c r="Z18" s="1261"/>
      <c r="AA18" s="1261">
        <v>1</v>
      </c>
      <c r="AB18" s="1261">
        <v>1</v>
      </c>
      <c r="AC18" s="1261">
        <v>1</v>
      </c>
    </row>
    <row r="19" spans="1:29" ht="15">
      <c r="A19" s="365"/>
      <c r="B19" s="388" t="s">
        <v>1258</v>
      </c>
      <c r="C19" s="1750" t="str">
        <f>估价对象房地状况!C7</f>
        <v>一般</v>
      </c>
      <c r="D19" s="392">
        <v>100</v>
      </c>
      <c r="E19" s="396"/>
      <c r="F19" s="392">
        <f>SUMIF(80:80,E20,81:81)-SUMIF(80:80,C20,81:81)+100</f>
        <v>100</v>
      </c>
      <c r="G19" s="394"/>
      <c r="H19" s="387">
        <f>SUMIF(80:80,G20,81:81)-SUMIF(80:80,C20,81:81)+100</f>
        <v>102</v>
      </c>
      <c r="I19" s="394"/>
      <c r="J19" s="387">
        <f>SUMIF(80:80,I20,81:81)-SUMIF(80:80,C20,81:81)+100</f>
        <v>100</v>
      </c>
      <c r="K19" s="382">
        <v>2</v>
      </c>
      <c r="L19" s="2485"/>
      <c r="M19" s="2480"/>
      <c r="N19" s="2480"/>
      <c r="O19" s="2480"/>
      <c r="P19" s="3492"/>
      <c r="Q19" s="1260" t="str">
        <f>B19</f>
        <v>公共配套设施</v>
      </c>
      <c r="R19" s="664" t="s">
        <v>18</v>
      </c>
      <c r="S19" s="665">
        <f>F19</f>
        <v>100</v>
      </c>
      <c r="T19" s="664" t="s">
        <v>18</v>
      </c>
      <c r="U19" s="665">
        <f>H19</f>
        <v>102</v>
      </c>
      <c r="V19" s="664" t="s">
        <v>18</v>
      </c>
      <c r="W19" s="665">
        <f>J19</f>
        <v>100</v>
      </c>
      <c r="X19" s="1262"/>
      <c r="Y19" s="3424"/>
      <c r="Z19" s="1261" t="str">
        <f>Q19</f>
        <v>公共配套设施</v>
      </c>
      <c r="AA19" s="1261">
        <f t="shared" si="3"/>
        <v>1</v>
      </c>
      <c r="AB19" s="1261">
        <f t="shared" si="4"/>
        <v>0.98039215686274506</v>
      </c>
      <c r="AC19" s="1261">
        <f t="shared" si="5"/>
        <v>1</v>
      </c>
    </row>
    <row r="20" spans="1:29" ht="15">
      <c r="A20" s="365"/>
      <c r="B20" s="393"/>
      <c r="C20" s="384" t="s">
        <v>4242</v>
      </c>
      <c r="D20" s="385"/>
      <c r="E20" s="1747" t="s">
        <v>4242</v>
      </c>
      <c r="F20" s="385"/>
      <c r="G20" s="1748" t="s">
        <v>4245</v>
      </c>
      <c r="H20" s="385"/>
      <c r="I20" s="1748" t="s">
        <v>4242</v>
      </c>
      <c r="J20" s="385"/>
      <c r="K20" s="1749"/>
      <c r="L20" s="2485"/>
      <c r="M20" s="2480"/>
      <c r="N20" s="2480"/>
      <c r="O20" s="2480"/>
      <c r="P20" s="3492"/>
      <c r="Q20" s="1260"/>
      <c r="R20" s="664"/>
      <c r="S20" s="665"/>
      <c r="T20" s="664"/>
      <c r="U20" s="665"/>
      <c r="V20" s="664"/>
      <c r="W20" s="665"/>
      <c r="X20" s="1262"/>
      <c r="Y20" s="3424"/>
      <c r="Z20" s="1261"/>
      <c r="AA20" s="1261">
        <v>1</v>
      </c>
      <c r="AB20" s="1261">
        <v>1</v>
      </c>
      <c r="AC20" s="1261">
        <v>1</v>
      </c>
    </row>
    <row r="21" spans="1:29" ht="15">
      <c r="A21" s="365"/>
      <c r="B21" s="584" t="s">
        <v>1260</v>
      </c>
      <c r="C21" s="1750"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v>1</v>
      </c>
      <c r="L21" s="2485"/>
      <c r="M21" s="2480"/>
      <c r="N21" s="2480"/>
      <c r="O21" s="2480"/>
      <c r="P21" s="3492"/>
      <c r="Q21" s="1260" t="str">
        <f>B21</f>
        <v>基础设施水平</v>
      </c>
      <c r="R21" s="664" t="s">
        <v>14</v>
      </c>
      <c r="S21" s="665">
        <f>F21</f>
        <v>100</v>
      </c>
      <c r="T21" s="664" t="s">
        <v>14</v>
      </c>
      <c r="U21" s="665">
        <f>H21</f>
        <v>100</v>
      </c>
      <c r="V21" s="664" t="s">
        <v>14</v>
      </c>
      <c r="W21" s="665">
        <f>J21</f>
        <v>100</v>
      </c>
      <c r="X21" s="1262"/>
      <c r="Y21" s="3424"/>
      <c r="Z21" s="1261" t="str">
        <f>Q21</f>
        <v>基础设施水平</v>
      </c>
      <c r="AA21" s="1261">
        <f t="shared" ref="AA21" si="8">D21/F21</f>
        <v>1</v>
      </c>
      <c r="AB21" s="1261">
        <f t="shared" ref="AB21" si="9">D21/H21</f>
        <v>1</v>
      </c>
      <c r="AC21" s="1261">
        <f t="shared" ref="AC21" si="10">D21/J21</f>
        <v>1</v>
      </c>
    </row>
    <row r="22" spans="1:29" ht="15">
      <c r="A22" s="365"/>
      <c r="B22" s="584"/>
      <c r="C22" s="384" t="s">
        <v>4236</v>
      </c>
      <c r="D22" s="385"/>
      <c r="E22" s="384" t="s">
        <v>4236</v>
      </c>
      <c r="F22" s="385"/>
      <c r="G22" s="1754" t="s">
        <v>4236</v>
      </c>
      <c r="H22" s="385"/>
      <c r="I22" s="384" t="s">
        <v>4236</v>
      </c>
      <c r="J22" s="385"/>
      <c r="K22" s="1755"/>
      <c r="L22" s="2485"/>
      <c r="M22" s="2480"/>
      <c r="N22" s="2480"/>
      <c r="O22" s="2480"/>
      <c r="P22" s="3492"/>
      <c r="Q22" s="1260"/>
      <c r="R22" s="664"/>
      <c r="S22" s="665"/>
      <c r="T22" s="664"/>
      <c r="U22" s="665"/>
      <c r="V22" s="664"/>
      <c r="W22" s="665"/>
      <c r="X22" s="1262"/>
      <c r="Y22" s="3424"/>
      <c r="Z22" s="1261"/>
      <c r="AA22" s="1261">
        <v>1</v>
      </c>
      <c r="AB22" s="1261">
        <v>1</v>
      </c>
      <c r="AC22" s="1261">
        <v>1</v>
      </c>
    </row>
    <row r="23" spans="1:29" ht="15">
      <c r="A23" s="365"/>
      <c r="B23" s="388" t="s">
        <v>1261</v>
      </c>
      <c r="C23" s="1750" t="str">
        <f>估价对象房地状况!C9</f>
        <v>一般</v>
      </c>
      <c r="D23" s="387">
        <v>100</v>
      </c>
      <c r="E23" s="391"/>
      <c r="F23" s="387">
        <f>SUMIF(84:84,E24,85:85)-SUMIF(84:84,C24,85:85)+100</f>
        <v>100</v>
      </c>
      <c r="G23" s="389"/>
      <c r="H23" s="387">
        <f>SUMIF(84:84,G24,85:85)-SUMIF(84:84,C24,85:85)+100</f>
        <v>100</v>
      </c>
      <c r="I23" s="389"/>
      <c r="J23" s="387">
        <f>SUMIF(84:84,I24,85:85)-SUMIF(84:84,C24,85:85)+100</f>
        <v>100</v>
      </c>
      <c r="K23" s="382">
        <f>'土地比较法-住宅、综合'!K25</f>
        <v>2</v>
      </c>
      <c r="L23" s="2485"/>
      <c r="M23" s="2480"/>
      <c r="N23" s="2480"/>
      <c r="O23" s="2480"/>
      <c r="P23" s="3492"/>
      <c r="Q23" s="1260" t="str">
        <f>B23</f>
        <v>自然及人文环境</v>
      </c>
      <c r="R23" s="664" t="s">
        <v>18</v>
      </c>
      <c r="S23" s="665">
        <f>F23</f>
        <v>100</v>
      </c>
      <c r="T23" s="664" t="s">
        <v>18</v>
      </c>
      <c r="U23" s="665">
        <f>H23</f>
        <v>100</v>
      </c>
      <c r="V23" s="664" t="s">
        <v>18</v>
      </c>
      <c r="W23" s="665">
        <f>J23</f>
        <v>100</v>
      </c>
      <c r="X23" s="1262"/>
      <c r="Y23" s="3424"/>
      <c r="Z23" s="1261" t="str">
        <f>Q23</f>
        <v>自然及人文环境</v>
      </c>
      <c r="AA23" s="1261">
        <f>D23/F23</f>
        <v>1</v>
      </c>
      <c r="AB23" s="1261">
        <f>D23/H23</f>
        <v>1</v>
      </c>
      <c r="AC23" s="1261">
        <f>D23/J23</f>
        <v>1</v>
      </c>
    </row>
    <row r="24" spans="1:29" ht="15">
      <c r="A24" s="365"/>
      <c r="B24" s="393"/>
      <c r="C24" s="384" t="s">
        <v>4242</v>
      </c>
      <c r="D24" s="385"/>
      <c r="E24" s="384" t="s">
        <v>4242</v>
      </c>
      <c r="F24" s="385"/>
      <c r="G24" s="384" t="s">
        <v>4242</v>
      </c>
      <c r="H24" s="385"/>
      <c r="I24" s="384" t="s">
        <v>4242</v>
      </c>
      <c r="J24" s="385"/>
      <c r="K24" s="1749"/>
      <c r="L24" s="2485"/>
      <c r="M24" s="2480"/>
      <c r="N24" s="2480"/>
      <c r="O24" s="2480"/>
      <c r="P24" s="3492"/>
      <c r="Q24" s="1260"/>
      <c r="R24" s="664"/>
      <c r="S24" s="665"/>
      <c r="T24" s="664"/>
      <c r="U24" s="665"/>
      <c r="V24" s="664"/>
      <c r="W24" s="665"/>
      <c r="X24" s="1262"/>
      <c r="Y24" s="3424"/>
      <c r="Z24" s="1261"/>
      <c r="AA24" s="1261">
        <v>1</v>
      </c>
      <c r="AB24" s="1261">
        <v>1</v>
      </c>
      <c r="AC24" s="1261">
        <v>1</v>
      </c>
    </row>
    <row r="25" spans="1:29" ht="15">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5"/>
      <c r="M25" s="2480"/>
      <c r="N25" s="2480"/>
      <c r="O25" s="2480"/>
      <c r="P25" s="3492"/>
      <c r="Q25" s="1260" t="str">
        <f t="shared" ref="Q25:Q46" si="11">B25</f>
        <v>楼层-1</v>
      </c>
      <c r="R25" s="664" t="s">
        <v>18</v>
      </c>
      <c r="S25" s="665">
        <f t="shared" ref="S25:S46" si="12">F25</f>
        <v>100</v>
      </c>
      <c r="T25" s="664" t="s">
        <v>18</v>
      </c>
      <c r="U25" s="665">
        <f t="shared" ref="U25:U46" si="13">H25</f>
        <v>100</v>
      </c>
      <c r="V25" s="664" t="s">
        <v>18</v>
      </c>
      <c r="W25" s="665">
        <f t="shared" ref="W25:W46" si="14">J25</f>
        <v>100</v>
      </c>
      <c r="X25" s="1262"/>
      <c r="Y25" s="3424"/>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6"/>
      <c r="F26" s="372">
        <f>SUMIF(88:88,E26,89:89)-SUMIF(88:88,C26,89:89)+100</f>
        <v>100</v>
      </c>
      <c r="G26" s="1757"/>
      <c r="H26" s="372">
        <f>SUMIF(88:88,G26,89:89)-SUMIF(88:88,C26,89:89)+100</f>
        <v>100</v>
      </c>
      <c r="I26" s="1757"/>
      <c r="J26" s="372">
        <f>SUMIF(88:88,I26,89:89)-SUMIF(88:88,C26,89:89)+100</f>
        <v>100</v>
      </c>
      <c r="K26" s="363"/>
      <c r="L26" s="2485"/>
      <c r="M26" s="2480"/>
      <c r="N26" s="2480"/>
      <c r="O26" s="2480"/>
      <c r="P26" s="3492"/>
      <c r="Q26" s="1260" t="str">
        <f t="shared" si="11"/>
        <v>朝向</v>
      </c>
      <c r="R26" s="664" t="s">
        <v>18</v>
      </c>
      <c r="S26" s="665">
        <f t="shared" si="12"/>
        <v>100</v>
      </c>
      <c r="T26" s="664" t="s">
        <v>18</v>
      </c>
      <c r="U26" s="665">
        <f t="shared" si="13"/>
        <v>100</v>
      </c>
      <c r="V26" s="664" t="s">
        <v>18</v>
      </c>
      <c r="W26" s="665">
        <f t="shared" si="14"/>
        <v>100</v>
      </c>
      <c r="X26" s="1262"/>
      <c r="Y26" s="3424"/>
      <c r="Z26" s="1261" t="str">
        <f>Q26</f>
        <v>朝向</v>
      </c>
      <c r="AA26" s="1261">
        <f t="shared" si="15"/>
        <v>1</v>
      </c>
      <c r="AB26" s="1261">
        <f t="shared" si="16"/>
        <v>1</v>
      </c>
      <c r="AC26" s="1261">
        <f t="shared" si="17"/>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4"/>
      <c r="L27" s="2481"/>
      <c r="M27" s="2433"/>
      <c r="N27" s="2433"/>
      <c r="O27" s="2433"/>
      <c r="P27" s="3492"/>
      <c r="Q27" s="528">
        <f t="shared" si="11"/>
        <v>111</v>
      </c>
      <c r="R27" s="661" t="s">
        <v>18</v>
      </c>
      <c r="S27" s="662">
        <f t="shared" si="12"/>
        <v>100</v>
      </c>
      <c r="T27" s="661" t="s">
        <v>18</v>
      </c>
      <c r="U27" s="662">
        <f t="shared" si="13"/>
        <v>100</v>
      </c>
      <c r="V27" s="661" t="s">
        <v>18</v>
      </c>
      <c r="W27" s="662">
        <f t="shared" si="14"/>
        <v>100</v>
      </c>
      <c r="X27" s="663"/>
      <c r="Y27" s="3424"/>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8"/>
      <c r="H28" s="372">
        <f>SUMIF(92:92,G28,93:93)-SUMIF(92:92,C28,93:93)+100</f>
        <v>100</v>
      </c>
      <c r="I28" s="371"/>
      <c r="J28" s="372">
        <f>SUMIF(92:92,I28,93:93)-SUMIF(92:92,C28,93:93)+100</f>
        <v>100</v>
      </c>
      <c r="K28" s="1744"/>
      <c r="L28" s="2485"/>
      <c r="M28" s="2480"/>
      <c r="N28" s="2480"/>
      <c r="O28" s="2480"/>
      <c r="P28" s="3492"/>
      <c r="Q28" s="1260">
        <f t="shared" si="11"/>
        <v>111</v>
      </c>
      <c r="R28" s="664" t="s">
        <v>18</v>
      </c>
      <c r="S28" s="665">
        <f t="shared" si="12"/>
        <v>100</v>
      </c>
      <c r="T28" s="664" t="s">
        <v>18</v>
      </c>
      <c r="U28" s="665">
        <f t="shared" si="13"/>
        <v>100</v>
      </c>
      <c r="V28" s="664" t="s">
        <v>18</v>
      </c>
      <c r="W28" s="665">
        <f t="shared" si="14"/>
        <v>100</v>
      </c>
      <c r="X28" s="1262"/>
      <c r="Y28" s="3424"/>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8"/>
      <c r="H29" s="372">
        <f>SUMIF(94:94,G29,95:95)-SUMIF(94:94,C29,95:95)+100</f>
        <v>100</v>
      </c>
      <c r="I29" s="371"/>
      <c r="J29" s="372">
        <f>SUMIF(94:94,I29,95:95)-SUMIF(94:94,C29,95:95)+100</f>
        <v>100</v>
      </c>
      <c r="K29" s="1744"/>
      <c r="L29" s="2485"/>
      <c r="M29" s="2480"/>
      <c r="N29" s="2480"/>
      <c r="O29" s="2480"/>
      <c r="P29" s="3492"/>
      <c r="Q29" s="1260">
        <f t="shared" si="11"/>
        <v>111</v>
      </c>
      <c r="R29" s="664" t="s">
        <v>18</v>
      </c>
      <c r="S29" s="665">
        <f t="shared" si="12"/>
        <v>100</v>
      </c>
      <c r="T29" s="664" t="s">
        <v>18</v>
      </c>
      <c r="U29" s="665">
        <f t="shared" si="13"/>
        <v>100</v>
      </c>
      <c r="V29" s="664" t="s">
        <v>18</v>
      </c>
      <c r="W29" s="665">
        <f t="shared" si="14"/>
        <v>100</v>
      </c>
      <c r="X29" s="1262"/>
      <c r="Y29" s="3424"/>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8"/>
      <c r="H30" s="372">
        <f>SUMIF(96:96,G30,97:97)-SUMIF(96:96,C30,97:97)+100</f>
        <v>100</v>
      </c>
      <c r="I30" s="371"/>
      <c r="J30" s="372">
        <f>SUMIF(96:96,I30,97:97)-SUMIF(96:96,C30,97:97)+100</f>
        <v>100</v>
      </c>
      <c r="K30" s="1744"/>
      <c r="L30" s="2485"/>
      <c r="M30" s="2480"/>
      <c r="N30" s="2480"/>
      <c r="O30" s="2480"/>
      <c r="P30" s="3492"/>
      <c r="Q30" s="1260">
        <f t="shared" si="11"/>
        <v>111</v>
      </c>
      <c r="R30" s="664" t="s">
        <v>18</v>
      </c>
      <c r="S30" s="665">
        <f t="shared" si="12"/>
        <v>100</v>
      </c>
      <c r="T30" s="664" t="s">
        <v>18</v>
      </c>
      <c r="U30" s="665">
        <f t="shared" si="13"/>
        <v>100</v>
      </c>
      <c r="V30" s="664" t="s">
        <v>18</v>
      </c>
      <c r="W30" s="665">
        <f t="shared" si="14"/>
        <v>100</v>
      </c>
      <c r="X30" s="1262"/>
      <c r="Y30" s="3424"/>
      <c r="Z30" s="1261">
        <f t="shared" si="18"/>
        <v>111</v>
      </c>
      <c r="AA30" s="1261">
        <f t="shared" si="15"/>
        <v>1</v>
      </c>
      <c r="AB30" s="1261">
        <f t="shared" si="16"/>
        <v>1</v>
      </c>
      <c r="AC30" s="1261">
        <f t="shared" si="17"/>
        <v>1</v>
      </c>
    </row>
    <row r="31" spans="1:29" ht="15.75" thickBot="1">
      <c r="A31" s="373"/>
      <c r="B31" s="1063">
        <v>111</v>
      </c>
      <c r="C31" s="374"/>
      <c r="D31" s="375">
        <v>100</v>
      </c>
      <c r="E31" s="374"/>
      <c r="F31" s="375">
        <f>SUMIF(98:98,E31,99:99)-SUMIF(98:98,C31,99:99)+100</f>
        <v>100</v>
      </c>
      <c r="G31" s="1759"/>
      <c r="H31" s="375">
        <f>SUMIF(98:98,G31,99:99)-SUMIF(98:98,C31,99:99)+100</f>
        <v>100</v>
      </c>
      <c r="I31" s="374"/>
      <c r="J31" s="375">
        <f>SUMIF(98:98,I31,99:99)-SUMIF(98:98,C31,99:99)+100</f>
        <v>100</v>
      </c>
      <c r="K31" s="1744"/>
      <c r="L31" s="2485"/>
      <c r="M31" s="2480"/>
      <c r="N31" s="2480"/>
      <c r="O31" s="2480"/>
      <c r="P31" s="3492"/>
      <c r="Q31" s="1260">
        <f t="shared" si="11"/>
        <v>111</v>
      </c>
      <c r="R31" s="664" t="s">
        <v>18</v>
      </c>
      <c r="S31" s="665">
        <f t="shared" si="12"/>
        <v>100</v>
      </c>
      <c r="T31" s="664" t="s">
        <v>18</v>
      </c>
      <c r="U31" s="665">
        <f t="shared" si="13"/>
        <v>100</v>
      </c>
      <c r="V31" s="664" t="s">
        <v>18</v>
      </c>
      <c r="W31" s="665">
        <f t="shared" si="14"/>
        <v>100</v>
      </c>
      <c r="X31" s="1262"/>
      <c r="Y31" s="3424"/>
      <c r="Z31" s="1261">
        <f t="shared" si="18"/>
        <v>111</v>
      </c>
      <c r="AA31" s="1261">
        <f t="shared" si="15"/>
        <v>1</v>
      </c>
      <c r="AB31" s="1261">
        <f t="shared" si="16"/>
        <v>1</v>
      </c>
      <c r="AC31" s="1261">
        <f t="shared" si="17"/>
        <v>1</v>
      </c>
    </row>
    <row r="32" spans="1:29" ht="15">
      <c r="A32" s="377" t="s">
        <v>1694</v>
      </c>
      <c r="B32" s="59" t="s">
        <v>1695</v>
      </c>
      <c r="C32" s="1761" t="s">
        <v>4255</v>
      </c>
      <c r="D32" s="403">
        <v>100</v>
      </c>
      <c r="E32" s="1761" t="s">
        <v>4255</v>
      </c>
      <c r="F32" s="398">
        <f>SUMIF(100:100,E32,101:101)-SUMIF(100:100,C32,101:101)+100</f>
        <v>100</v>
      </c>
      <c r="G32" s="1760" t="s">
        <v>4255</v>
      </c>
      <c r="H32" s="403">
        <f>SUMIF(100:100,G32,101:101)-SUMIF(100:100,C32,101:101)+100</f>
        <v>100</v>
      </c>
      <c r="I32" s="1761" t="s">
        <v>4255</v>
      </c>
      <c r="J32" s="372">
        <f>SUMIF(100:100,I32,101:101)-SUMIF(100:100,C32,101:101)+100</f>
        <v>100</v>
      </c>
      <c r="K32" s="363">
        <v>3</v>
      </c>
      <c r="L32" s="2485"/>
      <c r="M32" s="2480"/>
      <c r="N32" s="2480"/>
      <c r="O32" s="2480"/>
      <c r="P32" s="3487" t="s">
        <v>1696</v>
      </c>
      <c r="Q32" s="1260" t="str">
        <f t="shared" si="11"/>
        <v>建筑类型</v>
      </c>
      <c r="R32" s="664" t="s">
        <v>18</v>
      </c>
      <c r="S32" s="665">
        <f t="shared" si="12"/>
        <v>100</v>
      </c>
      <c r="T32" s="664" t="s">
        <v>18</v>
      </c>
      <c r="U32" s="665">
        <f t="shared" si="13"/>
        <v>100</v>
      </c>
      <c r="V32" s="664" t="s">
        <v>18</v>
      </c>
      <c r="W32" s="665">
        <f t="shared" si="14"/>
        <v>100</v>
      </c>
      <c r="X32" s="1262"/>
      <c r="Y32" s="3426" t="s">
        <v>1696</v>
      </c>
      <c r="Z32" s="1261" t="str">
        <f t="shared" si="18"/>
        <v>建筑类型</v>
      </c>
      <c r="AA32" s="1261">
        <f t="shared" si="15"/>
        <v>1</v>
      </c>
      <c r="AB32" s="1261">
        <f t="shared" si="16"/>
        <v>1</v>
      </c>
      <c r="AC32" s="1261">
        <f t="shared" si="17"/>
        <v>1</v>
      </c>
    </row>
    <row r="33" spans="1:29" s="406" customFormat="1" ht="15">
      <c r="A33" s="404"/>
      <c r="B33" s="362" t="s">
        <v>1697</v>
      </c>
      <c r="C33" s="367">
        <f>预测绘!D29</f>
        <v>143914.11000000002</v>
      </c>
      <c r="D33" s="117">
        <v>100</v>
      </c>
      <c r="E33" s="367">
        <v>84773.22</v>
      </c>
      <c r="F33" s="362">
        <f>LOOKUP(E33,103:103,104:104)-LOOKUP(C33,103:103,104:104)+100</f>
        <v>100</v>
      </c>
      <c r="G33" s="366">
        <v>110709.69</v>
      </c>
      <c r="H33" s="117">
        <f>LOOKUP(G33,103:103,104:104)-LOOKUP(C33,103:103,104:104)+100</f>
        <v>100</v>
      </c>
      <c r="I33" s="367">
        <v>83593.919999999998</v>
      </c>
      <c r="J33" s="117">
        <f>LOOKUP(I33,103:103,104:104)-LOOKUP(C33,103:103,104:104)+100</f>
        <v>100</v>
      </c>
      <c r="K33" s="1744"/>
      <c r="L33" s="2484"/>
      <c r="M33" s="2486"/>
      <c r="N33" s="2486"/>
      <c r="O33" s="2486"/>
      <c r="P33" s="3488"/>
      <c r="Q33" s="529" t="str">
        <f t="shared" si="11"/>
        <v>项目建筑规模</v>
      </c>
      <c r="R33" s="666" t="s">
        <v>18</v>
      </c>
      <c r="S33" s="667">
        <f t="shared" si="12"/>
        <v>100</v>
      </c>
      <c r="T33" s="666" t="s">
        <v>18</v>
      </c>
      <c r="U33" s="667">
        <f t="shared" si="13"/>
        <v>100</v>
      </c>
      <c r="V33" s="666" t="s">
        <v>18</v>
      </c>
      <c r="W33" s="667">
        <f t="shared" si="14"/>
        <v>100</v>
      </c>
      <c r="X33" s="668"/>
      <c r="Y33" s="3426"/>
      <c r="Z33" s="669" t="str">
        <f t="shared" si="18"/>
        <v>项目建筑规模</v>
      </c>
      <c r="AA33" s="1261">
        <f t="shared" si="15"/>
        <v>1</v>
      </c>
      <c r="AB33" s="1261">
        <f t="shared" si="16"/>
        <v>1</v>
      </c>
      <c r="AC33" s="1261">
        <f t="shared" si="17"/>
        <v>1</v>
      </c>
    </row>
    <row r="34" spans="1:29" ht="15">
      <c r="A34" s="407"/>
      <c r="B34" s="362" t="s">
        <v>1698</v>
      </c>
      <c r="C34" s="1762" t="s">
        <v>4256</v>
      </c>
      <c r="D34" s="372">
        <v>100</v>
      </c>
      <c r="E34" s="1762" t="s">
        <v>4256</v>
      </c>
      <c r="F34" s="398">
        <f>SUMIF(105:105,E34,106:106)-SUMIF(105:105,C34,106:106)+100</f>
        <v>100</v>
      </c>
      <c r="G34" s="397" t="s">
        <v>4256</v>
      </c>
      <c r="H34" s="372">
        <f>SUMIF(105:105,G34,106:106)-SUMIF(105:105,C34,106:106)+100</f>
        <v>100</v>
      </c>
      <c r="I34" s="1762" t="s">
        <v>4256</v>
      </c>
      <c r="J34" s="372">
        <f>SUMIF(105:105,I34,106:106)-SUMIF(105:105,C34,106:106)+100</f>
        <v>100</v>
      </c>
      <c r="K34" s="363">
        <v>2</v>
      </c>
      <c r="L34" s="2485"/>
      <c r="M34" s="2480"/>
      <c r="N34" s="2480"/>
      <c r="O34" s="2480"/>
      <c r="P34" s="3488"/>
      <c r="Q34" s="1260" t="str">
        <f t="shared" si="11"/>
        <v>建筑结构</v>
      </c>
      <c r="R34" s="664" t="s">
        <v>18</v>
      </c>
      <c r="S34" s="665">
        <f t="shared" si="12"/>
        <v>100</v>
      </c>
      <c r="T34" s="664" t="s">
        <v>18</v>
      </c>
      <c r="U34" s="665">
        <f t="shared" si="13"/>
        <v>100</v>
      </c>
      <c r="V34" s="664" t="s">
        <v>18</v>
      </c>
      <c r="W34" s="665">
        <f t="shared" si="14"/>
        <v>100</v>
      </c>
      <c r="X34" s="1262"/>
      <c r="Y34" s="3426"/>
      <c r="Z34" s="1261" t="str">
        <f t="shared" si="18"/>
        <v>建筑结构</v>
      </c>
      <c r="AA34" s="1261">
        <f t="shared" si="15"/>
        <v>1</v>
      </c>
      <c r="AB34" s="1261">
        <f t="shared" si="16"/>
        <v>1</v>
      </c>
      <c r="AC34" s="1261">
        <f t="shared" si="17"/>
        <v>1</v>
      </c>
    </row>
    <row r="35" spans="1:29" ht="15">
      <c r="A35" s="407"/>
      <c r="B35" s="362" t="s">
        <v>1699</v>
      </c>
      <c r="C35" s="1757" t="s">
        <v>4257</v>
      </c>
      <c r="D35" s="372">
        <v>100</v>
      </c>
      <c r="E35" s="1757" t="s">
        <v>4257</v>
      </c>
      <c r="F35" s="398">
        <f>SUMIF(107:107,E35,108:108)-SUMIF(107:107,C35,108:108)+100</f>
        <v>100</v>
      </c>
      <c r="G35" s="1756" t="s">
        <v>4263</v>
      </c>
      <c r="H35" s="372">
        <f>SUMIF(107:107,G35,108:108)-SUMIF(107:107,C35,108:108)+100</f>
        <v>105</v>
      </c>
      <c r="I35" s="1757" t="s">
        <v>4257</v>
      </c>
      <c r="J35" s="372">
        <f>SUMIF(107:107,I35,108:108)-SUMIF(107:107,C35,108:108)+100</f>
        <v>100</v>
      </c>
      <c r="K35" s="363">
        <v>5</v>
      </c>
      <c r="L35" s="2485"/>
      <c r="M35" s="2480"/>
      <c r="N35" s="2480"/>
      <c r="O35" s="2480"/>
      <c r="P35" s="3488"/>
      <c r="Q35" s="1260" t="str">
        <f t="shared" si="11"/>
        <v>建筑品质</v>
      </c>
      <c r="R35" s="664" t="s">
        <v>18</v>
      </c>
      <c r="S35" s="665">
        <f t="shared" si="12"/>
        <v>100</v>
      </c>
      <c r="T35" s="664" t="s">
        <v>18</v>
      </c>
      <c r="U35" s="665">
        <f t="shared" si="13"/>
        <v>105</v>
      </c>
      <c r="V35" s="664" t="s">
        <v>18</v>
      </c>
      <c r="W35" s="665">
        <f t="shared" si="14"/>
        <v>100</v>
      </c>
      <c r="X35" s="1262"/>
      <c r="Y35" s="3426"/>
      <c r="Z35" s="1261" t="str">
        <f t="shared" si="18"/>
        <v>建筑品质</v>
      </c>
      <c r="AA35" s="1261">
        <f t="shared" si="15"/>
        <v>1</v>
      </c>
      <c r="AB35" s="1261">
        <f t="shared" si="16"/>
        <v>0.95238095238095233</v>
      </c>
      <c r="AC35" s="1261">
        <f t="shared" si="17"/>
        <v>1</v>
      </c>
    </row>
    <row r="36" spans="1:29" ht="15">
      <c r="A36" s="407"/>
      <c r="B36" s="362" t="s">
        <v>1700</v>
      </c>
      <c r="C36" s="1757" t="s">
        <v>4258</v>
      </c>
      <c r="D36" s="372">
        <v>100</v>
      </c>
      <c r="E36" s="1757" t="s">
        <v>4258</v>
      </c>
      <c r="F36" s="398">
        <f>SUMIF(109:109,E36,110:110)-SUMIF(109:109,C36,110:110)+100</f>
        <v>100</v>
      </c>
      <c r="G36" s="1756" t="s">
        <v>4258</v>
      </c>
      <c r="H36" s="372">
        <f>SUMIF(109:109,G36,110:110)-SUMIF(109:109,C36,110:110)+100</f>
        <v>100</v>
      </c>
      <c r="I36" s="1757" t="s">
        <v>4258</v>
      </c>
      <c r="J36" s="372">
        <f>SUMIF(109:109,I36,110:110)-SUMIF(109:109,C36,110:110)+100</f>
        <v>100</v>
      </c>
      <c r="K36" s="363">
        <v>2</v>
      </c>
      <c r="L36" s="2485"/>
      <c r="M36" s="2480"/>
      <c r="N36" s="2480"/>
      <c r="O36" s="2480"/>
      <c r="P36" s="3488"/>
      <c r="Q36" s="1260" t="str">
        <f t="shared" si="11"/>
        <v>公共部分装修</v>
      </c>
      <c r="R36" s="664" t="s">
        <v>18</v>
      </c>
      <c r="S36" s="665">
        <f t="shared" si="12"/>
        <v>100</v>
      </c>
      <c r="T36" s="664" t="s">
        <v>18</v>
      </c>
      <c r="U36" s="665">
        <f t="shared" si="13"/>
        <v>100</v>
      </c>
      <c r="V36" s="664" t="s">
        <v>18</v>
      </c>
      <c r="W36" s="665">
        <f t="shared" si="14"/>
        <v>100</v>
      </c>
      <c r="X36" s="1262"/>
      <c r="Y36" s="3426"/>
      <c r="Z36" s="1261" t="str">
        <f t="shared" si="18"/>
        <v>公共部分装修</v>
      </c>
      <c r="AA36" s="1261">
        <f t="shared" si="15"/>
        <v>1</v>
      </c>
      <c r="AB36" s="1261">
        <f t="shared" si="16"/>
        <v>1</v>
      </c>
      <c r="AC36" s="1261">
        <f t="shared" si="17"/>
        <v>1</v>
      </c>
    </row>
    <row r="37" spans="1:29" s="101" customFormat="1" ht="15">
      <c r="A37" s="408"/>
      <c r="B37" s="362" t="s">
        <v>1701</v>
      </c>
      <c r="C37" s="409">
        <v>1</v>
      </c>
      <c r="D37" s="117">
        <v>100</v>
      </c>
      <c r="E37" s="409">
        <v>1</v>
      </c>
      <c r="F37" s="362">
        <f>LOOKUP(E37,112:112,113:113)-LOOKUP(C37,112:112,113:113)+100</f>
        <v>100</v>
      </c>
      <c r="G37" s="411">
        <v>1</v>
      </c>
      <c r="H37" s="117">
        <f>LOOKUP(G37,112:112,113:113)-LOOKUP(C37,112:112,113:113)+100</f>
        <v>100</v>
      </c>
      <c r="I37" s="410">
        <v>1</v>
      </c>
      <c r="J37" s="117">
        <f>LOOKUP(I37,112:112,113:113)-LOOKUP(C37,112:112,113:113)+100</f>
        <v>100</v>
      </c>
      <c r="K37" s="363">
        <v>1</v>
      </c>
      <c r="L37" s="2481"/>
      <c r="M37" s="2433"/>
      <c r="N37" s="2433"/>
      <c r="O37" s="2433"/>
      <c r="P37" s="3488"/>
      <c r="Q37" s="528" t="str">
        <f t="shared" si="11"/>
        <v>成新度</v>
      </c>
      <c r="R37" s="661" t="s">
        <v>18</v>
      </c>
      <c r="S37" s="662">
        <f t="shared" si="12"/>
        <v>100</v>
      </c>
      <c r="T37" s="661" t="s">
        <v>18</v>
      </c>
      <c r="U37" s="662">
        <f t="shared" si="13"/>
        <v>100</v>
      </c>
      <c r="V37" s="661" t="s">
        <v>18</v>
      </c>
      <c r="W37" s="662">
        <f t="shared" si="14"/>
        <v>100</v>
      </c>
      <c r="X37" s="663"/>
      <c r="Y37" s="3426"/>
      <c r="Z37" s="50" t="str">
        <f t="shared" si="18"/>
        <v>成新度</v>
      </c>
      <c r="AA37" s="50">
        <f t="shared" si="15"/>
        <v>1</v>
      </c>
      <c r="AB37" s="50">
        <f t="shared" si="16"/>
        <v>1</v>
      </c>
      <c r="AC37" s="50">
        <f t="shared" si="17"/>
        <v>1</v>
      </c>
    </row>
    <row r="38" spans="1:29" ht="15">
      <c r="A38" s="407"/>
      <c r="B38" s="362" t="s">
        <v>1702</v>
      </c>
      <c r="C38" s="1757" t="s">
        <v>4259</v>
      </c>
      <c r="D38" s="372">
        <v>100</v>
      </c>
      <c r="E38" s="1757" t="s">
        <v>4259</v>
      </c>
      <c r="F38" s="398">
        <f>SUMIF(114:114,E38,115:115)-SUMIF(114:114,C38,115:115)+100</f>
        <v>100</v>
      </c>
      <c r="G38" s="1756" t="s">
        <v>4259</v>
      </c>
      <c r="H38" s="372">
        <f>SUMIF(114:114,G38,115:115)-SUMIF(114:114,C38,115:115)+100</f>
        <v>100</v>
      </c>
      <c r="I38" s="1757" t="s">
        <v>4259</v>
      </c>
      <c r="J38" s="372">
        <f>SUMIF(114:114,I38,115:115)-SUMIF(114:114,C38,115:115)+100</f>
        <v>100</v>
      </c>
      <c r="K38" s="363">
        <v>2</v>
      </c>
      <c r="L38" s="2485"/>
      <c r="M38" s="2480"/>
      <c r="N38" s="2480"/>
      <c r="O38" s="2480"/>
      <c r="P38" s="3488" t="s">
        <v>1696</v>
      </c>
      <c r="Q38" s="1260" t="str">
        <f t="shared" si="11"/>
        <v>物业管理</v>
      </c>
      <c r="R38" s="664" t="s">
        <v>18</v>
      </c>
      <c r="S38" s="665">
        <f t="shared" si="12"/>
        <v>100</v>
      </c>
      <c r="T38" s="664" t="s">
        <v>18</v>
      </c>
      <c r="U38" s="665">
        <f t="shared" si="13"/>
        <v>100</v>
      </c>
      <c r="V38" s="664" t="s">
        <v>18</v>
      </c>
      <c r="W38" s="665">
        <f t="shared" si="14"/>
        <v>100</v>
      </c>
      <c r="X38" s="1262"/>
      <c r="Y38" s="3426" t="s">
        <v>1696</v>
      </c>
      <c r="Z38" s="1261" t="str">
        <f t="shared" si="18"/>
        <v>物业管理</v>
      </c>
      <c r="AA38" s="1261">
        <f t="shared" si="15"/>
        <v>1</v>
      </c>
      <c r="AB38" s="1261">
        <f t="shared" si="16"/>
        <v>1</v>
      </c>
      <c r="AC38" s="1261">
        <f t="shared" si="17"/>
        <v>1</v>
      </c>
    </row>
    <row r="39" spans="1:29" ht="15">
      <c r="A39" s="407"/>
      <c r="B39" s="362" t="s">
        <v>1703</v>
      </c>
      <c r="C39" s="1757" t="s">
        <v>4236</v>
      </c>
      <c r="D39" s="372">
        <v>100</v>
      </c>
      <c r="E39" s="1757" t="s">
        <v>4236</v>
      </c>
      <c r="F39" s="398">
        <f>SUMIF(116:116,E39,117:117)-SUMIF(116:116,C39,117:117)+100</f>
        <v>100</v>
      </c>
      <c r="G39" s="1756" t="s">
        <v>4236</v>
      </c>
      <c r="H39" s="372">
        <f>SUMIF(116:116,G39,117:117)-SUMIF(116:116,C39,117:117)+100</f>
        <v>100</v>
      </c>
      <c r="I39" s="1757" t="s">
        <v>4236</v>
      </c>
      <c r="J39" s="372">
        <f>SUMIF(116:116,I39,117:117)-SUMIF(116:116,C39,117:117)+100</f>
        <v>100</v>
      </c>
      <c r="K39" s="363">
        <v>1</v>
      </c>
      <c r="L39" s="2485"/>
      <c r="M39" s="2480"/>
      <c r="N39" s="2480"/>
      <c r="O39" s="2480"/>
      <c r="P39" s="3488"/>
      <c r="Q39" s="1260" t="str">
        <f t="shared" si="11"/>
        <v>市政基础设施</v>
      </c>
      <c r="R39" s="664" t="s">
        <v>18</v>
      </c>
      <c r="S39" s="665">
        <f t="shared" si="12"/>
        <v>100</v>
      </c>
      <c r="T39" s="664" t="s">
        <v>18</v>
      </c>
      <c r="U39" s="665">
        <f t="shared" si="13"/>
        <v>100</v>
      </c>
      <c r="V39" s="664" t="s">
        <v>18</v>
      </c>
      <c r="W39" s="665">
        <f t="shared" si="14"/>
        <v>100</v>
      </c>
      <c r="X39" s="1262"/>
      <c r="Y39" s="3426"/>
      <c r="Z39" s="1261" t="str">
        <f t="shared" si="18"/>
        <v>市政基础设施</v>
      </c>
      <c r="AA39" s="1261">
        <f t="shared" si="15"/>
        <v>1</v>
      </c>
      <c r="AB39" s="1261">
        <f t="shared" si="16"/>
        <v>1</v>
      </c>
      <c r="AC39" s="1261">
        <f t="shared" si="17"/>
        <v>1</v>
      </c>
    </row>
    <row r="40" spans="1:29" ht="15">
      <c r="A40" s="407"/>
      <c r="B40" s="362" t="s">
        <v>1704</v>
      </c>
      <c r="C40" s="1756"/>
      <c r="D40" s="372">
        <v>100</v>
      </c>
      <c r="E40" s="1757"/>
      <c r="F40" s="398">
        <f>SUMIF(118:118,E40,119:119)-SUMIF(118:118,C40,119:119)+100</f>
        <v>100</v>
      </c>
      <c r="G40" s="1756"/>
      <c r="H40" s="372">
        <f>SUMIF(118:118,G40,119:119)-SUMIF(118:118,C40,119:119)+100</f>
        <v>100</v>
      </c>
      <c r="I40" s="1757"/>
      <c r="J40" s="372">
        <f>SUMIF(118:118,I40,119:119)-SUMIF(118:118,C40,119:119)+100</f>
        <v>100</v>
      </c>
      <c r="K40" s="363"/>
      <c r="L40" s="2485"/>
      <c r="M40" s="2480"/>
      <c r="N40" s="2480"/>
      <c r="O40" s="2480"/>
      <c r="P40" s="3488"/>
      <c r="Q40" s="1260" t="str">
        <f t="shared" si="11"/>
        <v>房型</v>
      </c>
      <c r="R40" s="664" t="s">
        <v>18</v>
      </c>
      <c r="S40" s="665">
        <f t="shared" si="12"/>
        <v>100</v>
      </c>
      <c r="T40" s="664" t="s">
        <v>18</v>
      </c>
      <c r="U40" s="665">
        <f t="shared" si="13"/>
        <v>100</v>
      </c>
      <c r="V40" s="664" t="s">
        <v>18</v>
      </c>
      <c r="W40" s="665">
        <f t="shared" si="14"/>
        <v>100</v>
      </c>
      <c r="X40" s="1262"/>
      <c r="Y40" s="3426"/>
      <c r="Z40" s="1261" t="str">
        <f t="shared" si="18"/>
        <v>房型</v>
      </c>
      <c r="AA40" s="1261">
        <f t="shared" si="15"/>
        <v>1</v>
      </c>
      <c r="AB40" s="1261">
        <f t="shared" si="16"/>
        <v>1</v>
      </c>
      <c r="AC40" s="1261">
        <f t="shared" si="17"/>
        <v>1</v>
      </c>
    </row>
    <row r="41" spans="1:29" s="406" customFormat="1" ht="28.5">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4"/>
      <c r="M41" s="2486"/>
      <c r="N41" s="2486"/>
      <c r="O41" s="2486"/>
      <c r="P41" s="3488"/>
      <c r="Q41" s="529" t="str">
        <f t="shared" si="11"/>
        <v>单套/主力户型建筑面积</v>
      </c>
      <c r="R41" s="666" t="s">
        <v>18</v>
      </c>
      <c r="S41" s="667">
        <f t="shared" si="12"/>
        <v>100</v>
      </c>
      <c r="T41" s="666" t="s">
        <v>18</v>
      </c>
      <c r="U41" s="667">
        <f t="shared" si="13"/>
        <v>100</v>
      </c>
      <c r="V41" s="666" t="s">
        <v>18</v>
      </c>
      <c r="W41" s="667">
        <f t="shared" si="14"/>
        <v>100</v>
      </c>
      <c r="X41" s="668"/>
      <c r="Y41" s="3426"/>
      <c r="Z41" s="669" t="str">
        <f t="shared" si="18"/>
        <v>单套/主力户型建筑面积</v>
      </c>
      <c r="AA41" s="1261">
        <f t="shared" si="15"/>
        <v>1</v>
      </c>
      <c r="AB41" s="1261">
        <f t="shared" si="16"/>
        <v>1</v>
      </c>
      <c r="AC41" s="1261">
        <f t="shared" si="17"/>
        <v>1</v>
      </c>
    </row>
    <row r="42" spans="1:29" ht="15">
      <c r="A42" s="407"/>
      <c r="B42" s="362" t="s">
        <v>1706</v>
      </c>
      <c r="C42" s="1757" t="s">
        <v>4258</v>
      </c>
      <c r="D42" s="372">
        <v>100</v>
      </c>
      <c r="E42" s="1757" t="s">
        <v>4258</v>
      </c>
      <c r="F42" s="398">
        <f>SUMIF(122:122,E42,123:123)-SUMIF(122:122,C42,123:123)+100</f>
        <v>100</v>
      </c>
      <c r="G42" s="1756" t="s">
        <v>4258</v>
      </c>
      <c r="H42" s="372">
        <f>SUMIF(122:122,G42,123:123)-SUMIF(122:122,C42,123:123)+100</f>
        <v>100</v>
      </c>
      <c r="I42" s="1757" t="s">
        <v>4258</v>
      </c>
      <c r="J42" s="372">
        <f>SUMIF(122:122,I42,123:123)-SUMIF(122:122,C42,123:123)+100</f>
        <v>100</v>
      </c>
      <c r="K42" s="363">
        <v>2</v>
      </c>
      <c r="L42" s="2485"/>
      <c r="M42" s="2480"/>
      <c r="N42" s="2480"/>
      <c r="O42" s="2480"/>
      <c r="P42" s="3488"/>
      <c r="Q42" s="1260" t="str">
        <f t="shared" si="11"/>
        <v>内部装修</v>
      </c>
      <c r="R42" s="664" t="s">
        <v>18</v>
      </c>
      <c r="S42" s="665">
        <f t="shared" si="12"/>
        <v>100</v>
      </c>
      <c r="T42" s="664" t="s">
        <v>18</v>
      </c>
      <c r="U42" s="665">
        <f t="shared" si="13"/>
        <v>100</v>
      </c>
      <c r="V42" s="664" t="s">
        <v>18</v>
      </c>
      <c r="W42" s="665">
        <f t="shared" si="14"/>
        <v>100</v>
      </c>
      <c r="X42" s="1262"/>
      <c r="Y42" s="3426"/>
      <c r="Z42" s="1261" t="str">
        <f t="shared" si="18"/>
        <v>内部装修</v>
      </c>
      <c r="AA42" s="1261">
        <f t="shared" si="15"/>
        <v>1</v>
      </c>
      <c r="AB42" s="1261">
        <f t="shared" si="16"/>
        <v>1</v>
      </c>
      <c r="AC42" s="1261">
        <f t="shared" si="17"/>
        <v>1</v>
      </c>
    </row>
    <row r="43" spans="1:29" ht="15">
      <c r="A43" s="407"/>
      <c r="B43" s="362" t="s">
        <v>1707</v>
      </c>
      <c r="C43" s="1757" t="s">
        <v>4245</v>
      </c>
      <c r="D43" s="372">
        <v>100</v>
      </c>
      <c r="E43" s="1757" t="s">
        <v>4245</v>
      </c>
      <c r="F43" s="398">
        <f>SUMIF(124:124,E43,125:125)-SUMIF(124:124,C43,125:125)+100</f>
        <v>100</v>
      </c>
      <c r="G43" s="1756" t="s">
        <v>4245</v>
      </c>
      <c r="H43" s="372">
        <f>SUMIF(124:124,G43,125:125)-SUMIF(124:124,C43,125:125)+100</f>
        <v>100</v>
      </c>
      <c r="I43" s="1757" t="s">
        <v>4245</v>
      </c>
      <c r="J43" s="372">
        <f>SUMIF(124:124,I43,125:125)-SUMIF(124:124,C43,125:125)+100</f>
        <v>100</v>
      </c>
      <c r="K43" s="363">
        <v>2</v>
      </c>
      <c r="L43" s="2485"/>
      <c r="M43" s="2480"/>
      <c r="N43" s="2480"/>
      <c r="O43" s="2480"/>
      <c r="P43" s="3488"/>
      <c r="Q43" s="1260" t="str">
        <f t="shared" si="11"/>
        <v>内部装修维护情况</v>
      </c>
      <c r="R43" s="664" t="s">
        <v>18</v>
      </c>
      <c r="S43" s="665">
        <f t="shared" si="12"/>
        <v>100</v>
      </c>
      <c r="T43" s="664" t="s">
        <v>18</v>
      </c>
      <c r="U43" s="665">
        <f t="shared" si="13"/>
        <v>100</v>
      </c>
      <c r="V43" s="664" t="s">
        <v>18</v>
      </c>
      <c r="W43" s="665">
        <f t="shared" si="14"/>
        <v>100</v>
      </c>
      <c r="X43" s="1262"/>
      <c r="Y43" s="3426"/>
      <c r="Z43" s="1261" t="str">
        <f t="shared" si="18"/>
        <v>内部装修维护情况</v>
      </c>
      <c r="AA43" s="1261">
        <f t="shared" si="15"/>
        <v>1</v>
      </c>
      <c r="AB43" s="1261">
        <f t="shared" si="16"/>
        <v>1</v>
      </c>
      <c r="AC43" s="1261">
        <f t="shared" si="17"/>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4"/>
      <c r="L44" s="2481"/>
      <c r="M44" s="2433"/>
      <c r="N44" s="2433"/>
      <c r="O44" s="2433"/>
      <c r="P44" s="3488"/>
      <c r="Q44" s="528">
        <f t="shared" si="11"/>
        <v>111</v>
      </c>
      <c r="R44" s="661" t="s">
        <v>18</v>
      </c>
      <c r="S44" s="662">
        <f t="shared" si="12"/>
        <v>100</v>
      </c>
      <c r="T44" s="661" t="s">
        <v>18</v>
      </c>
      <c r="U44" s="662">
        <f t="shared" si="13"/>
        <v>100</v>
      </c>
      <c r="V44" s="661" t="s">
        <v>18</v>
      </c>
      <c r="W44" s="662">
        <f t="shared" si="14"/>
        <v>100</v>
      </c>
      <c r="X44" s="663"/>
      <c r="Y44" s="3426"/>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4"/>
      <c r="L45" s="2485"/>
      <c r="M45" s="2480"/>
      <c r="N45" s="2480"/>
      <c r="O45" s="2480"/>
      <c r="P45" s="3488"/>
      <c r="Q45" s="1260">
        <f t="shared" si="11"/>
        <v>111</v>
      </c>
      <c r="R45" s="664" t="s">
        <v>18</v>
      </c>
      <c r="S45" s="665">
        <f t="shared" si="12"/>
        <v>100</v>
      </c>
      <c r="T45" s="664" t="s">
        <v>18</v>
      </c>
      <c r="U45" s="665">
        <f t="shared" si="13"/>
        <v>100</v>
      </c>
      <c r="V45" s="664" t="s">
        <v>18</v>
      </c>
      <c r="W45" s="665">
        <f t="shared" si="14"/>
        <v>100</v>
      </c>
      <c r="X45" s="1262"/>
      <c r="Y45" s="3426"/>
      <c r="Z45" s="1261">
        <f t="shared" si="18"/>
        <v>111</v>
      </c>
      <c r="AA45" s="1261">
        <f t="shared" si="15"/>
        <v>1</v>
      </c>
      <c r="AB45" s="1261">
        <f t="shared" si="16"/>
        <v>1</v>
      </c>
      <c r="AC45" s="1261">
        <f t="shared" si="17"/>
        <v>1</v>
      </c>
    </row>
    <row r="46" spans="1:29" ht="15.75"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5"/>
      <c r="M46" s="2480"/>
      <c r="N46" s="2480"/>
      <c r="O46" s="2480"/>
      <c r="P46" s="3489"/>
      <c r="Q46" s="1260">
        <f t="shared" si="11"/>
        <v>111</v>
      </c>
      <c r="R46" s="664" t="s">
        <v>17</v>
      </c>
      <c r="S46" s="665">
        <f t="shared" si="12"/>
        <v>100</v>
      </c>
      <c r="T46" s="664" t="s">
        <v>17</v>
      </c>
      <c r="U46" s="665">
        <f t="shared" si="13"/>
        <v>100</v>
      </c>
      <c r="V46" s="664" t="s">
        <v>17</v>
      </c>
      <c r="W46" s="665">
        <f t="shared" si="14"/>
        <v>100</v>
      </c>
      <c r="X46" s="1262"/>
      <c r="Y46" s="3490"/>
      <c r="Z46" s="1261">
        <f t="shared" si="18"/>
        <v>111</v>
      </c>
      <c r="AA46" s="1261">
        <f t="shared" si="15"/>
        <v>1</v>
      </c>
      <c r="AB46" s="1261">
        <f t="shared" si="16"/>
        <v>1</v>
      </c>
      <c r="AC46" s="1261">
        <f t="shared" si="17"/>
        <v>1</v>
      </c>
    </row>
    <row r="47" spans="1:29" ht="15">
      <c r="A47" s="414" t="s">
        <v>1708</v>
      </c>
      <c r="B47" s="415"/>
      <c r="C47" s="1078" t="s">
        <v>16</v>
      </c>
      <c r="D47" s="416"/>
      <c r="E47" s="417">
        <v>37801</v>
      </c>
      <c r="F47" s="418"/>
      <c r="G47" s="419">
        <v>42765</v>
      </c>
      <c r="H47" s="420"/>
      <c r="I47" s="417">
        <v>36430</v>
      </c>
      <c r="J47" s="420"/>
      <c r="K47" s="1763"/>
      <c r="L47" s="2487"/>
      <c r="M47" s="2480"/>
      <c r="N47" s="2480"/>
      <c r="O47" s="2480"/>
      <c r="P47" s="3422" t="str">
        <f>A47</f>
        <v>成交单价（元/平方米）</v>
      </c>
      <c r="Q47" s="3422"/>
      <c r="R47" s="3427">
        <f>E47</f>
        <v>37801</v>
      </c>
      <c r="S47" s="3427"/>
      <c r="T47" s="3427">
        <f>G47</f>
        <v>42765</v>
      </c>
      <c r="U47" s="3427"/>
      <c r="V47" s="3427">
        <f>I47</f>
        <v>36430</v>
      </c>
      <c r="W47" s="3427"/>
      <c r="X47" s="383"/>
      <c r="Y47" s="670"/>
      <c r="Z47" s="383"/>
      <c r="AA47" s="383"/>
      <c r="AB47" s="383"/>
      <c r="AC47" s="383"/>
    </row>
    <row r="48" spans="1:29" ht="15.75" thickBot="1">
      <c r="A48" s="421" t="s">
        <v>1709</v>
      </c>
      <c r="B48" s="422"/>
      <c r="C48" s="1079">
        <f>R49</f>
        <v>37920</v>
      </c>
      <c r="D48" s="2137" t="s">
        <v>2137</v>
      </c>
      <c r="E48" s="1080">
        <f>R48</f>
        <v>38183</v>
      </c>
      <c r="F48" s="2138"/>
      <c r="G48" s="1079">
        <f>T48</f>
        <v>39147</v>
      </c>
      <c r="H48" s="2138"/>
      <c r="I48" s="1080">
        <f>V48</f>
        <v>36430</v>
      </c>
      <c r="J48" s="2138"/>
      <c r="K48" s="2139">
        <f>F48+H48+J48</f>
        <v>0</v>
      </c>
      <c r="L48" s="2487"/>
      <c r="M48" s="2480"/>
      <c r="N48" s="2480"/>
      <c r="O48" s="2480"/>
      <c r="P48" s="3422" t="str">
        <f>A48</f>
        <v>比较价值（元/平方米）</v>
      </c>
      <c r="Q48" s="3422"/>
      <c r="R48" s="3427">
        <f>IF(F1="售价",ROUND(PRODUCT(R47,AA7:AA46),0),ROUND(PRODUCT(R47,AA7:AA46),1))</f>
        <v>38183</v>
      </c>
      <c r="S48" s="3427"/>
      <c r="T48" s="3427">
        <f>IF(F1="售价",ROUND(PRODUCT(T47,AB7:AB46),0),ROUND(PRODUCT(T47,AB7:AB46),1))</f>
        <v>39147</v>
      </c>
      <c r="U48" s="3427"/>
      <c r="V48" s="3427">
        <f>IF(F1="售价",ROUND(PRODUCT(V47,AC7:AC46),0),ROUND(PRODUCT(V47,AC7:AC46),1))</f>
        <v>36430</v>
      </c>
      <c r="W48" s="3427"/>
      <c r="X48" s="383"/>
      <c r="Y48" s="383"/>
      <c r="Z48" s="383"/>
      <c r="AA48" s="383"/>
      <c r="AB48" s="383"/>
      <c r="AC48" s="383"/>
    </row>
    <row r="49" spans="1:29" ht="15.75" thickBot="1">
      <c r="A49" s="425" t="s">
        <v>1710</v>
      </c>
      <c r="B49" s="426"/>
      <c r="C49" s="1081">
        <f>R49</f>
        <v>37920</v>
      </c>
      <c r="D49" s="349"/>
      <c r="E49" s="349"/>
      <c r="F49" s="349"/>
      <c r="G49" s="349"/>
      <c r="H49" s="349"/>
      <c r="I49" s="349"/>
      <c r="J49" s="349"/>
      <c r="K49" s="1764"/>
      <c r="L49" s="2487"/>
      <c r="M49" s="2480"/>
      <c r="N49" s="2480"/>
      <c r="O49" s="2480"/>
      <c r="P49" s="3416" t="str">
        <f>A49</f>
        <v>估价对象XX用房的比较价值（楼面单价，元/平方米）</v>
      </c>
      <c r="Q49" s="3417"/>
      <c r="R49" s="3486">
        <f>IF(F1="售价",ROUND(IF(D48="简单平均",AVERAGE(R48:V48),R48*F48+T48*H48+V48*J48),0),ROUND(IF(D48="简单平均",AVERAGE(R48:V48),R48*F48+T48*H48+V48*J48),1))</f>
        <v>37920</v>
      </c>
      <c r="S49" s="3486"/>
      <c r="T49" s="3486"/>
      <c r="U49" s="3486"/>
      <c r="V49" s="3486"/>
      <c r="W49" s="3486"/>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1711</v>
      </c>
      <c r="D52" s="431"/>
      <c r="E52" s="432">
        <f>IF(E47&lt;E48,E48/E47-1,E47/E48-1)</f>
        <v>1.0105552763154391E-2</v>
      </c>
      <c r="F52" s="433" t="str">
        <f>IF(OR(E52&gt;=0.3,E52&lt;=-0.3),"超过30%","")</f>
        <v/>
      </c>
      <c r="G52" s="432">
        <f>IF(G47&lt;G48,G48/G47-1,G47/G48-1)</f>
        <v>9.2420875162847693E-2</v>
      </c>
      <c r="H52" s="433" t="str">
        <f>IF(OR(G52&gt;=0.3,G52&lt;=-0.3),"超过30%","")</f>
        <v/>
      </c>
      <c r="I52" s="432">
        <f>IF(I47&lt;I48,I48/I47-1,I47/I48-1)</f>
        <v>0</v>
      </c>
      <c r="J52" s="433" t="str">
        <f>IF(OR(I52&gt;=0.3,I52&lt;=-0.3),"超过30%","")</f>
        <v/>
      </c>
      <c r="K52" s="2492"/>
      <c r="L52" s="2488"/>
      <c r="M52" s="2480"/>
      <c r="N52" s="2480"/>
      <c r="O52" s="2480"/>
    </row>
    <row r="53" spans="1:29" ht="13.5" customHeight="1">
      <c r="A53" s="2480"/>
      <c r="B53" s="2480"/>
      <c r="C53" s="430" t="s">
        <v>1712</v>
      </c>
      <c r="D53" s="434"/>
      <c r="E53" s="432">
        <f>IF(E48&lt;G48,G48/E48-1,E48/G48-1)</f>
        <v>2.524683759788382E-2</v>
      </c>
      <c r="F53" s="433" t="str">
        <f>IF(OR(E53&gt;=0.2,E53&lt;=-0.2),"超过20%","")</f>
        <v/>
      </c>
      <c r="G53" s="432">
        <f>IF(G48&lt;I48,I48/G48-1,G48/I48-1)</f>
        <v>7.4581388965138551E-2</v>
      </c>
      <c r="H53" s="433" t="str">
        <f>IF(OR(G53&gt;=0.2,G53&lt;=-0.2),"超过20%","")</f>
        <v/>
      </c>
      <c r="I53" s="432">
        <f>IF(I48&lt;E48,E48/I48-1,I48/E48-1)</f>
        <v>4.811968158111446E-2</v>
      </c>
      <c r="J53" s="433" t="str">
        <f>IF(OR(I53&gt;=0.2,I53&lt;=-0.2),"超过20%","")</f>
        <v/>
      </c>
      <c r="K53" s="2492"/>
      <c r="L53" s="2488"/>
      <c r="M53" s="2480"/>
      <c r="N53" s="2480"/>
      <c r="O53" s="2480"/>
    </row>
    <row r="54" spans="1:29" s="435" customFormat="1" ht="13.5" customHeight="1">
      <c r="A54" s="2490"/>
      <c r="B54" s="2490"/>
      <c r="C54" s="430" t="s">
        <v>1713</v>
      </c>
      <c r="D54" s="434"/>
      <c r="E54" s="432">
        <f>IF(E47&lt;G47,G47/E47-1,E47/G47-1)</f>
        <v>0.13131927726779713</v>
      </c>
      <c r="F54" s="433" t="str">
        <f>IF(OR(E54&gt;=0.3,E54&lt;=-0.3),"超过30%","")</f>
        <v/>
      </c>
      <c r="G54" s="432">
        <f>IF(G47&lt;I47,I47/G47-1,G47/I47-1)</f>
        <v>0.17389514136700512</v>
      </c>
      <c r="H54" s="433" t="str">
        <f>IF(OR(G54&gt;=0.3,G54&lt;=-0.3),"超过30%","")</f>
        <v/>
      </c>
      <c r="I54" s="432">
        <f>IF(I47&lt;E47,E47/I47-1,I47/E47-1)</f>
        <v>3.7633818281636033E-2</v>
      </c>
      <c r="J54" s="433" t="str">
        <f>IF(OR(I54&gt;=0.3,I54&lt;=-0.3),"超过30%","")</f>
        <v/>
      </c>
      <c r="K54" s="2495"/>
      <c r="L54" s="2489"/>
      <c r="M54" s="2490"/>
      <c r="N54" s="2490"/>
      <c r="O54" s="2490"/>
      <c r="P54" s="1766"/>
    </row>
    <row r="55" spans="1:29" s="435" customFormat="1">
      <c r="A55" s="2490"/>
      <c r="B55" s="2493"/>
      <c r="C55" s="2494"/>
      <c r="D55" s="2490"/>
      <c r="E55" s="2490"/>
      <c r="F55" s="2490"/>
      <c r="G55" s="2490"/>
      <c r="H55" s="2490"/>
      <c r="I55" s="2490"/>
      <c r="J55" s="2490"/>
      <c r="K55" s="2495"/>
      <c r="L55" s="2489"/>
      <c r="M55" s="2490"/>
      <c r="N55" s="2490"/>
      <c r="O55" s="2490"/>
      <c r="P55" s="1766"/>
    </row>
    <row r="56" spans="1:29">
      <c r="A56" s="2480"/>
      <c r="B56" s="2493"/>
      <c r="C56" s="2494"/>
      <c r="D56" s="2480"/>
      <c r="E56" s="2480"/>
      <c r="F56" s="2480"/>
      <c r="G56" s="2480"/>
      <c r="H56" s="2480"/>
      <c r="I56" s="2480"/>
      <c r="J56" s="2480"/>
      <c r="K56" s="2492"/>
      <c r="L56" s="2488"/>
      <c r="M56" s="2480"/>
      <c r="N56" s="2480"/>
      <c r="O56" s="2480"/>
    </row>
    <row r="57" spans="1:29" ht="21.75" thickBot="1">
      <c r="A57" s="655" t="s">
        <v>1714</v>
      </c>
      <c r="B57" s="383"/>
      <c r="C57" s="656"/>
      <c r="D57" s="656"/>
      <c r="E57" s="656"/>
      <c r="F57" s="657"/>
      <c r="G57" s="657"/>
      <c r="H57" s="656"/>
      <c r="I57" s="656"/>
      <c r="J57" s="656"/>
      <c r="K57" s="884"/>
      <c r="L57" s="885"/>
      <c r="M57" s="883"/>
      <c r="N57" s="883"/>
      <c r="O57" s="883"/>
      <c r="P57" s="1767"/>
      <c r="Q57" s="437"/>
    </row>
    <row r="58" spans="1:29" s="440" customFormat="1" ht="15">
      <c r="A58" s="438" t="s">
        <v>1715</v>
      </c>
      <c r="B58" s="439"/>
      <c r="C58" s="1102" t="str">
        <f>YEAR(C7)&amp;"-"&amp;MONTH(C7)</f>
        <v>2024-12</v>
      </c>
      <c r="D58" s="1101">
        <f>EDATE(C58,-1)</f>
        <v>45597</v>
      </c>
      <c r="E58" s="1101">
        <f>EDATE(D58,-1)</f>
        <v>45566</v>
      </c>
      <c r="F58" s="1101">
        <f t="shared" ref="F58:O58" si="19">EDATE(E58,-1)</f>
        <v>45536</v>
      </c>
      <c r="G58" s="1101">
        <f t="shared" si="19"/>
        <v>45505</v>
      </c>
      <c r="H58" s="1101">
        <f t="shared" si="19"/>
        <v>45474</v>
      </c>
      <c r="I58" s="1101">
        <f t="shared" si="19"/>
        <v>45444</v>
      </c>
      <c r="J58" s="1101">
        <f t="shared" si="19"/>
        <v>45413</v>
      </c>
      <c r="K58" s="1101">
        <f t="shared" si="19"/>
        <v>45383</v>
      </c>
      <c r="L58" s="1101">
        <f t="shared" si="19"/>
        <v>45352</v>
      </c>
      <c r="M58" s="1101">
        <f t="shared" si="19"/>
        <v>45323</v>
      </c>
      <c r="N58" s="1101">
        <f t="shared" si="19"/>
        <v>45292</v>
      </c>
      <c r="O58" s="1101">
        <f t="shared" si="19"/>
        <v>45261</v>
      </c>
      <c r="P58" s="1097"/>
    </row>
    <row r="59" spans="1:29" s="101" customFormat="1" ht="15">
      <c r="A59" s="441"/>
      <c r="B59" s="1768"/>
      <c r="C59" s="1099">
        <v>100</v>
      </c>
      <c r="D59" s="443"/>
      <c r="E59" s="444"/>
      <c r="F59" s="444"/>
      <c r="G59" s="444"/>
      <c r="H59" s="444"/>
      <c r="I59" s="444"/>
      <c r="J59" s="444"/>
      <c r="K59" s="444"/>
      <c r="L59" s="444"/>
      <c r="M59" s="445"/>
      <c r="N59" s="444"/>
      <c r="O59" s="445"/>
      <c r="P59" s="1769"/>
    </row>
    <row r="60" spans="1:29" s="101" customFormat="1" ht="15.75" thickBot="1">
      <c r="A60" s="447" t="s">
        <v>1716</v>
      </c>
      <c r="B60" s="448"/>
      <c r="C60" s="449"/>
      <c r="D60" s="450"/>
      <c r="E60" s="450"/>
      <c r="F60" s="450"/>
      <c r="G60" s="450"/>
      <c r="H60" s="450"/>
      <c r="I60" s="450"/>
      <c r="J60" s="450"/>
      <c r="K60" s="450"/>
      <c r="L60" s="450"/>
      <c r="M60" s="451"/>
      <c r="N60" s="450"/>
      <c r="O60" s="451"/>
      <c r="P60" s="1769"/>
      <c r="Q60" s="437"/>
    </row>
    <row r="61" spans="1:29" s="101" customFormat="1" ht="15">
      <c r="A61" s="453" t="s">
        <v>1717</v>
      </c>
      <c r="B61" s="442"/>
      <c r="C61" s="454" t="s">
        <v>1718</v>
      </c>
      <c r="D61" s="31"/>
      <c r="E61" s="31"/>
      <c r="F61" s="31"/>
      <c r="G61" s="31"/>
      <c r="H61" s="31"/>
      <c r="I61" s="31"/>
      <c r="J61" s="31"/>
      <c r="K61" s="31"/>
      <c r="L61" s="455"/>
      <c r="M61" s="456"/>
      <c r="N61" s="875"/>
      <c r="O61" s="875"/>
      <c r="P61" s="1770"/>
      <c r="Q61" s="437"/>
    </row>
    <row r="62" spans="1:29" s="101" customFormat="1" ht="15.75" thickBot="1">
      <c r="A62" s="453"/>
      <c r="B62" s="442"/>
      <c r="C62" s="443">
        <v>100</v>
      </c>
      <c r="D62" s="444"/>
      <c r="E62" s="444"/>
      <c r="F62" s="444"/>
      <c r="G62" s="444"/>
      <c r="H62" s="444"/>
      <c r="I62" s="444"/>
      <c r="J62" s="444"/>
      <c r="K62" s="444"/>
      <c r="L62" s="444"/>
      <c r="M62" s="446"/>
      <c r="N62" s="875"/>
      <c r="O62" s="875"/>
      <c r="P62" s="1769"/>
      <c r="Q62" s="437"/>
    </row>
    <row r="63" spans="1:29">
      <c r="A63" s="377" t="s">
        <v>1719</v>
      </c>
      <c r="B63" s="458" t="s">
        <v>1685</v>
      </c>
      <c r="C63" s="459" t="str">
        <f>C9</f>
        <v>住宅</v>
      </c>
      <c r="D63" s="460"/>
      <c r="E63" s="460"/>
      <c r="F63" s="460"/>
      <c r="G63" s="460"/>
      <c r="H63" s="460"/>
      <c r="I63" s="460"/>
      <c r="J63" s="460"/>
      <c r="K63" s="461"/>
      <c r="L63" s="462"/>
      <c r="M63" s="463"/>
      <c r="N63" s="876"/>
      <c r="O63" s="876"/>
      <c r="P63" s="1771"/>
      <c r="Q63" s="437"/>
    </row>
    <row r="64" spans="1:29" ht="15.75" thickBot="1">
      <c r="A64" s="365"/>
      <c r="B64" s="464"/>
      <c r="C64" s="465">
        <v>100</v>
      </c>
      <c r="D64" s="465"/>
      <c r="E64" s="465"/>
      <c r="F64" s="465"/>
      <c r="G64" s="465"/>
      <c r="H64" s="465"/>
      <c r="I64" s="465"/>
      <c r="J64" s="465"/>
      <c r="K64" s="465"/>
      <c r="L64" s="465"/>
      <c r="M64" s="466"/>
      <c r="N64" s="877"/>
      <c r="O64" s="877"/>
      <c r="P64" s="1771"/>
      <c r="Q64" s="437"/>
    </row>
    <row r="65" spans="1:17" ht="27.75" thickTop="1">
      <c r="A65" s="365"/>
      <c r="B65" s="467" t="s">
        <v>1688</v>
      </c>
      <c r="C65" s="511" t="s">
        <v>4264</v>
      </c>
      <c r="D65" s="511" t="s">
        <v>4265</v>
      </c>
      <c r="E65" s="511" t="s">
        <v>4266</v>
      </c>
      <c r="F65" s="511" t="s">
        <v>4267</v>
      </c>
      <c r="G65" s="511"/>
      <c r="H65" s="511"/>
      <c r="I65" s="511"/>
      <c r="J65" s="511"/>
      <c r="K65" s="511"/>
      <c r="L65" s="511"/>
      <c r="M65" s="511"/>
      <c r="N65" s="877"/>
      <c r="O65" s="877"/>
      <c r="P65" s="1771"/>
      <c r="Q65" s="437"/>
    </row>
    <row r="66" spans="1:17" ht="15.75" thickBot="1">
      <c r="A66" s="365"/>
      <c r="B66" s="472"/>
      <c r="C66" s="465">
        <v>100</v>
      </c>
      <c r="D66" s="465">
        <v>98</v>
      </c>
      <c r="E66" s="465">
        <v>96</v>
      </c>
      <c r="F66" s="465">
        <v>94</v>
      </c>
      <c r="G66" s="465"/>
      <c r="H66" s="465"/>
      <c r="I66" s="465"/>
      <c r="J66" s="465"/>
      <c r="K66" s="465"/>
      <c r="L66" s="465"/>
      <c r="M66" s="466"/>
      <c r="N66" s="877"/>
      <c r="O66" s="877"/>
      <c r="P66" s="1771"/>
      <c r="Q66" s="437"/>
    </row>
    <row r="67" spans="1:17" ht="15.75" thickTop="1">
      <c r="A67" s="365"/>
      <c r="B67" s="475" t="s">
        <v>1689</v>
      </c>
      <c r="C67" s="476" t="str">
        <f>C68&amp;"（含）"&amp;"-"&amp;D68</f>
        <v>0（含）-1</v>
      </c>
      <c r="D67" s="476" t="str">
        <f t="shared" ref="D67:L67" si="20">D68&amp;"（含）"&amp;"-"&amp;E68</f>
        <v>1（含）-2</v>
      </c>
      <c r="E67" s="476" t="str">
        <f t="shared" si="20"/>
        <v>2（含）-3</v>
      </c>
      <c r="F67" s="476" t="str">
        <f t="shared" si="20"/>
        <v>3（含）-4</v>
      </c>
      <c r="G67" s="476" t="str">
        <f t="shared" si="20"/>
        <v>4（含）-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1"/>
      <c r="Q67" s="437"/>
    </row>
    <row r="68" spans="1:17" ht="15">
      <c r="A68" s="365"/>
      <c r="B68" s="477"/>
      <c r="C68" s="478">
        <v>0</v>
      </c>
      <c r="D68" s="478">
        <v>1</v>
      </c>
      <c r="E68" s="478">
        <v>2</v>
      </c>
      <c r="F68" s="478">
        <v>3</v>
      </c>
      <c r="G68" s="478">
        <v>4</v>
      </c>
      <c r="H68" s="478"/>
      <c r="I68" s="478"/>
      <c r="J68" s="478"/>
      <c r="K68" s="479"/>
      <c r="L68" s="480"/>
      <c r="M68" s="481"/>
      <c r="N68" s="876"/>
      <c r="O68" s="876"/>
      <c r="P68" s="1771"/>
      <c r="Q68" s="437"/>
    </row>
    <row r="69" spans="1:17" ht="15.75" thickBot="1">
      <c r="A69" s="365"/>
      <c r="B69" s="464"/>
      <c r="C69" s="473">
        <v>100</v>
      </c>
      <c r="D69" s="473">
        <f t="shared" ref="D69:M69" si="21">C69-$K11</f>
        <v>99</v>
      </c>
      <c r="E69" s="473">
        <f t="shared" si="21"/>
        <v>98</v>
      </c>
      <c r="F69" s="473">
        <f t="shared" si="21"/>
        <v>97</v>
      </c>
      <c r="G69" s="473">
        <f t="shared" si="21"/>
        <v>96</v>
      </c>
      <c r="H69" s="473">
        <f t="shared" si="21"/>
        <v>95</v>
      </c>
      <c r="I69" s="473">
        <f t="shared" si="21"/>
        <v>94</v>
      </c>
      <c r="J69" s="473">
        <f t="shared" si="21"/>
        <v>93</v>
      </c>
      <c r="K69" s="473">
        <f t="shared" si="21"/>
        <v>92</v>
      </c>
      <c r="L69" s="473">
        <f t="shared" si="21"/>
        <v>91</v>
      </c>
      <c r="M69" s="474">
        <f t="shared" si="21"/>
        <v>90</v>
      </c>
      <c r="N69" s="877"/>
      <c r="O69" s="877"/>
      <c r="P69" s="1771"/>
      <c r="Q69" s="437"/>
    </row>
    <row r="70" spans="1:17" s="406" customFormat="1" ht="15.75" thickTop="1">
      <c r="A70" s="482"/>
      <c r="B70" s="467">
        <f>B12</f>
        <v>111</v>
      </c>
      <c r="C70" s="483"/>
      <c r="D70" s="483"/>
      <c r="E70" s="483"/>
      <c r="F70" s="483"/>
      <c r="G70" s="483"/>
      <c r="H70" s="484"/>
      <c r="I70" s="484"/>
      <c r="J70" s="484"/>
      <c r="K70" s="484"/>
      <c r="L70" s="485"/>
      <c r="M70" s="486"/>
      <c r="N70" s="878"/>
      <c r="O70" s="878"/>
      <c r="P70" s="1772"/>
      <c r="Q70" s="488"/>
    </row>
    <row r="71" spans="1:17" s="406" customFormat="1" ht="15.75" thickBot="1">
      <c r="A71" s="482"/>
      <c r="B71" s="472"/>
      <c r="C71" s="489"/>
      <c r="D71" s="465"/>
      <c r="E71" s="465"/>
      <c r="F71" s="465"/>
      <c r="G71" s="465"/>
      <c r="H71" s="465"/>
      <c r="I71" s="465"/>
      <c r="J71" s="465"/>
      <c r="K71" s="465"/>
      <c r="L71" s="465"/>
      <c r="M71" s="466"/>
      <c r="N71" s="877"/>
      <c r="O71" s="877"/>
      <c r="P71" s="1772"/>
      <c r="Q71" s="488"/>
    </row>
    <row r="72" spans="1:17" s="406" customFormat="1" ht="15.75" thickTop="1">
      <c r="A72" s="482"/>
      <c r="B72" s="467">
        <f>B13</f>
        <v>111</v>
      </c>
      <c r="C72" s="483"/>
      <c r="D72" s="483"/>
      <c r="E72" s="483"/>
      <c r="F72" s="483"/>
      <c r="G72" s="483"/>
      <c r="H72" s="484"/>
      <c r="I72" s="484"/>
      <c r="J72" s="484"/>
      <c r="K72" s="484"/>
      <c r="L72" s="485"/>
      <c r="M72" s="486"/>
      <c r="N72" s="878"/>
      <c r="O72" s="878"/>
      <c r="P72" s="1773"/>
      <c r="Q72" s="490"/>
    </row>
    <row r="73" spans="1:17" s="406" customFormat="1" ht="15.75" thickBot="1">
      <c r="A73" s="482"/>
      <c r="B73" s="472"/>
      <c r="C73" s="489"/>
      <c r="D73" s="489"/>
      <c r="E73" s="489"/>
      <c r="F73" s="489"/>
      <c r="G73" s="489"/>
      <c r="H73" s="491"/>
      <c r="I73" s="491"/>
      <c r="J73" s="491"/>
      <c r="K73" s="491"/>
      <c r="L73" s="491"/>
      <c r="M73" s="492"/>
      <c r="N73" s="878"/>
      <c r="O73" s="878"/>
      <c r="P73" s="1772"/>
      <c r="Q73" s="488"/>
    </row>
    <row r="74" spans="1:17" s="406" customFormat="1" ht="15.75" thickTop="1">
      <c r="A74" s="482"/>
      <c r="B74" s="475">
        <f>B14</f>
        <v>111</v>
      </c>
      <c r="C74" s="483"/>
      <c r="D74" s="483"/>
      <c r="E74" s="483"/>
      <c r="F74" s="483"/>
      <c r="G74" s="31"/>
      <c r="H74" s="493"/>
      <c r="I74" s="493"/>
      <c r="J74" s="493"/>
      <c r="K74" s="493"/>
      <c r="L74" s="494"/>
      <c r="M74" s="495"/>
      <c r="N74" s="878"/>
      <c r="O74" s="878"/>
      <c r="P74" s="1774"/>
      <c r="Q74" s="488"/>
    </row>
    <row r="75" spans="1:17" s="406" customFormat="1" ht="15.75" thickBot="1">
      <c r="A75" s="497"/>
      <c r="B75" s="498"/>
      <c r="C75" s="499"/>
      <c r="D75" s="499"/>
      <c r="E75" s="499"/>
      <c r="F75" s="499"/>
      <c r="G75" s="499"/>
      <c r="H75" s="500"/>
      <c r="I75" s="500"/>
      <c r="J75" s="500"/>
      <c r="K75" s="500"/>
      <c r="L75" s="500"/>
      <c r="M75" s="501"/>
      <c r="N75" s="878"/>
      <c r="O75" s="878"/>
      <c r="P75" s="1772"/>
      <c r="Q75" s="488"/>
    </row>
    <row r="76" spans="1:17">
      <c r="A76" s="377" t="s">
        <v>1690</v>
      </c>
      <c r="B76" s="458" t="s">
        <v>1720</v>
      </c>
      <c r="C76" s="502" t="s">
        <v>1721</v>
      </c>
      <c r="D76" s="502" t="s">
        <v>1722</v>
      </c>
      <c r="E76" s="502" t="s">
        <v>1723</v>
      </c>
      <c r="F76" s="502" t="s">
        <v>1724</v>
      </c>
      <c r="G76" s="502" t="s">
        <v>1725</v>
      </c>
      <c r="H76" s="459"/>
      <c r="I76" s="459"/>
      <c r="J76" s="459"/>
      <c r="K76" s="503"/>
      <c r="L76" s="504"/>
      <c r="M76" s="505"/>
      <c r="N76" s="876"/>
      <c r="O76" s="876"/>
      <c r="P76" s="1775"/>
      <c r="Q76" s="437"/>
    </row>
    <row r="77" spans="1:17" ht="15.75" thickBot="1">
      <c r="A77" s="365"/>
      <c r="B77" s="472"/>
      <c r="C77" s="473">
        <v>100</v>
      </c>
      <c r="D77" s="473">
        <f>C77-$K15</f>
        <v>98</v>
      </c>
      <c r="E77" s="473">
        <f>D77-$K15</f>
        <v>96</v>
      </c>
      <c r="F77" s="473">
        <f>E77-$K15</f>
        <v>94</v>
      </c>
      <c r="G77" s="473">
        <f>F77-$K15</f>
        <v>92</v>
      </c>
      <c r="H77" s="473"/>
      <c r="I77" s="473"/>
      <c r="J77" s="473"/>
      <c r="K77" s="473"/>
      <c r="L77" s="473"/>
      <c r="M77" s="474"/>
      <c r="N77" s="877"/>
      <c r="O77" s="877"/>
      <c r="P77" s="1771"/>
      <c r="Q77" s="437"/>
    </row>
    <row r="78" spans="1:17" ht="15.75" thickTop="1">
      <c r="A78" s="365"/>
      <c r="B78" s="467" t="s">
        <v>1726</v>
      </c>
      <c r="C78" s="507" t="s">
        <v>1721</v>
      </c>
      <c r="D78" s="507" t="s">
        <v>1722</v>
      </c>
      <c r="E78" s="507" t="s">
        <v>1723</v>
      </c>
      <c r="F78" s="507" t="s">
        <v>1724</v>
      </c>
      <c r="G78" s="507" t="s">
        <v>1725</v>
      </c>
      <c r="H78" s="468"/>
      <c r="I78" s="468"/>
      <c r="J78" s="468"/>
      <c r="K78" s="469"/>
      <c r="L78" s="470"/>
      <c r="M78" s="471"/>
      <c r="N78" s="876"/>
      <c r="O78" s="876"/>
      <c r="P78" s="1771"/>
      <c r="Q78" s="437"/>
    </row>
    <row r="79" spans="1:17" ht="15.75" thickBot="1">
      <c r="A79" s="365"/>
      <c r="B79" s="472"/>
      <c r="C79" s="473">
        <v>100</v>
      </c>
      <c r="D79" s="473">
        <f>C79-$K17</f>
        <v>98</v>
      </c>
      <c r="E79" s="473">
        <f>D79-$K17</f>
        <v>96</v>
      </c>
      <c r="F79" s="473">
        <f>E79-$K17</f>
        <v>94</v>
      </c>
      <c r="G79" s="473">
        <f>F79-$K17</f>
        <v>92</v>
      </c>
      <c r="H79" s="473"/>
      <c r="I79" s="473"/>
      <c r="J79" s="473"/>
      <c r="K79" s="473"/>
      <c r="L79" s="473"/>
      <c r="M79" s="474"/>
      <c r="N79" s="877"/>
      <c r="O79" s="877"/>
      <c r="P79" s="1771"/>
      <c r="Q79" s="437"/>
    </row>
    <row r="80" spans="1:17" ht="15.75" thickTop="1">
      <c r="A80" s="365"/>
      <c r="B80" s="467" t="s">
        <v>1727</v>
      </c>
      <c r="C80" s="507" t="s">
        <v>1721</v>
      </c>
      <c r="D80" s="507" t="s">
        <v>1722</v>
      </c>
      <c r="E80" s="507" t="s">
        <v>1723</v>
      </c>
      <c r="F80" s="507" t="s">
        <v>1724</v>
      </c>
      <c r="G80" s="507" t="s">
        <v>1725</v>
      </c>
      <c r="H80" s="468"/>
      <c r="I80" s="468"/>
      <c r="J80" s="468"/>
      <c r="K80" s="469"/>
      <c r="L80" s="470"/>
      <c r="M80" s="471"/>
      <c r="N80" s="876"/>
      <c r="O80" s="876"/>
      <c r="P80" s="1771"/>
      <c r="Q80" s="437"/>
    </row>
    <row r="81" spans="1:17" ht="15.75" thickBot="1">
      <c r="A81" s="365"/>
      <c r="B81" s="472"/>
      <c r="C81" s="473">
        <v>100</v>
      </c>
      <c r="D81" s="473">
        <f>C81-$K19</f>
        <v>98</v>
      </c>
      <c r="E81" s="473">
        <f>D81-$K19</f>
        <v>96</v>
      </c>
      <c r="F81" s="473">
        <f>E81-$K19</f>
        <v>94</v>
      </c>
      <c r="G81" s="473">
        <f>F81-$K19</f>
        <v>92</v>
      </c>
      <c r="H81" s="473"/>
      <c r="I81" s="473"/>
      <c r="J81" s="473"/>
      <c r="K81" s="473"/>
      <c r="L81" s="473"/>
      <c r="M81" s="474"/>
      <c r="N81" s="877"/>
      <c r="O81" s="877"/>
      <c r="P81" s="1771"/>
      <c r="Q81" s="437"/>
    </row>
    <row r="82" spans="1:17" ht="15.75" thickTop="1">
      <c r="A82" s="365"/>
      <c r="B82" s="475" t="s">
        <v>1260</v>
      </c>
      <c r="C82" s="468" t="s">
        <v>1728</v>
      </c>
      <c r="D82" s="468" t="s">
        <v>1729</v>
      </c>
      <c r="E82" s="468" t="s">
        <v>1730</v>
      </c>
      <c r="F82" s="468" t="s">
        <v>1731</v>
      </c>
      <c r="G82" s="468" t="s">
        <v>1732</v>
      </c>
      <c r="H82" s="468"/>
      <c r="I82" s="468"/>
      <c r="J82" s="468"/>
      <c r="K82" s="468"/>
      <c r="L82" s="468"/>
      <c r="M82" s="1060"/>
      <c r="N82" s="877"/>
      <c r="O82" s="877"/>
      <c r="P82" s="1771"/>
      <c r="Q82" s="437"/>
    </row>
    <row r="83" spans="1:17" ht="15.75" thickBot="1">
      <c r="A83" s="365"/>
      <c r="B83" s="475"/>
      <c r="C83" s="579">
        <v>100</v>
      </c>
      <c r="D83" s="579">
        <f>C83-$K21</f>
        <v>99</v>
      </c>
      <c r="E83" s="579">
        <f t="shared" ref="E83:G83" si="22">D83-$K21</f>
        <v>98</v>
      </c>
      <c r="F83" s="579">
        <f t="shared" si="22"/>
        <v>97</v>
      </c>
      <c r="G83" s="579">
        <f t="shared" si="22"/>
        <v>96</v>
      </c>
      <c r="H83" s="579"/>
      <c r="I83" s="579"/>
      <c r="J83" s="579"/>
      <c r="K83" s="579"/>
      <c r="L83" s="579"/>
      <c r="M83" s="387"/>
      <c r="N83" s="877"/>
      <c r="O83" s="877"/>
      <c r="P83" s="1771"/>
      <c r="Q83" s="437"/>
    </row>
    <row r="84" spans="1:17" ht="15.75" thickTop="1">
      <c r="A84" s="365"/>
      <c r="B84" s="467" t="s">
        <v>1733</v>
      </c>
      <c r="C84" s="507" t="s">
        <v>1721</v>
      </c>
      <c r="D84" s="507" t="s">
        <v>1722</v>
      </c>
      <c r="E84" s="507" t="s">
        <v>1723</v>
      </c>
      <c r="F84" s="507" t="s">
        <v>1724</v>
      </c>
      <c r="G84" s="507" t="s">
        <v>1725</v>
      </c>
      <c r="H84" s="468"/>
      <c r="I84" s="468"/>
      <c r="J84" s="468"/>
      <c r="K84" s="469"/>
      <c r="L84" s="470"/>
      <c r="M84" s="471"/>
      <c r="N84" s="876"/>
      <c r="O84" s="876"/>
      <c r="P84" s="1771"/>
      <c r="Q84" s="437"/>
    </row>
    <row r="85" spans="1:17" ht="15.75" thickBot="1">
      <c r="A85" s="365"/>
      <c r="B85" s="472"/>
      <c r="C85" s="473">
        <v>100</v>
      </c>
      <c r="D85" s="473">
        <f>C85-$K23</f>
        <v>98</v>
      </c>
      <c r="E85" s="473">
        <f>D85-$K23</f>
        <v>96</v>
      </c>
      <c r="F85" s="473">
        <f>E85-$K23</f>
        <v>94</v>
      </c>
      <c r="G85" s="473">
        <f>F85-$K23</f>
        <v>92</v>
      </c>
      <c r="H85" s="473"/>
      <c r="I85" s="473"/>
      <c r="J85" s="473"/>
      <c r="K85" s="473"/>
      <c r="L85" s="473"/>
      <c r="M85" s="474"/>
      <c r="N85" s="877"/>
      <c r="O85" s="877"/>
      <c r="P85" s="1771"/>
      <c r="Q85" s="437"/>
    </row>
    <row r="86" spans="1:17" s="101" customFormat="1" ht="15.75" thickTop="1">
      <c r="A86" s="368"/>
      <c r="B86" s="467" t="s">
        <v>1734</v>
      </c>
      <c r="C86" s="483"/>
      <c r="D86" s="483"/>
      <c r="E86" s="483"/>
      <c r="F86" s="483"/>
      <c r="G86" s="483"/>
      <c r="H86" s="483"/>
      <c r="I86" s="483"/>
      <c r="J86" s="483"/>
      <c r="K86" s="483"/>
      <c r="L86" s="508"/>
      <c r="M86" s="509"/>
      <c r="N86" s="875"/>
      <c r="O86" s="875"/>
      <c r="P86" s="1771"/>
      <c r="Q86" s="437"/>
    </row>
    <row r="87" spans="1:17" s="101"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1"/>
      <c r="Q87" s="437"/>
    </row>
    <row r="88" spans="1:17" s="101" customFormat="1" ht="15.75" thickTop="1">
      <c r="A88" s="368"/>
      <c r="B88" s="467" t="s">
        <v>1735</v>
      </c>
      <c r="C88" s="483"/>
      <c r="D88" s="483"/>
      <c r="E88" s="483"/>
      <c r="F88" s="1776"/>
      <c r="G88" s="483"/>
      <c r="H88" s="483"/>
      <c r="I88" s="483"/>
      <c r="J88" s="483"/>
      <c r="K88" s="483"/>
      <c r="L88" s="483"/>
      <c r="M88" s="509"/>
      <c r="N88" s="875"/>
      <c r="O88" s="875"/>
      <c r="P88" s="1771"/>
      <c r="Q88" s="437"/>
    </row>
    <row r="89" spans="1:17" s="101"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1"/>
      <c r="Q89" s="437"/>
    </row>
    <row r="90" spans="1:17" s="406" customFormat="1" ht="15.75" thickTop="1">
      <c r="A90" s="482"/>
      <c r="B90" s="467">
        <f>B27</f>
        <v>111</v>
      </c>
      <c r="C90" s="483"/>
      <c r="D90" s="483"/>
      <c r="E90" s="483"/>
      <c r="F90" s="483"/>
      <c r="G90" s="483"/>
      <c r="H90" s="484"/>
      <c r="I90" s="484"/>
      <c r="J90" s="484"/>
      <c r="K90" s="484"/>
      <c r="L90" s="485"/>
      <c r="M90" s="486"/>
      <c r="N90" s="878"/>
      <c r="O90" s="878"/>
      <c r="P90" s="1772"/>
      <c r="Q90" s="488"/>
    </row>
    <row r="91" spans="1:17" s="406" customFormat="1" ht="15.75" thickBot="1">
      <c r="A91" s="482"/>
      <c r="B91" s="472"/>
      <c r="C91" s="489"/>
      <c r="D91" s="489"/>
      <c r="E91" s="489"/>
      <c r="F91" s="489"/>
      <c r="G91" s="489"/>
      <c r="H91" s="491"/>
      <c r="I91" s="491"/>
      <c r="J91" s="491"/>
      <c r="K91" s="491"/>
      <c r="L91" s="491"/>
      <c r="M91" s="492"/>
      <c r="N91" s="878"/>
      <c r="O91" s="878"/>
      <c r="P91" s="1772"/>
      <c r="Q91" s="488"/>
    </row>
    <row r="92" spans="1:17" ht="15.75" thickTop="1">
      <c r="A92" s="365"/>
      <c r="B92" s="467">
        <f>B28</f>
        <v>111</v>
      </c>
      <c r="C92" s="483"/>
      <c r="D92" s="483"/>
      <c r="E92" s="483"/>
      <c r="F92" s="483"/>
      <c r="G92" s="511"/>
      <c r="H92" s="511"/>
      <c r="I92" s="511"/>
      <c r="J92" s="511"/>
      <c r="K92" s="512"/>
      <c r="L92" s="513"/>
      <c r="M92" s="514"/>
      <c r="N92" s="876"/>
      <c r="O92" s="876"/>
      <c r="P92" s="1771"/>
      <c r="Q92" s="437"/>
    </row>
    <row r="93" spans="1:17" ht="15.75" thickBot="1">
      <c r="A93" s="365"/>
      <c r="B93" s="472"/>
      <c r="C93" s="489"/>
      <c r="D93" s="465"/>
      <c r="E93" s="465"/>
      <c r="F93" s="465"/>
      <c r="G93" s="465"/>
      <c r="H93" s="465"/>
      <c r="I93" s="465"/>
      <c r="J93" s="465"/>
      <c r="K93" s="465"/>
      <c r="L93" s="465"/>
      <c r="M93" s="466"/>
      <c r="N93" s="877"/>
      <c r="O93" s="877"/>
      <c r="P93" s="1771"/>
      <c r="Q93" s="437"/>
    </row>
    <row r="94" spans="1:17" ht="15.75" thickTop="1">
      <c r="A94" s="365"/>
      <c r="B94" s="467">
        <f>B29</f>
        <v>111</v>
      </c>
      <c r="C94" s="483"/>
      <c r="D94" s="483"/>
      <c r="E94" s="483"/>
      <c r="F94" s="483"/>
      <c r="G94" s="511"/>
      <c r="H94" s="511"/>
      <c r="I94" s="511"/>
      <c r="J94" s="511"/>
      <c r="K94" s="512"/>
      <c r="L94" s="513"/>
      <c r="M94" s="514"/>
      <c r="N94" s="876"/>
      <c r="O94" s="876"/>
      <c r="P94" s="1771"/>
      <c r="Q94" s="437"/>
    </row>
    <row r="95" spans="1:17" ht="15.75" thickBot="1">
      <c r="A95" s="365"/>
      <c r="B95" s="472"/>
      <c r="C95" s="489"/>
      <c r="D95" s="489"/>
      <c r="E95" s="489"/>
      <c r="F95" s="489"/>
      <c r="G95" s="465"/>
      <c r="H95" s="465"/>
      <c r="I95" s="465"/>
      <c r="J95" s="465"/>
      <c r="K95" s="465"/>
      <c r="L95" s="465"/>
      <c r="M95" s="466"/>
      <c r="N95" s="877"/>
      <c r="O95" s="877"/>
      <c r="P95" s="1771"/>
      <c r="Q95" s="437"/>
    </row>
    <row r="96" spans="1:17" ht="15.75" thickTop="1">
      <c r="A96" s="365"/>
      <c r="B96" s="467">
        <f>B30</f>
        <v>111</v>
      </c>
      <c r="C96" s="483"/>
      <c r="D96" s="483"/>
      <c r="E96" s="483"/>
      <c r="F96" s="483"/>
      <c r="G96" s="511"/>
      <c r="H96" s="511"/>
      <c r="I96" s="511"/>
      <c r="J96" s="511"/>
      <c r="K96" s="512"/>
      <c r="L96" s="513"/>
      <c r="M96" s="514"/>
      <c r="N96" s="876"/>
      <c r="O96" s="876"/>
      <c r="P96" s="1771"/>
      <c r="Q96" s="437"/>
    </row>
    <row r="97" spans="1:17" ht="15.75" thickBot="1">
      <c r="A97" s="365"/>
      <c r="B97" s="472"/>
      <c r="C97" s="499"/>
      <c r="D97" s="499"/>
      <c r="E97" s="499"/>
      <c r="F97" s="499"/>
      <c r="G97" s="465"/>
      <c r="H97" s="465"/>
      <c r="I97" s="465"/>
      <c r="J97" s="465"/>
      <c r="K97" s="465"/>
      <c r="L97" s="465"/>
      <c r="M97" s="466"/>
      <c r="N97" s="877"/>
      <c r="O97" s="877"/>
      <c r="P97" s="1771"/>
      <c r="Q97" s="437"/>
    </row>
    <row r="98" spans="1:17" ht="15.75" thickTop="1">
      <c r="A98" s="365"/>
      <c r="B98" s="475">
        <f>B31</f>
        <v>111</v>
      </c>
      <c r="C98" s="515"/>
      <c r="D98" s="515"/>
      <c r="E98" s="515"/>
      <c r="F98" s="515"/>
      <c r="G98" s="515"/>
      <c r="H98" s="515"/>
      <c r="I98" s="515"/>
      <c r="J98" s="515"/>
      <c r="K98" s="516"/>
      <c r="L98" s="517"/>
      <c r="M98" s="518"/>
      <c r="N98" s="876"/>
      <c r="O98" s="876"/>
      <c r="P98" s="1771"/>
      <c r="Q98" s="437"/>
    </row>
    <row r="99" spans="1:17" ht="15.75" thickBot="1">
      <c r="A99" s="373"/>
      <c r="B99" s="498"/>
      <c r="C99" s="519"/>
      <c r="D99" s="519"/>
      <c r="E99" s="519"/>
      <c r="F99" s="519"/>
      <c r="G99" s="519"/>
      <c r="H99" s="519"/>
      <c r="I99" s="519"/>
      <c r="J99" s="519"/>
      <c r="K99" s="519"/>
      <c r="L99" s="519"/>
      <c r="M99" s="520"/>
      <c r="N99" s="877"/>
      <c r="O99" s="877"/>
      <c r="P99" s="1771"/>
      <c r="Q99" s="437"/>
    </row>
    <row r="100" spans="1:17">
      <c r="A100" s="377" t="s">
        <v>1694</v>
      </c>
      <c r="B100" s="458" t="s">
        <v>1736</v>
      </c>
      <c r="C100" s="3172" t="s">
        <v>4268</v>
      </c>
      <c r="D100" s="3166" t="s">
        <v>4269</v>
      </c>
      <c r="E100" s="3166" t="s">
        <v>4270</v>
      </c>
      <c r="F100" s="460"/>
      <c r="G100" s="460"/>
      <c r="H100" s="460"/>
      <c r="I100" s="460"/>
      <c r="J100" s="460"/>
      <c r="K100" s="461"/>
      <c r="L100" s="462"/>
      <c r="M100" s="463"/>
      <c r="N100" s="876"/>
      <c r="O100" s="876"/>
      <c r="P100" s="1771"/>
      <c r="Q100" s="437"/>
    </row>
    <row r="101" spans="1:17" ht="15.75" thickBot="1">
      <c r="A101" s="365"/>
      <c r="B101" s="472"/>
      <c r="C101" s="473">
        <v>100</v>
      </c>
      <c r="D101" s="473">
        <f t="shared" ref="D101:M101" si="25">C101-$K32</f>
        <v>97</v>
      </c>
      <c r="E101" s="473">
        <f t="shared" si="25"/>
        <v>94</v>
      </c>
      <c r="F101" s="473">
        <f t="shared" si="25"/>
        <v>91</v>
      </c>
      <c r="G101" s="473">
        <f t="shared" si="25"/>
        <v>88</v>
      </c>
      <c r="H101" s="473">
        <f t="shared" si="25"/>
        <v>85</v>
      </c>
      <c r="I101" s="473">
        <f t="shared" si="25"/>
        <v>82</v>
      </c>
      <c r="J101" s="473">
        <f t="shared" si="25"/>
        <v>79</v>
      </c>
      <c r="K101" s="473">
        <f t="shared" si="25"/>
        <v>76</v>
      </c>
      <c r="L101" s="473">
        <f t="shared" si="25"/>
        <v>73</v>
      </c>
      <c r="M101" s="473">
        <f t="shared" si="25"/>
        <v>70</v>
      </c>
      <c r="N101" s="877"/>
      <c r="O101" s="877"/>
      <c r="P101" s="1771"/>
      <c r="Q101" s="437"/>
    </row>
    <row r="102" spans="1:17" ht="29.25" thickTop="1">
      <c r="A102" s="365"/>
      <c r="B102" s="467" t="s">
        <v>1737</v>
      </c>
      <c r="C102" s="507" t="str">
        <f>C103&amp;"(含)"&amp;"-"&amp;D103</f>
        <v>0(含)-100000</v>
      </c>
      <c r="D102" s="507" t="str">
        <f t="shared" ref="D102:L102" si="26">D103&amp;"(含)"&amp;"-"&amp;E103</f>
        <v>100000(含)-200000</v>
      </c>
      <c r="E102" s="507" t="str">
        <f t="shared" si="26"/>
        <v>200000(含)-300000</v>
      </c>
      <c r="F102" s="507" t="str">
        <f t="shared" si="26"/>
        <v>300000(含)-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1"/>
      <c r="Q102" s="437"/>
    </row>
    <row r="103" spans="1:17" s="406" customFormat="1">
      <c r="A103" s="404"/>
      <c r="B103" s="521"/>
      <c r="C103" s="6">
        <v>0</v>
      </c>
      <c r="D103" s="6">
        <v>100000</v>
      </c>
      <c r="E103" s="6">
        <v>200000</v>
      </c>
      <c r="F103" s="6">
        <v>300000</v>
      </c>
      <c r="G103" s="6"/>
      <c r="H103" s="6"/>
      <c r="I103" s="6"/>
      <c r="J103" s="522"/>
      <c r="K103" s="522"/>
      <c r="L103" s="523"/>
      <c r="M103" s="524"/>
      <c r="N103" s="878"/>
      <c r="O103" s="878"/>
      <c r="P103" s="1772"/>
      <c r="Q103" s="488"/>
    </row>
    <row r="104" spans="1:17" s="406" customFormat="1" ht="15.75" thickBot="1">
      <c r="A104" s="482"/>
      <c r="B104" s="472"/>
      <c r="C104" s="489">
        <v>100</v>
      </c>
      <c r="D104" s="489">
        <v>100</v>
      </c>
      <c r="E104" s="489">
        <v>100</v>
      </c>
      <c r="F104" s="489">
        <v>100</v>
      </c>
      <c r="G104" s="465"/>
      <c r="H104" s="465"/>
      <c r="I104" s="465"/>
      <c r="J104" s="465"/>
      <c r="K104" s="465"/>
      <c r="L104" s="465"/>
      <c r="M104" s="465"/>
      <c r="N104" s="877"/>
      <c r="O104" s="877"/>
      <c r="P104" s="1772"/>
      <c r="Q104" s="488"/>
    </row>
    <row r="105" spans="1:17" ht="15" thickTop="1">
      <c r="A105" s="407"/>
      <c r="B105" s="467" t="s">
        <v>1738</v>
      </c>
      <c r="C105" s="3167" t="s">
        <v>4271</v>
      </c>
      <c r="D105" s="483"/>
      <c r="E105" s="511"/>
      <c r="F105" s="511"/>
      <c r="G105" s="511"/>
      <c r="H105" s="511"/>
      <c r="I105" s="511"/>
      <c r="J105" s="511"/>
      <c r="K105" s="512"/>
      <c r="L105" s="513"/>
      <c r="M105" s="514"/>
      <c r="N105" s="876"/>
      <c r="O105" s="876"/>
      <c r="P105" s="1771"/>
      <c r="Q105" s="437"/>
    </row>
    <row r="106" spans="1:17" ht="15.75" thickBot="1">
      <c r="A106" s="365"/>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7"/>
      <c r="O106" s="877"/>
      <c r="P106" s="1771"/>
      <c r="Q106" s="437"/>
    </row>
    <row r="107" spans="1:17" ht="15" thickTop="1">
      <c r="A107" s="407"/>
      <c r="B107" s="467" t="s">
        <v>1739</v>
      </c>
      <c r="C107" s="3173" t="s">
        <v>4272</v>
      </c>
      <c r="D107" s="3173" t="s">
        <v>4273</v>
      </c>
      <c r="E107" s="3173" t="s">
        <v>4274</v>
      </c>
      <c r="F107" s="3173" t="s">
        <v>4275</v>
      </c>
      <c r="G107" s="511"/>
      <c r="H107" s="511"/>
      <c r="I107" s="511"/>
      <c r="J107" s="511"/>
      <c r="K107" s="512"/>
      <c r="L107" s="513"/>
      <c r="M107" s="514"/>
      <c r="N107" s="876"/>
      <c r="O107" s="876"/>
      <c r="P107" s="1771"/>
      <c r="Q107" s="437"/>
    </row>
    <row r="108" spans="1:17" ht="15.75" thickBot="1">
      <c r="A108" s="365"/>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7"/>
      <c r="O108" s="877"/>
      <c r="P108" s="1771"/>
      <c r="Q108" s="437"/>
    </row>
    <row r="109" spans="1:17" ht="15" thickTop="1">
      <c r="A109" s="407"/>
      <c r="B109" s="467" t="s">
        <v>1740</v>
      </c>
      <c r="C109" s="3167" t="s">
        <v>4276</v>
      </c>
      <c r="D109" s="3167" t="s">
        <v>4277</v>
      </c>
      <c r="E109" s="3167" t="s">
        <v>4278</v>
      </c>
      <c r="F109" s="3173" t="s">
        <v>4279</v>
      </c>
      <c r="G109" s="511"/>
      <c r="H109" s="511"/>
      <c r="I109" s="511"/>
      <c r="J109" s="511"/>
      <c r="K109" s="512"/>
      <c r="L109" s="513"/>
      <c r="M109" s="514"/>
      <c r="N109" s="876"/>
      <c r="O109" s="876"/>
      <c r="P109" s="1771"/>
      <c r="Q109" s="437"/>
    </row>
    <row r="110" spans="1:17" ht="15.75" thickBot="1">
      <c r="A110" s="365"/>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7"/>
      <c r="O110" s="877"/>
      <c r="P110" s="1771"/>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2"/>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2"/>
      <c r="Q112" s="488"/>
    </row>
    <row r="113" spans="1:17" s="406" customFormat="1" ht="15.75"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8"/>
      <c r="O113" s="878"/>
      <c r="P113" s="1772"/>
      <c r="Q113" s="488"/>
    </row>
    <row r="114" spans="1:17" ht="15" thickTop="1">
      <c r="A114" s="407"/>
      <c r="B114" s="467" t="s">
        <v>1741</v>
      </c>
      <c r="C114" s="3167" t="s">
        <v>4280</v>
      </c>
      <c r="D114" s="483"/>
      <c r="E114" s="511"/>
      <c r="F114" s="511"/>
      <c r="G114" s="511"/>
      <c r="H114" s="511"/>
      <c r="I114" s="511"/>
      <c r="J114" s="511"/>
      <c r="K114" s="512"/>
      <c r="L114" s="513"/>
      <c r="M114" s="514"/>
      <c r="N114" s="876"/>
      <c r="O114" s="876"/>
      <c r="P114" s="1771"/>
      <c r="Q114" s="437"/>
    </row>
    <row r="115" spans="1:17" ht="15.75" thickBot="1">
      <c r="A115" s="365"/>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7"/>
      <c r="O115" s="877"/>
      <c r="P115" s="1771"/>
      <c r="Q115" s="437"/>
    </row>
    <row r="116" spans="1:17" ht="15" thickTop="1">
      <c r="A116" s="407"/>
      <c r="B116" s="467" t="s">
        <v>1742</v>
      </c>
      <c r="C116" s="3167" t="s">
        <v>4244</v>
      </c>
      <c r="D116" s="3167" t="s">
        <v>4281</v>
      </c>
      <c r="E116" s="3167" t="s">
        <v>4282</v>
      </c>
      <c r="F116" s="3167" t="s">
        <v>4283</v>
      </c>
      <c r="G116" s="3167" t="s">
        <v>4284</v>
      </c>
      <c r="H116" s="511"/>
      <c r="I116" s="511"/>
      <c r="J116" s="511"/>
      <c r="K116" s="512"/>
      <c r="L116" s="513"/>
      <c r="M116" s="514"/>
      <c r="N116" s="876"/>
      <c r="O116" s="876"/>
      <c r="P116" s="1771"/>
      <c r="Q116" s="437"/>
    </row>
    <row r="117" spans="1:17" ht="15.75" thickBot="1">
      <c r="A117" s="365"/>
      <c r="B117" s="472"/>
      <c r="C117" s="473">
        <v>100</v>
      </c>
      <c r="D117" s="473">
        <f>C117-$K39</f>
        <v>99</v>
      </c>
      <c r="E117" s="473">
        <f>D117-$K39</f>
        <v>98</v>
      </c>
      <c r="F117" s="473">
        <f>E117-$K39</f>
        <v>97</v>
      </c>
      <c r="G117" s="473">
        <f>F117-$K39</f>
        <v>96</v>
      </c>
      <c r="H117" s="473"/>
      <c r="I117" s="473"/>
      <c r="J117" s="473"/>
      <c r="K117" s="473"/>
      <c r="L117" s="473"/>
      <c r="M117" s="474"/>
      <c r="N117" s="877"/>
      <c r="O117" s="877"/>
      <c r="P117" s="1771"/>
      <c r="Q117" s="437"/>
    </row>
    <row r="118" spans="1:17" ht="15" thickTop="1">
      <c r="A118" s="407"/>
      <c r="B118" s="467" t="s">
        <v>1743</v>
      </c>
      <c r="C118" s="3173" t="s">
        <v>4285</v>
      </c>
      <c r="D118" s="511"/>
      <c r="E118" s="511"/>
      <c r="F118" s="511"/>
      <c r="G118" s="511"/>
      <c r="H118" s="511"/>
      <c r="I118" s="511"/>
      <c r="J118" s="511"/>
      <c r="K118" s="512"/>
      <c r="L118" s="513"/>
      <c r="M118" s="514"/>
      <c r="N118" s="876"/>
      <c r="O118" s="876"/>
      <c r="P118" s="1771"/>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1"/>
      <c r="Q119" s="437"/>
    </row>
    <row r="120" spans="1:17" s="406" customFormat="1" ht="28.5" thickTop="1">
      <c r="A120" s="404"/>
      <c r="B120" s="467" t="s">
        <v>1705</v>
      </c>
      <c r="C120" s="483"/>
      <c r="D120" s="483"/>
      <c r="E120" s="483"/>
      <c r="F120" s="483"/>
      <c r="G120" s="483"/>
      <c r="H120" s="483"/>
      <c r="I120" s="483"/>
      <c r="J120" s="483"/>
      <c r="K120" s="483"/>
      <c r="L120" s="508"/>
      <c r="M120" s="509"/>
      <c r="N120" s="878"/>
      <c r="O120" s="878"/>
      <c r="P120" s="1772"/>
      <c r="Q120" s="488"/>
    </row>
    <row r="121" spans="1:17" s="406" customFormat="1" ht="15.75" thickBot="1">
      <c r="A121" s="482"/>
      <c r="B121" s="464"/>
      <c r="C121" s="489"/>
      <c r="D121" s="465"/>
      <c r="E121" s="465"/>
      <c r="F121" s="465"/>
      <c r="G121" s="465"/>
      <c r="H121" s="465"/>
      <c r="I121" s="465"/>
      <c r="J121" s="465"/>
      <c r="K121" s="465"/>
      <c r="L121" s="465"/>
      <c r="M121" s="465"/>
      <c r="N121" s="878"/>
      <c r="O121" s="878"/>
      <c r="P121" s="1772"/>
      <c r="Q121" s="488"/>
    </row>
    <row r="122" spans="1:17" ht="15" thickTop="1">
      <c r="A122" s="407"/>
      <c r="B122" s="467" t="s">
        <v>1744</v>
      </c>
      <c r="C122" s="3167" t="s">
        <v>4276</v>
      </c>
      <c r="D122" s="3167" t="s">
        <v>4277</v>
      </c>
      <c r="E122" s="3167" t="s">
        <v>4278</v>
      </c>
      <c r="F122" s="3173" t="s">
        <v>4279</v>
      </c>
      <c r="G122" s="511"/>
      <c r="H122" s="511"/>
      <c r="I122" s="511"/>
      <c r="J122" s="511"/>
      <c r="K122" s="512"/>
      <c r="L122" s="513"/>
      <c r="M122" s="514"/>
      <c r="N122" s="876"/>
      <c r="O122" s="876"/>
      <c r="P122" s="1771"/>
      <c r="Q122" s="437"/>
    </row>
    <row r="123" spans="1:17" ht="15.75" thickBot="1">
      <c r="A123" s="365"/>
      <c r="B123" s="472"/>
      <c r="C123" s="473">
        <v>100</v>
      </c>
      <c r="D123" s="473">
        <f t="shared" ref="D123:M123" si="32">C123-$K42</f>
        <v>98</v>
      </c>
      <c r="E123" s="473">
        <f t="shared" si="32"/>
        <v>96</v>
      </c>
      <c r="F123" s="473">
        <f t="shared" si="32"/>
        <v>94</v>
      </c>
      <c r="G123" s="473">
        <f t="shared" si="32"/>
        <v>92</v>
      </c>
      <c r="H123" s="473">
        <f t="shared" si="32"/>
        <v>90</v>
      </c>
      <c r="I123" s="473">
        <f t="shared" si="32"/>
        <v>88</v>
      </c>
      <c r="J123" s="473">
        <f t="shared" si="32"/>
        <v>86</v>
      </c>
      <c r="K123" s="473">
        <f t="shared" si="32"/>
        <v>84</v>
      </c>
      <c r="L123" s="473">
        <f t="shared" si="32"/>
        <v>82</v>
      </c>
      <c r="M123" s="473">
        <f t="shared" si="32"/>
        <v>80</v>
      </c>
      <c r="N123" s="877"/>
      <c r="O123" s="877"/>
      <c r="P123" s="1771"/>
      <c r="Q123" s="437"/>
    </row>
    <row r="124" spans="1:17" ht="15"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2"/>
      <c r="Q124" s="437"/>
    </row>
    <row r="125" spans="1:17" ht="15.75" thickBot="1">
      <c r="A125" s="365"/>
      <c r="B125" s="472"/>
      <c r="C125" s="473">
        <v>100</v>
      </c>
      <c r="D125" s="473">
        <f>C125-$K43</f>
        <v>98</v>
      </c>
      <c r="E125" s="473">
        <f>D125-$K43</f>
        <v>96</v>
      </c>
      <c r="F125" s="473">
        <f>E125-$K43</f>
        <v>94</v>
      </c>
      <c r="G125" s="473">
        <f>F125-$K43</f>
        <v>92</v>
      </c>
      <c r="H125" s="473"/>
      <c r="I125" s="473"/>
      <c r="J125" s="473"/>
      <c r="K125" s="473"/>
      <c r="L125" s="473"/>
      <c r="M125" s="474"/>
      <c r="N125" s="877"/>
      <c r="O125" s="877"/>
      <c r="P125" s="1771"/>
      <c r="Q125" s="437"/>
    </row>
    <row r="126" spans="1:17" s="406" customFormat="1" ht="15" thickTop="1">
      <c r="A126" s="404"/>
      <c r="B126" s="467">
        <f>B44</f>
        <v>111</v>
      </c>
      <c r="C126" s="483"/>
      <c r="D126" s="483"/>
      <c r="E126" s="483"/>
      <c r="F126" s="483"/>
      <c r="G126" s="483"/>
      <c r="H126" s="484"/>
      <c r="I126" s="484"/>
      <c r="J126" s="484"/>
      <c r="K126" s="484"/>
      <c r="L126" s="485"/>
      <c r="M126" s="486"/>
      <c r="N126" s="878"/>
      <c r="O126" s="878"/>
      <c r="P126" s="1772"/>
      <c r="Q126" s="488"/>
    </row>
    <row r="127" spans="1:17" s="406" customFormat="1" ht="15.75" thickBot="1">
      <c r="A127" s="482"/>
      <c r="B127" s="472"/>
      <c r="C127" s="489"/>
      <c r="D127" s="465"/>
      <c r="E127" s="465"/>
      <c r="F127" s="465"/>
      <c r="G127" s="489"/>
      <c r="H127" s="491"/>
      <c r="I127" s="491"/>
      <c r="J127" s="491"/>
      <c r="K127" s="491"/>
      <c r="L127" s="491"/>
      <c r="M127" s="492"/>
      <c r="N127" s="878"/>
      <c r="O127" s="878"/>
      <c r="P127" s="1772"/>
      <c r="Q127" s="488"/>
    </row>
    <row r="128" spans="1:17" ht="15" thickTop="1">
      <c r="A128" s="407"/>
      <c r="B128" s="467">
        <f>B45</f>
        <v>111</v>
      </c>
      <c r="C128" s="483"/>
      <c r="D128" s="483"/>
      <c r="E128" s="483"/>
      <c r="F128" s="483"/>
      <c r="G128" s="511"/>
      <c r="H128" s="511"/>
      <c r="I128" s="511"/>
      <c r="J128" s="511"/>
      <c r="K128" s="512"/>
      <c r="L128" s="513"/>
      <c r="M128" s="514"/>
      <c r="N128" s="876"/>
      <c r="O128" s="876"/>
      <c r="P128" s="1771"/>
      <c r="Q128" s="437"/>
    </row>
    <row r="129" spans="1:17" ht="15.75" thickBot="1">
      <c r="A129" s="365"/>
      <c r="B129" s="472"/>
      <c r="C129" s="489"/>
      <c r="D129" s="489"/>
      <c r="E129" s="489"/>
      <c r="F129" s="489"/>
      <c r="G129" s="465"/>
      <c r="H129" s="465"/>
      <c r="I129" s="465"/>
      <c r="J129" s="465"/>
      <c r="K129" s="465"/>
      <c r="L129" s="465"/>
      <c r="M129" s="466"/>
      <c r="N129" s="877"/>
      <c r="O129" s="877"/>
      <c r="P129" s="1771"/>
      <c r="Q129" s="437"/>
    </row>
    <row r="130" spans="1:17" ht="15" thickTop="1">
      <c r="A130" s="407"/>
      <c r="B130" s="475">
        <f>B46</f>
        <v>111</v>
      </c>
      <c r="C130" s="483"/>
      <c r="D130" s="483"/>
      <c r="E130" s="483"/>
      <c r="F130" s="483"/>
      <c r="G130" s="515"/>
      <c r="H130" s="515"/>
      <c r="I130" s="515"/>
      <c r="J130" s="515"/>
      <c r="K130" s="31"/>
      <c r="L130" s="455"/>
      <c r="M130" s="518"/>
      <c r="N130" s="876"/>
      <c r="O130" s="876"/>
      <c r="P130" s="1771"/>
      <c r="Q130" s="437"/>
    </row>
    <row r="131" spans="1:17" ht="15.75" thickBot="1">
      <c r="A131" s="373"/>
      <c r="B131" s="498"/>
      <c r="C131" s="499"/>
      <c r="D131" s="499"/>
      <c r="E131" s="499"/>
      <c r="F131" s="499"/>
      <c r="G131" s="519"/>
      <c r="H131" s="519"/>
      <c r="I131" s="519"/>
      <c r="J131" s="519"/>
      <c r="K131" s="519"/>
      <c r="L131" s="519"/>
      <c r="M131" s="520"/>
      <c r="N131" s="877"/>
      <c r="O131" s="877"/>
      <c r="P131" s="1771"/>
      <c r="Q131" s="437"/>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7" t="s">
        <v>1749</v>
      </c>
      <c r="D138" s="127" t="s">
        <v>1750</v>
      </c>
      <c r="E138" s="1785" t="s">
        <v>1751</v>
      </c>
      <c r="F138" s="1786" t="s">
        <v>1752</v>
      </c>
      <c r="G138" s="127" t="s">
        <v>1750</v>
      </c>
      <c r="H138" s="128" t="s">
        <v>1751</v>
      </c>
      <c r="I138" s="1787"/>
      <c r="J138" s="127" t="s">
        <v>1753</v>
      </c>
      <c r="K138" s="128" t="s">
        <v>1754</v>
      </c>
    </row>
    <row r="139" spans="1:17" ht="15">
      <c r="B139" s="811">
        <v>6</v>
      </c>
      <c r="C139" s="812">
        <v>96</v>
      </c>
      <c r="D139" s="1788" t="s">
        <v>1755</v>
      </c>
      <c r="E139" s="813">
        <v>100</v>
      </c>
      <c r="F139" s="814">
        <v>102.5</v>
      </c>
      <c r="G139" s="1788" t="s">
        <v>1755</v>
      </c>
      <c r="H139" s="815">
        <v>105</v>
      </c>
      <c r="I139" s="1789" t="s">
        <v>1756</v>
      </c>
      <c r="J139" s="812">
        <v>20</v>
      </c>
      <c r="K139" s="816">
        <f>C145/(J139-2)</f>
        <v>4.0555555555555553E-3</v>
      </c>
    </row>
    <row r="140" spans="1:17" ht="15">
      <c r="B140" s="817">
        <v>5</v>
      </c>
      <c r="C140" s="818">
        <v>100</v>
      </c>
      <c r="D140" s="818"/>
      <c r="E140" s="819"/>
      <c r="F140" s="820">
        <v>102</v>
      </c>
      <c r="G140" s="818"/>
      <c r="H140" s="821"/>
      <c r="I140" s="1790" t="s">
        <v>1757</v>
      </c>
      <c r="J140" s="261">
        <f>ROUNDUP((J139-1)/2,0)</f>
        <v>10</v>
      </c>
      <c r="K140" s="822">
        <v>100</v>
      </c>
    </row>
    <row r="141" spans="1:17" ht="15">
      <c r="B141" s="817">
        <v>4</v>
      </c>
      <c r="C141" s="818">
        <v>102</v>
      </c>
      <c r="D141" s="818"/>
      <c r="E141" s="819"/>
      <c r="F141" s="820">
        <v>101.5</v>
      </c>
      <c r="G141" s="818"/>
      <c r="H141" s="821"/>
      <c r="I141" s="1790" t="s">
        <v>1758</v>
      </c>
      <c r="J141" s="261">
        <v>1</v>
      </c>
      <c r="K141" s="823">
        <f>ROUND(100+(J141-J140)*K139*100,1)</f>
        <v>96.4</v>
      </c>
    </row>
    <row r="142" spans="1:17" ht="15">
      <c r="B142" s="817">
        <v>3</v>
      </c>
      <c r="C142" s="818">
        <v>103</v>
      </c>
      <c r="D142" s="818"/>
      <c r="E142" s="819"/>
      <c r="F142" s="820">
        <v>101</v>
      </c>
      <c r="G142" s="818"/>
      <c r="H142" s="821"/>
      <c r="I142" s="1790" t="s">
        <v>1759</v>
      </c>
      <c r="J142" s="261">
        <f>J139</f>
        <v>20</v>
      </c>
      <c r="K142" s="824">
        <v>95</v>
      </c>
    </row>
    <row r="143" spans="1:17" ht="15">
      <c r="B143" s="817">
        <v>2</v>
      </c>
      <c r="C143" s="818">
        <v>100</v>
      </c>
      <c r="D143" s="818"/>
      <c r="E143" s="819"/>
      <c r="F143" s="820">
        <v>100.5</v>
      </c>
      <c r="G143" s="818"/>
      <c r="H143" s="821"/>
      <c r="I143" s="1790" t="s">
        <v>1760</v>
      </c>
      <c r="J143" s="818">
        <v>15</v>
      </c>
      <c r="K143" s="823">
        <f>ROUND(100+(J143-J140)*K139*100,1)</f>
        <v>102</v>
      </c>
    </row>
    <row r="144" spans="1:17" ht="15">
      <c r="B144" s="817">
        <v>1</v>
      </c>
      <c r="C144" s="818">
        <v>98</v>
      </c>
      <c r="D144" s="1791" t="s">
        <v>1761</v>
      </c>
      <c r="E144" s="819">
        <v>102</v>
      </c>
      <c r="F144" s="825">
        <v>100</v>
      </c>
      <c r="G144" s="1791" t="s">
        <v>1761</v>
      </c>
      <c r="H144" s="821">
        <v>105</v>
      </c>
      <c r="I144" s="1790" t="s">
        <v>1760</v>
      </c>
      <c r="J144" s="818">
        <v>18</v>
      </c>
      <c r="K144" s="823">
        <f>ROUND(100+(J144-J140)*K139*100,1)</f>
        <v>103.2</v>
      </c>
    </row>
    <row r="145" spans="2:11" ht="15.75" thickBot="1">
      <c r="B145" s="1792" t="s">
        <v>1762</v>
      </c>
      <c r="C145" s="826">
        <f>ROUND(MAX(C139:C144)/MIN(C139:C144)-1,3)</f>
        <v>7.2999999999999995E-2</v>
      </c>
      <c r="D145" s="827"/>
      <c r="E145" s="827"/>
      <c r="F145" s="1793" t="s">
        <v>1763</v>
      </c>
      <c r="G145" s="1794"/>
      <c r="H145" s="1795"/>
      <c r="I145" s="1796" t="s">
        <v>1760</v>
      </c>
      <c r="J145" s="828">
        <v>8</v>
      </c>
      <c r="K145" s="829">
        <f>ROUND(100+(J145-J140)*K139*100,1)</f>
        <v>99.2</v>
      </c>
    </row>
    <row r="147" spans="2:11">
      <c r="B147" s="1777" t="s">
        <v>1764</v>
      </c>
    </row>
    <row r="148" spans="2:11">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730" t="s">
        <v>1766</v>
      </c>
      <c r="C1" s="1152" t="s">
        <v>1662</v>
      </c>
      <c r="D1" s="1139"/>
      <c r="E1" s="3117"/>
      <c r="F1" s="1731"/>
      <c r="G1" s="1149" t="s">
        <v>1767</v>
      </c>
      <c r="H1" s="1148"/>
      <c r="I1" s="1148"/>
      <c r="J1" s="1148"/>
      <c r="K1" s="1150"/>
      <c r="L1" s="1151"/>
      <c r="M1" s="1152"/>
      <c r="N1" s="1152"/>
      <c r="O1" s="1152"/>
      <c r="P1" s="1797"/>
      <c r="Q1" s="1798"/>
      <c r="R1" s="1798"/>
      <c r="S1" s="1798"/>
      <c r="T1" s="1798"/>
      <c r="U1" s="1798"/>
      <c r="V1" s="1798"/>
      <c r="W1" s="1798"/>
      <c r="X1" s="1798"/>
      <c r="Y1" s="1798"/>
      <c r="Z1" s="1798"/>
      <c r="AA1" s="1798"/>
      <c r="AB1" s="1798"/>
      <c r="AC1" s="1799"/>
    </row>
    <row r="2" spans="1:29" s="340" customFormat="1" ht="28.5" customHeight="1" thickTop="1">
      <c r="A2" s="1135" t="s">
        <v>1462</v>
      </c>
      <c r="B2" s="1082" t="b">
        <f>IF(E1="项目模式",IF(C2="——",ROUND(C49*D3/10000,0),ROUND(C49*D3/10000,0)-D2),IF(E1="单套模式",IF(C2="——",ROUND(C49*D3/10000,4),ROUND(C49*D3/10000,4)-D2)))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1800"/>
      <c r="Q2" s="856"/>
      <c r="R2" s="856"/>
      <c r="S2" s="856"/>
      <c r="T2" s="856"/>
      <c r="U2" s="856"/>
      <c r="V2" s="856"/>
      <c r="W2" s="856"/>
      <c r="X2" s="856"/>
      <c r="Y2" s="856"/>
      <c r="Z2" s="856"/>
      <c r="AA2" s="856"/>
      <c r="AB2" s="856"/>
      <c r="AC2" s="1801"/>
    </row>
    <row r="3" spans="1:29" s="340" customFormat="1" ht="28.5" customHeight="1" thickBot="1">
      <c r="A3" s="193" t="s">
        <v>1464</v>
      </c>
      <c r="B3" s="534">
        <f>IF(C2="——",C49,ROUND(B2*10000/D3,0))</f>
        <v>0</v>
      </c>
      <c r="C3" s="342" t="s">
        <v>1768</v>
      </c>
      <c r="D3" s="341">
        <f>IF(D1="",'数据-汇总表'!E3,SUMIF('数据-汇总表'!$C19:$C33,D1,'数据-汇总表'!$E19:$E33))</f>
        <v>106355.86000000013</v>
      </c>
      <c r="E3" s="1801"/>
      <c r="F3" s="853"/>
      <c r="G3" s="852"/>
      <c r="H3" s="852"/>
      <c r="I3" s="852"/>
      <c r="J3" s="852"/>
      <c r="K3" s="854"/>
      <c r="L3" s="2496"/>
      <c r="M3" s="2497"/>
      <c r="N3" s="2497"/>
      <c r="O3" s="2497"/>
      <c r="P3" s="1800"/>
      <c r="Q3" s="856"/>
      <c r="R3" s="856"/>
      <c r="S3" s="856"/>
      <c r="T3" s="856"/>
      <c r="U3" s="856"/>
      <c r="V3" s="856"/>
      <c r="W3" s="856"/>
      <c r="X3" s="856"/>
      <c r="Y3" s="856"/>
      <c r="Z3" s="856"/>
      <c r="AA3" s="856"/>
      <c r="AB3" s="856"/>
      <c r="AC3" s="1801"/>
    </row>
    <row r="4" spans="1:29" ht="15">
      <c r="A4" s="343" t="s">
        <v>1769</v>
      </c>
      <c r="B4" s="344"/>
      <c r="C4" s="3419" t="s">
        <v>1770</v>
      </c>
      <c r="D4" s="3431"/>
      <c r="E4" s="3432" t="s">
        <v>1771</v>
      </c>
      <c r="F4" s="3433"/>
      <c r="G4" s="3419" t="s">
        <v>1772</v>
      </c>
      <c r="H4" s="3431"/>
      <c r="I4" s="3419" t="s">
        <v>1773</v>
      </c>
      <c r="J4" s="3431"/>
      <c r="K4" s="535" t="s">
        <v>1774</v>
      </c>
      <c r="L4" s="2479"/>
      <c r="M4" s="2480"/>
      <c r="N4" s="2480"/>
      <c r="O4" s="2480"/>
      <c r="P4" s="3434" t="s">
        <v>1775</v>
      </c>
      <c r="Q4" s="3435"/>
      <c r="R4" s="3440" t="s">
        <v>1771</v>
      </c>
      <c r="S4" s="3441"/>
      <c r="T4" s="3440" t="s">
        <v>1772</v>
      </c>
      <c r="U4" s="3441"/>
      <c r="V4" s="3427" t="s">
        <v>1773</v>
      </c>
      <c r="W4" s="3427"/>
      <c r="X4" s="1262"/>
      <c r="Y4" s="3440" t="s">
        <v>1775</v>
      </c>
      <c r="Z4" s="3441"/>
      <c r="AA4" s="3428" t="s">
        <v>1771</v>
      </c>
      <c r="AB4" s="3427" t="s">
        <v>1772</v>
      </c>
      <c r="AC4" s="3428" t="s">
        <v>1773</v>
      </c>
    </row>
    <row r="5" spans="1:29" ht="15">
      <c r="A5" s="346"/>
      <c r="B5" s="347"/>
      <c r="C5" s="3448" t="s">
        <v>1673</v>
      </c>
      <c r="D5" s="3449"/>
      <c r="E5" s="3455" t="s">
        <v>1674</v>
      </c>
      <c r="F5" s="3456"/>
      <c r="G5" s="3448" t="s">
        <v>1675</v>
      </c>
      <c r="H5" s="3449"/>
      <c r="I5" s="3448" t="s">
        <v>1676</v>
      </c>
      <c r="J5" s="3449"/>
      <c r="K5" s="535"/>
      <c r="L5" s="2479"/>
      <c r="M5" s="2480"/>
      <c r="N5" s="2480"/>
      <c r="O5" s="2480"/>
      <c r="P5" s="3436"/>
      <c r="Q5" s="3437"/>
      <c r="R5" s="3442"/>
      <c r="S5" s="3443"/>
      <c r="T5" s="3442"/>
      <c r="U5" s="3443"/>
      <c r="V5" s="3427"/>
      <c r="W5" s="3427"/>
      <c r="X5" s="1262"/>
      <c r="Y5" s="3442"/>
      <c r="Z5" s="3443"/>
      <c r="AA5" s="3429"/>
      <c r="AB5" s="3427"/>
      <c r="AC5" s="3429"/>
    </row>
    <row r="6" spans="1:29" ht="15.75" thickBot="1">
      <c r="A6" s="348"/>
      <c r="B6" s="349"/>
      <c r="C6" s="3446" t="s">
        <v>1677</v>
      </c>
      <c r="D6" s="3447"/>
      <c r="E6" s="3453" t="s">
        <v>1677</v>
      </c>
      <c r="F6" s="3454"/>
      <c r="G6" s="3446" t="s">
        <v>1677</v>
      </c>
      <c r="H6" s="3447"/>
      <c r="I6" s="3446" t="s">
        <v>1677</v>
      </c>
      <c r="J6" s="3447"/>
      <c r="K6" s="535" t="s">
        <v>1678</v>
      </c>
      <c r="L6" s="2479"/>
      <c r="M6" s="2480"/>
      <c r="N6" s="2480"/>
      <c r="O6" s="2480"/>
      <c r="P6" s="3438"/>
      <c r="Q6" s="3439"/>
      <c r="R6" s="3442"/>
      <c r="S6" s="3443"/>
      <c r="T6" s="3444"/>
      <c r="U6" s="3445"/>
      <c r="V6" s="3427"/>
      <c r="W6" s="3427"/>
      <c r="X6" s="1262"/>
      <c r="Y6" s="3444"/>
      <c r="Z6" s="3445"/>
      <c r="AA6" s="3430"/>
      <c r="AB6" s="3427"/>
      <c r="AC6" s="3430"/>
    </row>
    <row r="7" spans="1:29" s="101" customFormat="1" ht="15.75" thickBot="1">
      <c r="A7" s="350" t="s">
        <v>1679</v>
      </c>
      <c r="B7" s="351"/>
      <c r="C7" s="352">
        <f>'数据-取费表'!B2</f>
        <v>45639</v>
      </c>
      <c r="D7" s="353">
        <v>100</v>
      </c>
      <c r="E7" s="354"/>
      <c r="F7" s="355">
        <f>SUMIF(58:58,YEAR(E7)&amp;"-"&amp;MONTH(E7),59:59)</f>
        <v>0</v>
      </c>
      <c r="G7" s="354"/>
      <c r="H7" s="353">
        <f>SUMIF(58:58,YEAR(G7)&amp;"-"&amp;MONTH(G7),59:59)</f>
        <v>0</v>
      </c>
      <c r="I7" s="354"/>
      <c r="J7" s="353">
        <f>SUMIF(58:58,YEAR(I7)&amp;"-"&amp;MONTH(I7),59:59)</f>
        <v>0</v>
      </c>
      <c r="K7" s="38"/>
      <c r="L7" s="2481"/>
      <c r="M7" s="2433"/>
      <c r="N7" s="2433"/>
      <c r="O7" s="2433"/>
      <c r="P7" s="3450" t="s">
        <v>1680</v>
      </c>
      <c r="Q7" s="3452"/>
      <c r="R7" s="661" t="s">
        <v>14</v>
      </c>
      <c r="S7" s="662">
        <f t="shared" ref="S7:S15" si="0">F7</f>
        <v>0</v>
      </c>
      <c r="T7" s="661" t="s">
        <v>14</v>
      </c>
      <c r="U7" s="662">
        <f t="shared" ref="U7:U15" si="1">H7</f>
        <v>0</v>
      </c>
      <c r="V7" s="661" t="s">
        <v>14</v>
      </c>
      <c r="W7" s="662">
        <f t="shared" ref="W7:W15" si="2">J7</f>
        <v>0</v>
      </c>
      <c r="X7" s="663"/>
      <c r="Y7" s="3450" t="s">
        <v>1680</v>
      </c>
      <c r="Z7" s="3451"/>
      <c r="AA7" s="50" t="e">
        <f>D7/F7</f>
        <v>#DIV/0!</v>
      </c>
      <c r="AB7" s="50" t="e">
        <f>D7/H7</f>
        <v>#DIV/0!</v>
      </c>
      <c r="AC7" s="50" t="e">
        <f>D7/J7</f>
        <v>#DIV/0!</v>
      </c>
    </row>
    <row r="8" spans="1:29" s="101" customFormat="1" ht="15.7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1"/>
      <c r="M8" s="2433"/>
      <c r="N8" s="2433"/>
      <c r="O8" s="2433"/>
      <c r="P8" s="3450" t="s">
        <v>1683</v>
      </c>
      <c r="Q8" s="3451"/>
      <c r="R8" s="661" t="s">
        <v>14</v>
      </c>
      <c r="S8" s="662">
        <f t="shared" si="0"/>
        <v>100</v>
      </c>
      <c r="T8" s="661" t="s">
        <v>14</v>
      </c>
      <c r="U8" s="662">
        <f t="shared" si="1"/>
        <v>100</v>
      </c>
      <c r="V8" s="661" t="s">
        <v>14</v>
      </c>
      <c r="W8" s="662">
        <f t="shared" si="2"/>
        <v>100</v>
      </c>
      <c r="X8" s="663"/>
      <c r="Y8" s="3450" t="s">
        <v>1683</v>
      </c>
      <c r="Z8" s="3451"/>
      <c r="AA8" s="50">
        <f t="shared" ref="AA8:AA46" si="3">D8/F8</f>
        <v>1</v>
      </c>
      <c r="AB8" s="50">
        <f t="shared" ref="AB8:AB46" si="4">D8/H8</f>
        <v>1</v>
      </c>
      <c r="AC8" s="50">
        <f t="shared" ref="AC8:AC46" si="5">D8/J8</f>
        <v>1</v>
      </c>
    </row>
    <row r="9" spans="1:29" s="101" customFormat="1">
      <c r="A9" s="357" t="s">
        <v>1684</v>
      </c>
      <c r="B9" s="59" t="s">
        <v>1685</v>
      </c>
      <c r="C9" s="358"/>
      <c r="D9" s="58">
        <v>100</v>
      </c>
      <c r="E9" s="359"/>
      <c r="F9" s="59">
        <f>SUMIF(63:63,E9,64:64)-SUMIF(63:63,C9,64:64)+100</f>
        <v>100</v>
      </c>
      <c r="G9" s="359"/>
      <c r="H9" s="58">
        <f>SUMIF(63:63,G9,64:64)-SUMIF(63:63,C9,64:64)+100</f>
        <v>100</v>
      </c>
      <c r="I9" s="359"/>
      <c r="J9" s="58">
        <f>SUMIF(63:63,I9,64:64)-SUMIF(63:63,C9,64:64)+100</f>
        <v>100</v>
      </c>
      <c r="K9" s="38"/>
      <c r="L9" s="2481"/>
      <c r="M9" s="2433"/>
      <c r="N9" s="2433"/>
      <c r="O9" s="2433"/>
      <c r="P9" s="3421" t="s">
        <v>1686</v>
      </c>
      <c r="Q9" s="528" t="str">
        <f t="shared" ref="Q9:Q15" si="6">B9</f>
        <v>用途</v>
      </c>
      <c r="R9" s="661" t="s">
        <v>14</v>
      </c>
      <c r="S9" s="662">
        <f t="shared" si="0"/>
        <v>100</v>
      </c>
      <c r="T9" s="661" t="s">
        <v>14</v>
      </c>
      <c r="U9" s="662">
        <f t="shared" si="1"/>
        <v>100</v>
      </c>
      <c r="V9" s="661" t="s">
        <v>14</v>
      </c>
      <c r="W9" s="662">
        <f t="shared" si="2"/>
        <v>100</v>
      </c>
      <c r="X9" s="663"/>
      <c r="Y9" s="3322"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2"/>
      <c r="M10" s="2483"/>
      <c r="N10" s="2483"/>
      <c r="O10" s="2483"/>
      <c r="P10" s="3421"/>
      <c r="Q10" s="528" t="str">
        <f t="shared" si="6"/>
        <v>土地使用年限（年）</v>
      </c>
      <c r="R10" s="661" t="s">
        <v>14</v>
      </c>
      <c r="S10" s="662">
        <f t="shared" si="0"/>
        <v>100</v>
      </c>
      <c r="T10" s="661" t="s">
        <v>14</v>
      </c>
      <c r="U10" s="662">
        <f t="shared" si="1"/>
        <v>100</v>
      </c>
      <c r="V10" s="661" t="s">
        <v>14</v>
      </c>
      <c r="W10" s="662">
        <f t="shared" si="2"/>
        <v>100</v>
      </c>
      <c r="X10" s="663"/>
      <c r="Y10" s="3322"/>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4"/>
      <c r="M11" s="2480"/>
      <c r="N11" s="2480"/>
      <c r="O11" s="2480"/>
      <c r="P11" s="3421"/>
      <c r="Q11" s="528" t="str">
        <f t="shared" si="6"/>
        <v>容积率</v>
      </c>
      <c r="R11" s="661" t="s">
        <v>14</v>
      </c>
      <c r="S11" s="662" t="e">
        <f t="shared" si="0"/>
        <v>#N/A</v>
      </c>
      <c r="T11" s="661" t="s">
        <v>14</v>
      </c>
      <c r="U11" s="662" t="e">
        <f t="shared" si="1"/>
        <v>#N/A</v>
      </c>
      <c r="V11" s="661" t="s">
        <v>14</v>
      </c>
      <c r="W11" s="662" t="e">
        <f t="shared" si="2"/>
        <v>#N/A</v>
      </c>
      <c r="X11" s="663"/>
      <c r="Y11" s="3322"/>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1"/>
      <c r="M12" s="2433"/>
      <c r="N12" s="2433"/>
      <c r="O12" s="2433"/>
      <c r="P12" s="3421"/>
      <c r="Q12" s="528">
        <f t="shared" si="6"/>
        <v>111</v>
      </c>
      <c r="R12" s="661" t="s">
        <v>14</v>
      </c>
      <c r="S12" s="662">
        <f t="shared" si="0"/>
        <v>100</v>
      </c>
      <c r="T12" s="661" t="s">
        <v>14</v>
      </c>
      <c r="U12" s="662">
        <f t="shared" si="1"/>
        <v>100</v>
      </c>
      <c r="V12" s="661" t="s">
        <v>14</v>
      </c>
      <c r="W12" s="662">
        <f t="shared" si="2"/>
        <v>100</v>
      </c>
      <c r="X12" s="663"/>
      <c r="Y12" s="3322"/>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5"/>
      <c r="M13" s="2480"/>
      <c r="N13" s="2480"/>
      <c r="O13" s="2480"/>
      <c r="P13" s="3421"/>
      <c r="Q13" s="528">
        <f t="shared" si="6"/>
        <v>111</v>
      </c>
      <c r="R13" s="661" t="s">
        <v>14</v>
      </c>
      <c r="S13" s="662">
        <f t="shared" si="0"/>
        <v>100</v>
      </c>
      <c r="T13" s="661" t="s">
        <v>14</v>
      </c>
      <c r="U13" s="662">
        <f t="shared" si="1"/>
        <v>100</v>
      </c>
      <c r="V13" s="661" t="s">
        <v>14</v>
      </c>
      <c r="W13" s="662">
        <f t="shared" si="2"/>
        <v>100</v>
      </c>
      <c r="X13" s="663"/>
      <c r="Y13" s="3322"/>
      <c r="Z13" s="50">
        <f t="shared" si="7"/>
        <v>111</v>
      </c>
      <c r="AA13" s="50">
        <f t="shared" si="3"/>
        <v>1</v>
      </c>
      <c r="AB13" s="50">
        <f t="shared" si="4"/>
        <v>1</v>
      </c>
      <c r="AC13" s="50">
        <f t="shared" si="5"/>
        <v>1</v>
      </c>
    </row>
    <row r="14" spans="1:29" ht="15.75"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5"/>
      <c r="M14" s="2480"/>
      <c r="N14" s="2480"/>
      <c r="O14" s="2480"/>
      <c r="P14" s="3421"/>
      <c r="Q14" s="528">
        <f t="shared" si="6"/>
        <v>111</v>
      </c>
      <c r="R14" s="661" t="s">
        <v>14</v>
      </c>
      <c r="S14" s="662">
        <f t="shared" si="0"/>
        <v>100</v>
      </c>
      <c r="T14" s="661" t="s">
        <v>14</v>
      </c>
      <c r="U14" s="662">
        <f t="shared" si="1"/>
        <v>100</v>
      </c>
      <c r="V14" s="661" t="s">
        <v>14</v>
      </c>
      <c r="W14" s="662">
        <f t="shared" si="2"/>
        <v>100</v>
      </c>
      <c r="X14" s="663"/>
      <c r="Y14" s="3322"/>
      <c r="Z14" s="50">
        <f t="shared" si="7"/>
        <v>111</v>
      </c>
      <c r="AA14" s="50">
        <f t="shared" si="3"/>
        <v>1</v>
      </c>
      <c r="AB14" s="50">
        <f t="shared" si="4"/>
        <v>1</v>
      </c>
      <c r="AC14" s="50">
        <f t="shared" si="5"/>
        <v>1</v>
      </c>
    </row>
    <row r="15" spans="1:29" ht="15">
      <c r="A15" s="377" t="s">
        <v>1690</v>
      </c>
      <c r="B15" s="57" t="s">
        <v>1777</v>
      </c>
      <c r="C15" s="1746">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5"/>
      <c r="M15" s="2480"/>
      <c r="N15" s="2480"/>
      <c r="O15" s="2480"/>
      <c r="P15" s="3491" t="s">
        <v>1691</v>
      </c>
      <c r="Q15" s="1260" t="str">
        <f t="shared" si="6"/>
        <v>商业繁华度</v>
      </c>
      <c r="R15" s="664" t="s">
        <v>14</v>
      </c>
      <c r="S15" s="665">
        <f t="shared" si="0"/>
        <v>100</v>
      </c>
      <c r="T15" s="664" t="s">
        <v>14</v>
      </c>
      <c r="U15" s="665">
        <f t="shared" si="1"/>
        <v>100</v>
      </c>
      <c r="V15" s="664" t="s">
        <v>14</v>
      </c>
      <c r="W15" s="665">
        <f t="shared" si="2"/>
        <v>100</v>
      </c>
      <c r="X15" s="1262"/>
      <c r="Y15" s="3423"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5"/>
      <c r="M16" s="2480"/>
      <c r="N16" s="2480"/>
      <c r="O16" s="2480"/>
      <c r="P16" s="3492"/>
      <c r="Q16" s="1260"/>
      <c r="R16" s="664"/>
      <c r="S16" s="665"/>
      <c r="T16" s="664"/>
      <c r="U16" s="665"/>
      <c r="V16" s="664"/>
      <c r="W16" s="665"/>
      <c r="X16" s="1262"/>
      <c r="Y16" s="3424"/>
      <c r="Z16" s="1261"/>
      <c r="AA16" s="1261">
        <v>1</v>
      </c>
      <c r="AB16" s="1261">
        <v>1</v>
      </c>
      <c r="AC16" s="1261">
        <v>1</v>
      </c>
    </row>
    <row r="17" spans="1:29" ht="15">
      <c r="A17" s="365"/>
      <c r="B17" s="388" t="s">
        <v>1259</v>
      </c>
      <c r="C17" s="1750" t="str">
        <f>估价对象房地状况!C6</f>
        <v>一般</v>
      </c>
      <c r="D17" s="387">
        <v>100</v>
      </c>
      <c r="E17" s="389"/>
      <c r="F17" s="390">
        <f>SUMIF(78:78,E18,79:79)-SUMIF(78:78,C18,79:79)+100</f>
        <v>100</v>
      </c>
      <c r="G17" s="391"/>
      <c r="H17" s="392">
        <f>SUMIF(78:78,G18,79:79)-SUMIF(78:78,C18,79:79)+100</f>
        <v>100</v>
      </c>
      <c r="I17" s="389"/>
      <c r="J17" s="392">
        <f>SUMIF(78:78,I18,79:79)-SUMIF(78:78,C18,79:79)+100</f>
        <v>100</v>
      </c>
      <c r="K17" s="538"/>
      <c r="L17" s="2485"/>
      <c r="M17" s="2480"/>
      <c r="N17" s="2480"/>
      <c r="O17" s="2480"/>
      <c r="P17" s="3492"/>
      <c r="Q17" s="1260" t="str">
        <f>B17</f>
        <v>交通便捷度</v>
      </c>
      <c r="R17" s="664" t="s">
        <v>14</v>
      </c>
      <c r="S17" s="665">
        <f>F17</f>
        <v>100</v>
      </c>
      <c r="T17" s="664" t="s">
        <v>14</v>
      </c>
      <c r="U17" s="665">
        <f>H17</f>
        <v>100</v>
      </c>
      <c r="V17" s="664" t="s">
        <v>14</v>
      </c>
      <c r="W17" s="665">
        <f>J17</f>
        <v>100</v>
      </c>
      <c r="X17" s="1262"/>
      <c r="Y17" s="3424"/>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5"/>
      <c r="M18" s="2480"/>
      <c r="N18" s="2480"/>
      <c r="O18" s="2480"/>
      <c r="P18" s="3492"/>
      <c r="Q18" s="1260"/>
      <c r="R18" s="664"/>
      <c r="S18" s="665"/>
      <c r="T18" s="664"/>
      <c r="U18" s="665"/>
      <c r="V18" s="664"/>
      <c r="W18" s="665"/>
      <c r="X18" s="1262"/>
      <c r="Y18" s="3424"/>
      <c r="Z18" s="1261"/>
      <c r="AA18" s="1261">
        <v>1</v>
      </c>
      <c r="AB18" s="1261">
        <v>1</v>
      </c>
      <c r="AC18" s="1261">
        <v>1</v>
      </c>
    </row>
    <row r="19" spans="1:29" ht="15">
      <c r="A19" s="365"/>
      <c r="B19" s="388" t="s">
        <v>1778</v>
      </c>
      <c r="C19" s="1750" t="str">
        <f>估价对象房地状况!C7</f>
        <v>一般</v>
      </c>
      <c r="D19" s="392">
        <v>100</v>
      </c>
      <c r="E19" s="394"/>
      <c r="F19" s="395">
        <f>SUMIF(80:80,E20,81:81)-SUMIF(80:80,C20,81:81)+100</f>
        <v>100</v>
      </c>
      <c r="G19" s="396"/>
      <c r="H19" s="387">
        <f>SUMIF(80:80,G20,81:81)-SUMIF(80:80,C20,81:81)+100</f>
        <v>100</v>
      </c>
      <c r="I19" s="394"/>
      <c r="J19" s="387">
        <f>SUMIF(80:80,I20,81:81)-SUMIF(80:80,C20,81:81)+100</f>
        <v>100</v>
      </c>
      <c r="K19" s="538"/>
      <c r="L19" s="2485"/>
      <c r="M19" s="2480"/>
      <c r="N19" s="2480"/>
      <c r="O19" s="2480"/>
      <c r="P19" s="3492"/>
      <c r="Q19" s="1260" t="str">
        <f>B19</f>
        <v>公共配套设施</v>
      </c>
      <c r="R19" s="664" t="s">
        <v>14</v>
      </c>
      <c r="S19" s="665">
        <f>F19</f>
        <v>100</v>
      </c>
      <c r="T19" s="664" t="s">
        <v>14</v>
      </c>
      <c r="U19" s="665">
        <f>H19</f>
        <v>100</v>
      </c>
      <c r="V19" s="664" t="s">
        <v>14</v>
      </c>
      <c r="W19" s="665">
        <f>J19</f>
        <v>100</v>
      </c>
      <c r="X19" s="1262"/>
      <c r="Y19" s="3424"/>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5"/>
      <c r="M20" s="2480"/>
      <c r="N20" s="2480"/>
      <c r="O20" s="2480"/>
      <c r="P20" s="3492"/>
      <c r="Q20" s="1260"/>
      <c r="R20" s="664"/>
      <c r="S20" s="665"/>
      <c r="T20" s="664"/>
      <c r="U20" s="665"/>
      <c r="V20" s="664"/>
      <c r="W20" s="665"/>
      <c r="X20" s="1262"/>
      <c r="Y20" s="3424"/>
      <c r="Z20" s="1261"/>
      <c r="AA20" s="1261">
        <v>1</v>
      </c>
      <c r="AB20" s="1261">
        <v>1</v>
      </c>
      <c r="AC20" s="1261">
        <v>1</v>
      </c>
    </row>
    <row r="21" spans="1:29" ht="15">
      <c r="A21" s="365"/>
      <c r="B21" s="584" t="s">
        <v>1779</v>
      </c>
      <c r="C21" s="1750"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5"/>
      <c r="M21" s="2480"/>
      <c r="N21" s="2480"/>
      <c r="O21" s="2480"/>
      <c r="P21" s="3492"/>
      <c r="Q21" s="1260" t="str">
        <f>B21</f>
        <v>基础设施水平</v>
      </c>
      <c r="R21" s="664" t="s">
        <v>14</v>
      </c>
      <c r="S21" s="665">
        <f>F21</f>
        <v>100</v>
      </c>
      <c r="T21" s="664" t="s">
        <v>14</v>
      </c>
      <c r="U21" s="665">
        <f>H21</f>
        <v>100</v>
      </c>
      <c r="V21" s="664" t="s">
        <v>14</v>
      </c>
      <c r="W21" s="665">
        <f>J21</f>
        <v>100</v>
      </c>
      <c r="X21" s="1262"/>
      <c r="Y21" s="3424"/>
      <c r="Z21" s="1261" t="str">
        <f>Q21</f>
        <v>基础设施水平</v>
      </c>
      <c r="AA21" s="1261">
        <f t="shared" ref="AA21" si="8">D21/F21</f>
        <v>1</v>
      </c>
      <c r="AB21" s="1261">
        <f t="shared" ref="AB21" si="9">D21/H21</f>
        <v>1</v>
      </c>
      <c r="AC21" s="1261">
        <f t="shared" ref="AC21" si="10">D21/J21</f>
        <v>1</v>
      </c>
    </row>
    <row r="22" spans="1:29" ht="15">
      <c r="A22" s="365"/>
      <c r="B22" s="584"/>
      <c r="C22" s="1751"/>
      <c r="D22" s="385"/>
      <c r="E22" s="384"/>
      <c r="F22" s="386"/>
      <c r="G22" s="384"/>
      <c r="H22" s="385"/>
      <c r="I22" s="384"/>
      <c r="J22" s="385"/>
      <c r="K22" s="1061"/>
      <c r="L22" s="2485"/>
      <c r="M22" s="2480"/>
      <c r="N22" s="2480"/>
      <c r="O22" s="2480"/>
      <c r="P22" s="3492"/>
      <c r="Q22" s="1260"/>
      <c r="R22" s="664"/>
      <c r="S22" s="665"/>
      <c r="T22" s="664"/>
      <c r="U22" s="665"/>
      <c r="V22" s="664"/>
      <c r="W22" s="665"/>
      <c r="X22" s="1262"/>
      <c r="Y22" s="3424"/>
      <c r="Z22" s="1261"/>
      <c r="AA22" s="1261">
        <v>1</v>
      </c>
      <c r="AB22" s="1261">
        <v>1</v>
      </c>
      <c r="AC22" s="1261">
        <v>1</v>
      </c>
    </row>
    <row r="23" spans="1:29" ht="15">
      <c r="A23" s="365"/>
      <c r="B23" s="388" t="s">
        <v>1261</v>
      </c>
      <c r="C23" s="1802" t="str">
        <f>估价对象房地状况!C9</f>
        <v>一般</v>
      </c>
      <c r="D23" s="387">
        <v>100</v>
      </c>
      <c r="E23" s="389"/>
      <c r="F23" s="390">
        <f>SUMIF(84:84,E24,85:85)-SUMIF(84:84,C24,85:85)+100</f>
        <v>100</v>
      </c>
      <c r="G23" s="391"/>
      <c r="H23" s="387">
        <f>SUMIF(84:84,G24,85:85)-SUMIF(84:84,C24,85:85)+100</f>
        <v>100</v>
      </c>
      <c r="I23" s="389"/>
      <c r="J23" s="387">
        <f>SUMIF(84:84,I24,85:85)-SUMIF(84:84,C24,85:85)+100</f>
        <v>100</v>
      </c>
      <c r="K23" s="538"/>
      <c r="L23" s="2485"/>
      <c r="M23" s="2480"/>
      <c r="N23" s="2480"/>
      <c r="O23" s="2480"/>
      <c r="P23" s="3492"/>
      <c r="Q23" s="1260" t="str">
        <f>B23</f>
        <v>自然及人文环境</v>
      </c>
      <c r="R23" s="664" t="s">
        <v>14</v>
      </c>
      <c r="S23" s="665">
        <f>F23</f>
        <v>100</v>
      </c>
      <c r="T23" s="664" t="s">
        <v>14</v>
      </c>
      <c r="U23" s="665">
        <f>H23</f>
        <v>100</v>
      </c>
      <c r="V23" s="664" t="s">
        <v>14</v>
      </c>
      <c r="W23" s="665">
        <f>J23</f>
        <v>100</v>
      </c>
      <c r="X23" s="1262"/>
      <c r="Y23" s="3424"/>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5"/>
      <c r="M24" s="2480"/>
      <c r="N24" s="2480"/>
      <c r="O24" s="2480"/>
      <c r="P24" s="3492"/>
      <c r="Q24" s="1260"/>
      <c r="R24" s="664"/>
      <c r="S24" s="665"/>
      <c r="T24" s="664"/>
      <c r="U24" s="665"/>
      <c r="V24" s="664"/>
      <c r="W24" s="665"/>
      <c r="X24" s="1262"/>
      <c r="Y24" s="3424"/>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5"/>
      <c r="M25" s="2480"/>
      <c r="N25" s="2480"/>
      <c r="O25" s="2480"/>
      <c r="P25" s="3492"/>
      <c r="Q25" s="1260" t="str">
        <f t="shared" ref="Q25:Q46" si="11">B25</f>
        <v>临街状况</v>
      </c>
      <c r="R25" s="664" t="s">
        <v>14</v>
      </c>
      <c r="S25" s="665">
        <f>F25</f>
        <v>100</v>
      </c>
      <c r="T25" s="664" t="s">
        <v>14</v>
      </c>
      <c r="U25" s="665">
        <f>H25</f>
        <v>100</v>
      </c>
      <c r="V25" s="664" t="s">
        <v>14</v>
      </c>
      <c r="W25" s="665">
        <f>J25</f>
        <v>100</v>
      </c>
      <c r="X25" s="1262"/>
      <c r="Y25" s="3424"/>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5"/>
      <c r="M26" s="2480"/>
      <c r="N26" s="2480"/>
      <c r="O26" s="2480"/>
      <c r="P26" s="3492"/>
      <c r="Q26" s="1260" t="str">
        <f t="shared" si="11"/>
        <v>平面位置/可视性</v>
      </c>
      <c r="R26" s="664" t="s">
        <v>14</v>
      </c>
      <c r="S26" s="665">
        <f>F26</f>
        <v>100</v>
      </c>
      <c r="T26" s="664" t="s">
        <v>14</v>
      </c>
      <c r="U26" s="665">
        <f>H26</f>
        <v>100</v>
      </c>
      <c r="V26" s="664" t="s">
        <v>14</v>
      </c>
      <c r="W26" s="665">
        <f>J26</f>
        <v>100</v>
      </c>
      <c r="X26" s="1262"/>
      <c r="Y26" s="3424"/>
      <c r="Z26" s="1261" t="str">
        <f>Q26</f>
        <v>平面位置/可视性</v>
      </c>
      <c r="AA26" s="1261">
        <f t="shared" si="3"/>
        <v>1</v>
      </c>
      <c r="AB26" s="1261">
        <f t="shared" si="4"/>
        <v>1</v>
      </c>
      <c r="AC26" s="1261">
        <f t="shared" si="5"/>
        <v>1</v>
      </c>
    </row>
    <row r="27" spans="1:29" s="101" customFormat="1" ht="15">
      <c r="A27" s="368"/>
      <c r="B27" s="388" t="s">
        <v>1782</v>
      </c>
      <c r="C27" s="1803"/>
      <c r="D27" s="399">
        <v>100</v>
      </c>
      <c r="E27" s="1803"/>
      <c r="F27" s="393">
        <f>SUMIF(90:90,E27,91:91)-SUMIF(90:90,C27,91:91)+100</f>
        <v>100</v>
      </c>
      <c r="G27" s="1803"/>
      <c r="H27" s="399">
        <f>SUMIF(90:90,G27,91:91)-SUMIF(90:90,C27,91:91)+100</f>
        <v>100</v>
      </c>
      <c r="I27" s="1803"/>
      <c r="J27" s="399">
        <f>SUMIF(90:90,I27,91:91)-SUMIF(90:90,C27,91:91)+100</f>
        <v>100</v>
      </c>
      <c r="K27" s="536"/>
      <c r="L27" s="2481"/>
      <c r="M27" s="2433"/>
      <c r="N27" s="2433"/>
      <c r="O27" s="2433"/>
      <c r="P27" s="3492"/>
      <c r="Q27" s="528" t="str">
        <f t="shared" si="11"/>
        <v>人流量</v>
      </c>
      <c r="R27" s="661" t="s">
        <v>14</v>
      </c>
      <c r="S27" s="662">
        <f>F27</f>
        <v>100</v>
      </c>
      <c r="T27" s="661" t="s">
        <v>14</v>
      </c>
      <c r="U27" s="662">
        <f>H27</f>
        <v>100</v>
      </c>
      <c r="V27" s="661" t="s">
        <v>14</v>
      </c>
      <c r="W27" s="662">
        <f>J27</f>
        <v>100</v>
      </c>
      <c r="X27" s="663"/>
      <c r="Y27" s="3424"/>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5"/>
      <c r="M28" s="2480"/>
      <c r="N28" s="2480"/>
      <c r="O28" s="2480"/>
      <c r="P28" s="3492"/>
      <c r="Q28" s="1260" t="str">
        <f t="shared" si="11"/>
        <v>楼层</v>
      </c>
      <c r="R28" s="664" t="s">
        <v>14</v>
      </c>
      <c r="S28" s="665">
        <f t="shared" ref="S28:S46" si="12">F28</f>
        <v>100</v>
      </c>
      <c r="T28" s="664" t="s">
        <v>14</v>
      </c>
      <c r="U28" s="665">
        <f t="shared" ref="U28:U46" si="13">H28</f>
        <v>100</v>
      </c>
      <c r="V28" s="664" t="s">
        <v>14</v>
      </c>
      <c r="W28" s="665">
        <f t="shared" ref="W28:W46" si="14">J28</f>
        <v>100</v>
      </c>
      <c r="X28" s="1262"/>
      <c r="Y28" s="3424"/>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5"/>
      <c r="M29" s="2480"/>
      <c r="N29" s="2480"/>
      <c r="O29" s="2480"/>
      <c r="P29" s="3492"/>
      <c r="Q29" s="1260">
        <f t="shared" si="11"/>
        <v>111</v>
      </c>
      <c r="R29" s="664" t="s">
        <v>14</v>
      </c>
      <c r="S29" s="665">
        <f t="shared" si="12"/>
        <v>100</v>
      </c>
      <c r="T29" s="664" t="s">
        <v>14</v>
      </c>
      <c r="U29" s="665">
        <f t="shared" si="13"/>
        <v>100</v>
      </c>
      <c r="V29" s="664" t="s">
        <v>14</v>
      </c>
      <c r="W29" s="665">
        <f t="shared" si="14"/>
        <v>100</v>
      </c>
      <c r="X29" s="1262"/>
      <c r="Y29" s="3424"/>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5"/>
      <c r="M30" s="2480"/>
      <c r="N30" s="2480"/>
      <c r="O30" s="2480"/>
      <c r="P30" s="3492"/>
      <c r="Q30" s="1260">
        <f t="shared" si="11"/>
        <v>111</v>
      </c>
      <c r="R30" s="664" t="s">
        <v>14</v>
      </c>
      <c r="S30" s="665">
        <f t="shared" si="12"/>
        <v>100</v>
      </c>
      <c r="T30" s="664" t="s">
        <v>14</v>
      </c>
      <c r="U30" s="665">
        <f t="shared" si="13"/>
        <v>100</v>
      </c>
      <c r="V30" s="664" t="s">
        <v>14</v>
      </c>
      <c r="W30" s="665">
        <f t="shared" si="14"/>
        <v>100</v>
      </c>
      <c r="X30" s="1262"/>
      <c r="Y30" s="3424"/>
      <c r="Z30" s="1261">
        <f t="shared" si="15"/>
        <v>111</v>
      </c>
      <c r="AA30" s="1261">
        <f t="shared" si="3"/>
        <v>1</v>
      </c>
      <c r="AB30" s="1261">
        <f t="shared" si="4"/>
        <v>1</v>
      </c>
      <c r="AC30" s="1261">
        <f t="shared" si="5"/>
        <v>1</v>
      </c>
    </row>
    <row r="31" spans="1:29" ht="15.75"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5"/>
      <c r="M31" s="2480"/>
      <c r="N31" s="2480"/>
      <c r="O31" s="2480"/>
      <c r="P31" s="3492"/>
      <c r="Q31" s="1260">
        <f t="shared" si="11"/>
        <v>111</v>
      </c>
      <c r="R31" s="664" t="s">
        <v>14</v>
      </c>
      <c r="S31" s="665">
        <f t="shared" si="12"/>
        <v>100</v>
      </c>
      <c r="T31" s="664" t="s">
        <v>14</v>
      </c>
      <c r="U31" s="665">
        <f t="shared" si="13"/>
        <v>100</v>
      </c>
      <c r="V31" s="664" t="s">
        <v>14</v>
      </c>
      <c r="W31" s="665">
        <f t="shared" si="14"/>
        <v>100</v>
      </c>
      <c r="X31" s="1262"/>
      <c r="Y31" s="3424"/>
      <c r="Z31" s="1261">
        <f t="shared" si="15"/>
        <v>111</v>
      </c>
      <c r="AA31" s="1261">
        <f t="shared" si="3"/>
        <v>1</v>
      </c>
      <c r="AB31" s="1261">
        <f t="shared" si="4"/>
        <v>1</v>
      </c>
      <c r="AC31" s="1261">
        <f t="shared" si="5"/>
        <v>1</v>
      </c>
    </row>
    <row r="32" spans="1:29" ht="15">
      <c r="A32" s="377" t="s">
        <v>1694</v>
      </c>
      <c r="B32" s="59" t="s">
        <v>1784</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5"/>
      <c r="M32" s="2480"/>
      <c r="N32" s="2480"/>
      <c r="O32" s="2480"/>
      <c r="P32" s="3487" t="s">
        <v>1696</v>
      </c>
      <c r="Q32" s="1260" t="str">
        <f t="shared" si="11"/>
        <v>商业类型</v>
      </c>
      <c r="R32" s="664" t="s">
        <v>14</v>
      </c>
      <c r="S32" s="665">
        <f t="shared" si="12"/>
        <v>100</v>
      </c>
      <c r="T32" s="664" t="s">
        <v>14</v>
      </c>
      <c r="U32" s="665">
        <f t="shared" si="13"/>
        <v>100</v>
      </c>
      <c r="V32" s="664" t="s">
        <v>14</v>
      </c>
      <c r="W32" s="665">
        <f t="shared" si="14"/>
        <v>100</v>
      </c>
      <c r="X32" s="1262"/>
      <c r="Y32" s="3426"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4"/>
      <c r="M33" s="2486"/>
      <c r="N33" s="2486"/>
      <c r="O33" s="2486"/>
      <c r="P33" s="3488"/>
      <c r="Q33" s="529" t="str">
        <f t="shared" si="11"/>
        <v>项目建筑规模</v>
      </c>
      <c r="R33" s="666" t="s">
        <v>14</v>
      </c>
      <c r="S33" s="667" t="e">
        <f t="shared" si="12"/>
        <v>#N/A</v>
      </c>
      <c r="T33" s="666" t="s">
        <v>14</v>
      </c>
      <c r="U33" s="667" t="e">
        <f t="shared" si="13"/>
        <v>#N/A</v>
      </c>
      <c r="V33" s="666" t="s">
        <v>14</v>
      </c>
      <c r="W33" s="667" t="e">
        <f t="shared" si="14"/>
        <v>#N/A</v>
      </c>
      <c r="X33" s="668"/>
      <c r="Y33" s="3426"/>
      <c r="Z33" s="669"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5"/>
      <c r="M34" s="2480"/>
      <c r="N34" s="2480"/>
      <c r="O34" s="2480"/>
      <c r="P34" s="3488"/>
      <c r="Q34" s="1260" t="str">
        <f t="shared" si="11"/>
        <v>建筑结构</v>
      </c>
      <c r="R34" s="664" t="s">
        <v>14</v>
      </c>
      <c r="S34" s="665">
        <f t="shared" si="12"/>
        <v>100</v>
      </c>
      <c r="T34" s="664" t="s">
        <v>14</v>
      </c>
      <c r="U34" s="665">
        <f t="shared" si="13"/>
        <v>100</v>
      </c>
      <c r="V34" s="664" t="s">
        <v>14</v>
      </c>
      <c r="W34" s="665">
        <f t="shared" si="14"/>
        <v>100</v>
      </c>
      <c r="X34" s="1262"/>
      <c r="Y34" s="3426"/>
      <c r="Z34" s="1261" t="str">
        <f t="shared" si="15"/>
        <v>建筑结构</v>
      </c>
      <c r="AA34" s="1261">
        <f t="shared" si="3"/>
        <v>1</v>
      </c>
      <c r="AB34" s="1261">
        <f t="shared" si="4"/>
        <v>1</v>
      </c>
      <c r="AC34" s="1261">
        <f t="shared" si="5"/>
        <v>1</v>
      </c>
    </row>
    <row r="35" spans="1:29" ht="15">
      <c r="A35" s="407"/>
      <c r="B35" s="362" t="s">
        <v>1785</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5"/>
      <c r="M35" s="2480"/>
      <c r="N35" s="2480"/>
      <c r="O35" s="2480"/>
      <c r="P35" s="3488"/>
      <c r="Q35" s="1260" t="str">
        <f t="shared" si="11"/>
        <v>公共部分装修</v>
      </c>
      <c r="R35" s="664" t="s">
        <v>14</v>
      </c>
      <c r="S35" s="665">
        <f t="shared" si="12"/>
        <v>100</v>
      </c>
      <c r="T35" s="664" t="s">
        <v>14</v>
      </c>
      <c r="U35" s="665">
        <f t="shared" si="13"/>
        <v>100</v>
      </c>
      <c r="V35" s="664" t="s">
        <v>14</v>
      </c>
      <c r="W35" s="665">
        <f t="shared" si="14"/>
        <v>100</v>
      </c>
      <c r="X35" s="1262"/>
      <c r="Y35" s="3426"/>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5"/>
      <c r="M36" s="2480"/>
      <c r="N36" s="2480"/>
      <c r="O36" s="2480"/>
      <c r="P36" s="3488"/>
      <c r="Q36" s="1260" t="str">
        <f t="shared" si="11"/>
        <v>成新度</v>
      </c>
      <c r="R36" s="664" t="s">
        <v>14</v>
      </c>
      <c r="S36" s="665" t="e">
        <f t="shared" si="12"/>
        <v>#N/A</v>
      </c>
      <c r="T36" s="664" t="s">
        <v>14</v>
      </c>
      <c r="U36" s="665" t="e">
        <f t="shared" si="13"/>
        <v>#N/A</v>
      </c>
      <c r="V36" s="664" t="s">
        <v>14</v>
      </c>
      <c r="W36" s="665" t="e">
        <f t="shared" si="14"/>
        <v>#N/A</v>
      </c>
      <c r="X36" s="1262"/>
      <c r="Y36" s="3426"/>
      <c r="Z36" s="1261" t="str">
        <f t="shared" si="15"/>
        <v>成新度</v>
      </c>
      <c r="AA36" s="1261" t="e">
        <f t="shared" si="3"/>
        <v>#N/A</v>
      </c>
      <c r="AB36" s="1261" t="e">
        <f t="shared" si="4"/>
        <v>#N/A</v>
      </c>
      <c r="AC36" s="1261" t="e">
        <f t="shared" si="5"/>
        <v>#N/A</v>
      </c>
    </row>
    <row r="37" spans="1:29" s="101" customFormat="1" ht="15">
      <c r="A37" s="408"/>
      <c r="B37" s="362" t="s">
        <v>1787</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1"/>
      <c r="M37" s="2433"/>
      <c r="N37" s="2433"/>
      <c r="O37" s="2433"/>
      <c r="P37" s="3488"/>
      <c r="Q37" s="528" t="str">
        <f t="shared" si="11"/>
        <v>市政基础设施</v>
      </c>
      <c r="R37" s="661" t="s">
        <v>14</v>
      </c>
      <c r="S37" s="662">
        <f t="shared" si="12"/>
        <v>100</v>
      </c>
      <c r="T37" s="661" t="s">
        <v>14</v>
      </c>
      <c r="U37" s="662">
        <f t="shared" si="13"/>
        <v>100</v>
      </c>
      <c r="V37" s="661" t="s">
        <v>14</v>
      </c>
      <c r="W37" s="662">
        <f t="shared" si="14"/>
        <v>100</v>
      </c>
      <c r="X37" s="663"/>
      <c r="Y37" s="3426"/>
      <c r="Z37" s="50" t="str">
        <f t="shared" si="15"/>
        <v>市政基础设施</v>
      </c>
      <c r="AA37" s="50">
        <f t="shared" si="3"/>
        <v>1</v>
      </c>
      <c r="AB37" s="50">
        <f t="shared" si="4"/>
        <v>1</v>
      </c>
      <c r="AC37" s="50">
        <f t="shared" si="5"/>
        <v>1</v>
      </c>
    </row>
    <row r="38" spans="1:29" ht="15">
      <c r="A38" s="407"/>
      <c r="B38" s="362" t="s">
        <v>1788</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5"/>
      <c r="M38" s="2480"/>
      <c r="N38" s="2480"/>
      <c r="O38" s="2480"/>
      <c r="P38" s="3488" t="s">
        <v>1696</v>
      </c>
      <c r="Q38" s="1260" t="str">
        <f t="shared" si="11"/>
        <v>业态</v>
      </c>
      <c r="R38" s="664" t="s">
        <v>14</v>
      </c>
      <c r="S38" s="665">
        <f t="shared" si="12"/>
        <v>100</v>
      </c>
      <c r="T38" s="664" t="s">
        <v>14</v>
      </c>
      <c r="U38" s="665">
        <f t="shared" si="13"/>
        <v>100</v>
      </c>
      <c r="V38" s="664" t="s">
        <v>14</v>
      </c>
      <c r="W38" s="665">
        <f t="shared" si="14"/>
        <v>100</v>
      </c>
      <c r="X38" s="1262"/>
      <c r="Y38" s="3426" t="s">
        <v>1696</v>
      </c>
      <c r="Z38" s="1261" t="str">
        <f t="shared" si="15"/>
        <v>业态</v>
      </c>
      <c r="AA38" s="1261">
        <f t="shared" si="3"/>
        <v>1</v>
      </c>
      <c r="AB38" s="1261">
        <f t="shared" si="4"/>
        <v>1</v>
      </c>
      <c r="AC38" s="1261">
        <f t="shared" si="5"/>
        <v>1</v>
      </c>
    </row>
    <row r="39" spans="1:29" ht="15">
      <c r="A39" s="407"/>
      <c r="B39" s="362" t="s">
        <v>1789</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5"/>
      <c r="M39" s="2480"/>
      <c r="N39" s="2480"/>
      <c r="O39" s="2480"/>
      <c r="P39" s="3488"/>
      <c r="Q39" s="1260" t="str">
        <f t="shared" si="11"/>
        <v>层高</v>
      </c>
      <c r="R39" s="664" t="s">
        <v>14</v>
      </c>
      <c r="S39" s="665">
        <f t="shared" si="12"/>
        <v>100</v>
      </c>
      <c r="T39" s="664" t="s">
        <v>14</v>
      </c>
      <c r="U39" s="665">
        <f t="shared" si="13"/>
        <v>100</v>
      </c>
      <c r="V39" s="664" t="s">
        <v>14</v>
      </c>
      <c r="W39" s="665">
        <f t="shared" si="14"/>
        <v>100</v>
      </c>
      <c r="X39" s="1262"/>
      <c r="Y39" s="3426"/>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5"/>
      <c r="M40" s="2480"/>
      <c r="N40" s="2480"/>
      <c r="O40" s="2480"/>
      <c r="P40" s="3488"/>
      <c r="Q40" s="1260" t="str">
        <f t="shared" si="11"/>
        <v>单套建筑面积</v>
      </c>
      <c r="R40" s="664" t="s">
        <v>14</v>
      </c>
      <c r="S40" s="665">
        <f t="shared" si="12"/>
        <v>100</v>
      </c>
      <c r="T40" s="664" t="s">
        <v>14</v>
      </c>
      <c r="U40" s="665">
        <f t="shared" si="13"/>
        <v>100</v>
      </c>
      <c r="V40" s="664" t="s">
        <v>14</v>
      </c>
      <c r="W40" s="665">
        <f t="shared" si="14"/>
        <v>100</v>
      </c>
      <c r="X40" s="1262"/>
      <c r="Y40" s="3426"/>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4"/>
      <c r="M41" s="2486"/>
      <c r="N41" s="2486"/>
      <c r="O41" s="2486"/>
      <c r="P41" s="3488"/>
      <c r="Q41" s="529" t="str">
        <f t="shared" si="11"/>
        <v>进深比</v>
      </c>
      <c r="R41" s="666" t="s">
        <v>14</v>
      </c>
      <c r="S41" s="667">
        <f t="shared" si="12"/>
        <v>100</v>
      </c>
      <c r="T41" s="666" t="s">
        <v>14</v>
      </c>
      <c r="U41" s="667">
        <f t="shared" si="13"/>
        <v>100</v>
      </c>
      <c r="V41" s="666" t="s">
        <v>14</v>
      </c>
      <c r="W41" s="667">
        <f t="shared" si="14"/>
        <v>100</v>
      </c>
      <c r="X41" s="668"/>
      <c r="Y41" s="3426"/>
      <c r="Z41" s="669" t="str">
        <f t="shared" si="15"/>
        <v>进深比</v>
      </c>
      <c r="AA41" s="1261">
        <f t="shared" si="3"/>
        <v>1</v>
      </c>
      <c r="AB41" s="1261">
        <f t="shared" si="4"/>
        <v>1</v>
      </c>
      <c r="AC41" s="1261">
        <f t="shared" si="5"/>
        <v>1</v>
      </c>
    </row>
    <row r="42" spans="1:29" ht="15">
      <c r="A42" s="407"/>
      <c r="B42" s="362" t="s">
        <v>1792</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5"/>
      <c r="M42" s="2480"/>
      <c r="N42" s="2480"/>
      <c r="O42" s="2480"/>
      <c r="P42" s="3488"/>
      <c r="Q42" s="1260" t="str">
        <f t="shared" si="11"/>
        <v>内部装修</v>
      </c>
      <c r="R42" s="664" t="s">
        <v>14</v>
      </c>
      <c r="S42" s="665">
        <f t="shared" si="12"/>
        <v>100</v>
      </c>
      <c r="T42" s="664" t="s">
        <v>14</v>
      </c>
      <c r="U42" s="665">
        <f t="shared" si="13"/>
        <v>100</v>
      </c>
      <c r="V42" s="664" t="s">
        <v>14</v>
      </c>
      <c r="W42" s="665">
        <f t="shared" si="14"/>
        <v>100</v>
      </c>
      <c r="X42" s="1262"/>
      <c r="Y42" s="3426"/>
      <c r="Z42" s="1261" t="str">
        <f t="shared" si="15"/>
        <v>内部装修</v>
      </c>
      <c r="AA42" s="1261">
        <f t="shared" si="3"/>
        <v>1</v>
      </c>
      <c r="AB42" s="1261">
        <f t="shared" si="4"/>
        <v>1</v>
      </c>
      <c r="AC42" s="1261">
        <f t="shared" si="5"/>
        <v>1</v>
      </c>
    </row>
    <row r="43" spans="1:29" ht="15">
      <c r="A43" s="407"/>
      <c r="B43" s="362" t="s">
        <v>1707</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5"/>
      <c r="M43" s="2480"/>
      <c r="N43" s="2480"/>
      <c r="O43" s="2480"/>
      <c r="P43" s="3488"/>
      <c r="Q43" s="1260" t="str">
        <f t="shared" si="11"/>
        <v>内部装修维护情况</v>
      </c>
      <c r="R43" s="664" t="s">
        <v>14</v>
      </c>
      <c r="S43" s="665">
        <f t="shared" si="12"/>
        <v>100</v>
      </c>
      <c r="T43" s="664" t="s">
        <v>14</v>
      </c>
      <c r="U43" s="665">
        <f t="shared" si="13"/>
        <v>100</v>
      </c>
      <c r="V43" s="664" t="s">
        <v>14</v>
      </c>
      <c r="W43" s="665">
        <f t="shared" si="14"/>
        <v>100</v>
      </c>
      <c r="X43" s="1262"/>
      <c r="Y43" s="3426"/>
      <c r="Z43" s="1261" t="str">
        <f t="shared" si="15"/>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1"/>
      <c r="M44" s="2433"/>
      <c r="N44" s="2433"/>
      <c r="O44" s="2433"/>
      <c r="P44" s="3488"/>
      <c r="Q44" s="528">
        <f t="shared" si="11"/>
        <v>111</v>
      </c>
      <c r="R44" s="661" t="s">
        <v>14</v>
      </c>
      <c r="S44" s="662">
        <f t="shared" si="12"/>
        <v>100</v>
      </c>
      <c r="T44" s="661" t="s">
        <v>14</v>
      </c>
      <c r="U44" s="662">
        <f t="shared" si="13"/>
        <v>100</v>
      </c>
      <c r="V44" s="661" t="s">
        <v>14</v>
      </c>
      <c r="W44" s="662">
        <f t="shared" si="14"/>
        <v>100</v>
      </c>
      <c r="X44" s="663"/>
      <c r="Y44" s="3426"/>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5"/>
      <c r="M45" s="2480"/>
      <c r="N45" s="2480"/>
      <c r="O45" s="2480"/>
      <c r="P45" s="3488"/>
      <c r="Q45" s="1260">
        <f t="shared" si="11"/>
        <v>111</v>
      </c>
      <c r="R45" s="664" t="s">
        <v>14</v>
      </c>
      <c r="S45" s="665">
        <f t="shared" si="12"/>
        <v>100</v>
      </c>
      <c r="T45" s="664" t="s">
        <v>14</v>
      </c>
      <c r="U45" s="665">
        <f t="shared" si="13"/>
        <v>100</v>
      </c>
      <c r="V45" s="664" t="s">
        <v>14</v>
      </c>
      <c r="W45" s="665">
        <f t="shared" si="14"/>
        <v>100</v>
      </c>
      <c r="X45" s="1262"/>
      <c r="Y45" s="3426"/>
      <c r="Z45" s="1261">
        <f t="shared" si="15"/>
        <v>111</v>
      </c>
      <c r="AA45" s="1261">
        <f t="shared" si="3"/>
        <v>1</v>
      </c>
      <c r="AB45" s="1261">
        <f t="shared" si="4"/>
        <v>1</v>
      </c>
      <c r="AC45" s="1261">
        <f t="shared" si="5"/>
        <v>1</v>
      </c>
    </row>
    <row r="46" spans="1:29" ht="15.75"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5"/>
      <c r="M46" s="2480"/>
      <c r="N46" s="2480"/>
      <c r="O46" s="2480"/>
      <c r="P46" s="3489"/>
      <c r="Q46" s="1260">
        <f t="shared" si="11"/>
        <v>111</v>
      </c>
      <c r="R46" s="664" t="s">
        <v>14</v>
      </c>
      <c r="S46" s="665">
        <f t="shared" si="12"/>
        <v>100</v>
      </c>
      <c r="T46" s="664" t="s">
        <v>14</v>
      </c>
      <c r="U46" s="665">
        <f t="shared" si="13"/>
        <v>100</v>
      </c>
      <c r="V46" s="664" t="s">
        <v>14</v>
      </c>
      <c r="W46" s="665">
        <f t="shared" si="14"/>
        <v>100</v>
      </c>
      <c r="X46" s="1262"/>
      <c r="Y46" s="3490"/>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1"/>
      <c r="L47" s="2487"/>
      <c r="M47" s="2480"/>
      <c r="N47" s="2480"/>
      <c r="O47" s="2480"/>
      <c r="P47" s="3422" t="str">
        <f>A47</f>
        <v>成交单价（元/平方米）</v>
      </c>
      <c r="Q47" s="3422"/>
      <c r="R47" s="3427">
        <f>E47</f>
        <v>0</v>
      </c>
      <c r="S47" s="3427"/>
      <c r="T47" s="3427">
        <f>G47</f>
        <v>0</v>
      </c>
      <c r="U47" s="3427"/>
      <c r="V47" s="3427">
        <f>I47</f>
        <v>0</v>
      </c>
      <c r="W47" s="3427"/>
      <c r="X47" s="383"/>
      <c r="Y47" s="670"/>
      <c r="Z47" s="383"/>
      <c r="AA47" s="383"/>
      <c r="AB47" s="383"/>
      <c r="AC47" s="383"/>
    </row>
    <row r="48" spans="1:29" ht="15.75" thickBot="1">
      <c r="A48" s="421" t="s">
        <v>1793</v>
      </c>
      <c r="B48" s="422"/>
      <c r="C48" s="1079" t="e">
        <f>R49</f>
        <v>#DIV/0!</v>
      </c>
      <c r="D48" s="2137" t="s">
        <v>2137</v>
      </c>
      <c r="E48" s="1080" t="e">
        <f>R48</f>
        <v>#DIV/0!</v>
      </c>
      <c r="F48" s="2138"/>
      <c r="G48" s="1079" t="e">
        <f>T48</f>
        <v>#DIV/0!</v>
      </c>
      <c r="H48" s="2138"/>
      <c r="I48" s="1080" t="e">
        <f>V48</f>
        <v>#DIV/0!</v>
      </c>
      <c r="J48" s="2138"/>
      <c r="K48" s="2140">
        <f>F48+H48+J48</f>
        <v>0</v>
      </c>
      <c r="L48" s="2487"/>
      <c r="M48" s="2480"/>
      <c r="N48" s="2480"/>
      <c r="O48" s="2480"/>
      <c r="P48" s="3422" t="str">
        <f>A48</f>
        <v>比较价值（元/平方米）</v>
      </c>
      <c r="Q48" s="342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3"/>
      <c r="Y48" s="383"/>
      <c r="Z48" s="383"/>
      <c r="AA48" s="383"/>
      <c r="AB48" s="383"/>
      <c r="AC48" s="383"/>
    </row>
    <row r="49" spans="1:29" ht="15.75" thickBot="1">
      <c r="A49" s="425" t="s">
        <v>1794</v>
      </c>
      <c r="B49" s="426"/>
      <c r="C49" s="349" t="e">
        <f>R49</f>
        <v>#DIV/0!</v>
      </c>
      <c r="D49" s="349"/>
      <c r="E49" s="349"/>
      <c r="F49" s="349"/>
      <c r="G49" s="349"/>
      <c r="H49" s="349"/>
      <c r="I49" s="349"/>
      <c r="J49" s="349"/>
      <c r="K49" s="672"/>
      <c r="L49" s="2487"/>
      <c r="M49" s="2480"/>
      <c r="N49" s="2480"/>
      <c r="O49" s="2480"/>
      <c r="P49" s="3416" t="str">
        <f>A49</f>
        <v>估价对象XX用房的比较价值（楼面单价，元/平方米）</v>
      </c>
      <c r="Q49" s="3417"/>
      <c r="R49" s="3486" t="e">
        <f>IF(F1="售价",ROUND(IF(D48="简单平均",AVERAGE(R48:V48),R48*F48+T48*H48+V48*J48),0),ROUND(IF(D48="简单平均",AVERAGE(R48:V48),R48*F48+T48*H48+V48*J48),1))</f>
        <v>#DIV/0!</v>
      </c>
      <c r="S49" s="3486"/>
      <c r="T49" s="3486"/>
      <c r="U49" s="3486"/>
      <c r="V49" s="3486"/>
      <c r="W49" s="3486"/>
      <c r="X49" s="383"/>
      <c r="Y49" s="383"/>
      <c r="Z49" s="383"/>
      <c r="AA49" s="383"/>
      <c r="AB49" s="383"/>
      <c r="AC49" s="383"/>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5" t="s">
        <v>1798</v>
      </c>
      <c r="B57" s="383"/>
      <c r="C57" s="656"/>
      <c r="D57" s="656"/>
      <c r="E57" s="656"/>
      <c r="F57" s="657"/>
      <c r="G57" s="657"/>
      <c r="H57" s="656"/>
      <c r="I57" s="656"/>
      <c r="J57" s="656"/>
      <c r="K57" s="658"/>
      <c r="L57" s="885"/>
      <c r="M57" s="883"/>
      <c r="N57" s="883"/>
      <c r="O57" s="883"/>
      <c r="P57" s="2500"/>
      <c r="Q57" s="2501"/>
      <c r="R57" s="2480"/>
      <c r="S57" s="2480"/>
      <c r="T57" s="2480"/>
      <c r="U57" s="2480"/>
      <c r="V57" s="2480"/>
      <c r="W57" s="2480"/>
      <c r="X57" s="2480"/>
      <c r="Y57" s="2480"/>
      <c r="Z57" s="2480"/>
      <c r="AA57" s="2480"/>
      <c r="AB57" s="2480"/>
      <c r="AC57" s="2480"/>
    </row>
    <row r="58" spans="1:29" s="440" customFormat="1" ht="15">
      <c r="A58" s="438" t="s">
        <v>1679</v>
      </c>
      <c r="B58" s="439"/>
      <c r="C58" s="1100" t="str">
        <f>YEAR(C7)&amp;"-"&amp;MONTH(C7)</f>
        <v>2024-12</v>
      </c>
      <c r="D58" s="1101">
        <f>EDATE(C58,-1)</f>
        <v>45597</v>
      </c>
      <c r="E58" s="1101">
        <f t="shared" ref="E58:N58" si="16">EDATE(D58,-1)</f>
        <v>45566</v>
      </c>
      <c r="F58" s="1101">
        <f t="shared" si="16"/>
        <v>45536</v>
      </c>
      <c r="G58" s="1101">
        <f t="shared" si="16"/>
        <v>45505</v>
      </c>
      <c r="H58" s="1101">
        <f t="shared" si="16"/>
        <v>45474</v>
      </c>
      <c r="I58" s="1101">
        <f t="shared" si="16"/>
        <v>45444</v>
      </c>
      <c r="J58" s="1101">
        <f t="shared" si="16"/>
        <v>45413</v>
      </c>
      <c r="K58" s="1101">
        <f t="shared" si="16"/>
        <v>45383</v>
      </c>
      <c r="L58" s="1101">
        <f t="shared" si="16"/>
        <v>45352</v>
      </c>
      <c r="M58" s="1101">
        <f t="shared" si="16"/>
        <v>45323</v>
      </c>
      <c r="N58" s="1101">
        <f t="shared" si="16"/>
        <v>45292</v>
      </c>
      <c r="O58" s="1101">
        <f>EDATE(N58,-1)</f>
        <v>45261</v>
      </c>
      <c r="P58" s="2502"/>
      <c r="Q58" s="2503"/>
      <c r="R58" s="2503"/>
      <c r="S58" s="2503"/>
      <c r="T58" s="2503"/>
      <c r="U58" s="2503"/>
      <c r="V58" s="2503"/>
      <c r="W58" s="2503"/>
      <c r="X58" s="2503"/>
      <c r="Y58" s="2503"/>
      <c r="Z58" s="2503"/>
      <c r="AA58" s="2503"/>
      <c r="AB58" s="2503"/>
      <c r="AC58" s="2503"/>
    </row>
    <row r="59" spans="1:29" s="101" customFormat="1" ht="15">
      <c r="A59" s="441"/>
      <c r="B59" s="442"/>
      <c r="C59" s="1099">
        <v>100</v>
      </c>
      <c r="D59" s="444"/>
      <c r="E59" s="444"/>
      <c r="F59" s="444"/>
      <c r="G59" s="444"/>
      <c r="H59" s="444"/>
      <c r="I59" s="444"/>
      <c r="J59" s="444"/>
      <c r="K59" s="444"/>
      <c r="L59" s="444"/>
      <c r="M59" s="445"/>
      <c r="N59" s="444"/>
      <c r="O59" s="445"/>
      <c r="P59" s="2504"/>
      <c r="Q59" s="2433"/>
      <c r="R59" s="2433"/>
      <c r="S59" s="2433"/>
      <c r="T59" s="2433"/>
      <c r="U59" s="2433"/>
      <c r="V59" s="2433"/>
      <c r="W59" s="2433"/>
      <c r="X59" s="2433"/>
      <c r="Y59" s="2433"/>
      <c r="Z59" s="2433"/>
      <c r="AA59" s="2433"/>
      <c r="AB59" s="2433"/>
      <c r="AC59" s="2433"/>
    </row>
    <row r="60" spans="1:29" s="101" customFormat="1" ht="15.75" thickBot="1">
      <c r="A60" s="447" t="s">
        <v>1716</v>
      </c>
      <c r="B60" s="448"/>
      <c r="C60" s="449"/>
      <c r="D60" s="450"/>
      <c r="E60" s="450"/>
      <c r="F60" s="450"/>
      <c r="G60" s="450"/>
      <c r="H60" s="450"/>
      <c r="I60" s="450"/>
      <c r="J60" s="450"/>
      <c r="K60" s="450"/>
      <c r="L60" s="450"/>
      <c r="M60" s="451"/>
      <c r="N60" s="450"/>
      <c r="O60" s="451"/>
      <c r="P60" s="2504"/>
      <c r="Q60" s="2501"/>
      <c r="R60" s="2433"/>
      <c r="S60" s="2433"/>
      <c r="T60" s="2433"/>
      <c r="U60" s="2433"/>
      <c r="V60" s="2433"/>
      <c r="W60" s="2433"/>
      <c r="X60" s="2433"/>
      <c r="Y60" s="2433"/>
      <c r="Z60" s="2433"/>
      <c r="AA60" s="2433"/>
      <c r="AB60" s="2433"/>
      <c r="AC60" s="2433"/>
    </row>
    <row r="61" spans="1:29" s="101" customFormat="1" ht="15">
      <c r="A61" s="453" t="s">
        <v>1681</v>
      </c>
      <c r="B61" s="442"/>
      <c r="C61" s="454" t="s">
        <v>1776</v>
      </c>
      <c r="D61" s="31"/>
      <c r="E61" s="31"/>
      <c r="F61" s="31"/>
      <c r="G61" s="31"/>
      <c r="H61" s="31"/>
      <c r="I61" s="31"/>
      <c r="J61" s="31"/>
      <c r="K61" s="31"/>
      <c r="L61" s="455"/>
      <c r="M61" s="456"/>
      <c r="N61" s="2513"/>
      <c r="O61" s="2513"/>
      <c r="P61" s="2505"/>
      <c r="Q61" s="2501"/>
      <c r="R61" s="2433"/>
      <c r="S61" s="2433"/>
      <c r="T61" s="2433"/>
      <c r="U61" s="2433"/>
      <c r="V61" s="2433"/>
      <c r="W61" s="2433"/>
      <c r="X61" s="2433"/>
      <c r="Y61" s="2433"/>
      <c r="Z61" s="2433"/>
      <c r="AA61" s="2433"/>
      <c r="AB61" s="2433"/>
      <c r="AC61" s="2433"/>
    </row>
    <row r="62" spans="1:29" s="101" customFormat="1" ht="15.75" thickBot="1">
      <c r="A62" s="453"/>
      <c r="B62" s="442"/>
      <c r="C62" s="443">
        <v>100</v>
      </c>
      <c r="D62" s="444"/>
      <c r="E62" s="444"/>
      <c r="F62" s="444"/>
      <c r="G62" s="444"/>
      <c r="H62" s="444"/>
      <c r="I62" s="444"/>
      <c r="J62" s="444"/>
      <c r="K62" s="444"/>
      <c r="L62" s="444"/>
      <c r="M62" s="446"/>
      <c r="N62" s="2513"/>
      <c r="O62" s="2513"/>
      <c r="P62" s="2504"/>
      <c r="Q62" s="2501"/>
      <c r="R62" s="2433"/>
      <c r="S62" s="2433"/>
      <c r="T62" s="2433"/>
      <c r="U62" s="2433"/>
      <c r="V62" s="2433"/>
      <c r="W62" s="2433"/>
      <c r="X62" s="2433"/>
      <c r="Y62" s="2433"/>
      <c r="Z62" s="2433"/>
      <c r="AA62" s="2433"/>
      <c r="AB62" s="2433"/>
      <c r="AC62" s="2433"/>
    </row>
    <row r="63" spans="1:29">
      <c r="A63" s="377" t="s">
        <v>1719</v>
      </c>
      <c r="B63" s="458" t="s">
        <v>1685</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5"/>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5"/>
      <c r="B65" s="467" t="s">
        <v>1688</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5"/>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5"/>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6"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6"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6"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6"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6" customFormat="1" ht="15.75" thickTop="1">
      <c r="A74" s="482"/>
      <c r="B74" s="475">
        <f>B14</f>
        <v>111</v>
      </c>
      <c r="C74" s="483"/>
      <c r="D74" s="483"/>
      <c r="E74" s="483"/>
      <c r="F74" s="483"/>
      <c r="G74" s="31"/>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6"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7" t="s">
        <v>1690</v>
      </c>
      <c r="B76" s="458" t="s">
        <v>1720</v>
      </c>
      <c r="C76" s="502" t="s">
        <v>1721</v>
      </c>
      <c r="D76" s="502" t="s">
        <v>1722</v>
      </c>
      <c r="E76" s="502" t="s">
        <v>1723</v>
      </c>
      <c r="F76" s="502" t="s">
        <v>1724</v>
      </c>
      <c r="G76" s="502" t="s">
        <v>1725</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5"/>
      <c r="B78" s="467" t="s">
        <v>1726</v>
      </c>
      <c r="C78" s="507" t="s">
        <v>1721</v>
      </c>
      <c r="D78" s="507" t="s">
        <v>1722</v>
      </c>
      <c r="E78" s="507" t="s">
        <v>1723</v>
      </c>
      <c r="F78" s="507" t="s">
        <v>1724</v>
      </c>
      <c r="G78" s="507" t="s">
        <v>1725</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5"/>
      <c r="B80" s="467" t="s">
        <v>1727</v>
      </c>
      <c r="C80" s="507" t="s">
        <v>1721</v>
      </c>
      <c r="D80" s="507" t="s">
        <v>1722</v>
      </c>
      <c r="E80" s="507" t="s">
        <v>1723</v>
      </c>
      <c r="F80" s="507" t="s">
        <v>1724</v>
      </c>
      <c r="G80" s="507" t="s">
        <v>1725</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5"/>
      <c r="B82" s="475" t="s">
        <v>1779</v>
      </c>
      <c r="C82" s="579" t="s">
        <v>1799</v>
      </c>
      <c r="D82" s="579" t="s">
        <v>1800</v>
      </c>
      <c r="E82" s="579" t="s">
        <v>1801</v>
      </c>
      <c r="F82" s="579" t="s">
        <v>1802</v>
      </c>
      <c r="G82" s="579" t="s">
        <v>1803</v>
      </c>
      <c r="H82" s="468"/>
      <c r="I82" s="468"/>
      <c r="J82" s="468"/>
      <c r="K82" s="468"/>
      <c r="L82" s="468"/>
      <c r="M82" s="1060"/>
      <c r="N82" s="2515"/>
      <c r="O82" s="2515"/>
      <c r="P82" s="2506"/>
      <c r="Q82" s="2501"/>
      <c r="R82" s="2480"/>
      <c r="S82" s="2480"/>
      <c r="T82" s="2480"/>
      <c r="U82" s="2480"/>
      <c r="V82" s="2480"/>
      <c r="W82" s="2480"/>
      <c r="X82" s="2480"/>
      <c r="Y82" s="2480"/>
      <c r="Z82" s="2480"/>
      <c r="AA82" s="2480"/>
      <c r="AB82" s="2480"/>
      <c r="AC82" s="2480"/>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5"/>
      <c r="O83" s="2515"/>
      <c r="P83" s="2506"/>
      <c r="Q83" s="2501"/>
      <c r="R83" s="2480"/>
      <c r="S83" s="2480"/>
      <c r="T83" s="2480"/>
      <c r="U83" s="2480"/>
      <c r="V83" s="2480"/>
      <c r="W83" s="2480"/>
      <c r="X83" s="2480"/>
      <c r="Y83" s="2480"/>
      <c r="Z83" s="2480"/>
      <c r="AA83" s="2480"/>
      <c r="AB83" s="2480"/>
      <c r="AC83" s="2480"/>
    </row>
    <row r="84" spans="1:29" ht="15.75" thickTop="1">
      <c r="A84" s="365"/>
      <c r="B84" s="467" t="s">
        <v>1733</v>
      </c>
      <c r="C84" s="507" t="s">
        <v>1721</v>
      </c>
      <c r="D84" s="507" t="s">
        <v>1722</v>
      </c>
      <c r="E84" s="507" t="s">
        <v>1723</v>
      </c>
      <c r="F84" s="507" t="s">
        <v>1724</v>
      </c>
      <c r="G84" s="507" t="s">
        <v>1725</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1" customFormat="1" ht="15.75" thickTop="1">
      <c r="A86" s="368"/>
      <c r="B86" s="467" t="s">
        <v>1804</v>
      </c>
      <c r="C86" s="483"/>
      <c r="D86" s="483"/>
      <c r="E86" s="483"/>
      <c r="F86" s="483"/>
      <c r="G86" s="483"/>
      <c r="H86" s="483"/>
      <c r="I86" s="483"/>
      <c r="J86" s="483"/>
      <c r="K86" s="483"/>
      <c r="L86" s="508"/>
      <c r="M86" s="509"/>
      <c r="N86" s="2513"/>
      <c r="O86" s="2513"/>
      <c r="P86" s="2506"/>
      <c r="Q86" s="2501"/>
      <c r="R86" s="2433"/>
      <c r="S86" s="2433"/>
      <c r="T86" s="2433"/>
      <c r="U86" s="2433"/>
      <c r="V86" s="2433"/>
      <c r="W86" s="2433"/>
      <c r="X86" s="2433"/>
      <c r="Y86" s="2433"/>
      <c r="Z86" s="2433"/>
      <c r="AA86" s="2433"/>
      <c r="AB86" s="2433"/>
      <c r="AC86" s="2433"/>
    </row>
    <row r="87" spans="1:29" s="101"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3"/>
      <c r="S87" s="2433"/>
      <c r="T87" s="2433"/>
      <c r="U87" s="2433"/>
      <c r="V87" s="2433"/>
      <c r="W87" s="2433"/>
      <c r="X87" s="2433"/>
      <c r="Y87" s="2433"/>
      <c r="Z87" s="2433"/>
      <c r="AA87" s="2433"/>
      <c r="AB87" s="2433"/>
      <c r="AC87" s="2433"/>
    </row>
    <row r="88" spans="1:29" s="101" customFormat="1" ht="15.75" thickTop="1">
      <c r="A88" s="368"/>
      <c r="B88" s="467" t="str">
        <f>B26</f>
        <v>平面位置/可视性</v>
      </c>
      <c r="C88" s="483"/>
      <c r="D88" s="483"/>
      <c r="E88" s="483"/>
      <c r="F88" s="1776"/>
      <c r="G88" s="483"/>
      <c r="H88" s="483"/>
      <c r="I88" s="483"/>
      <c r="J88" s="483"/>
      <c r="K88" s="483"/>
      <c r="L88" s="483"/>
      <c r="M88" s="509"/>
      <c r="N88" s="2513"/>
      <c r="O88" s="2513"/>
      <c r="P88" s="2506"/>
      <c r="Q88" s="2501"/>
      <c r="R88" s="2433"/>
      <c r="S88" s="2433"/>
      <c r="T88" s="2433"/>
      <c r="U88" s="2433"/>
      <c r="V88" s="2433"/>
      <c r="W88" s="2433"/>
      <c r="X88" s="2433"/>
      <c r="Y88" s="2433"/>
      <c r="Z88" s="2433"/>
      <c r="AA88" s="2433"/>
      <c r="AB88" s="2433"/>
      <c r="AC88" s="2433"/>
    </row>
    <row r="89" spans="1:29" s="101" customFormat="1" ht="15.75" thickBot="1">
      <c r="A89" s="368"/>
      <c r="B89" s="472"/>
      <c r="C89" s="489"/>
      <c r="D89" s="465"/>
      <c r="E89" s="465"/>
      <c r="F89" s="465"/>
      <c r="G89" s="465"/>
      <c r="H89" s="465"/>
      <c r="I89" s="465"/>
      <c r="J89" s="465"/>
      <c r="K89" s="465"/>
      <c r="L89" s="465"/>
      <c r="M89" s="465"/>
      <c r="N89" s="2515"/>
      <c r="O89" s="2515"/>
      <c r="P89" s="2506"/>
      <c r="Q89" s="2501"/>
      <c r="R89" s="2433"/>
      <c r="S89" s="2433"/>
      <c r="T89" s="2433"/>
      <c r="U89" s="2433"/>
      <c r="V89" s="2433"/>
      <c r="W89" s="2433"/>
      <c r="X89" s="2433"/>
      <c r="Y89" s="2433"/>
      <c r="Z89" s="2433"/>
      <c r="AA89" s="2433"/>
      <c r="AB89" s="2433"/>
      <c r="AC89" s="2433"/>
    </row>
    <row r="90" spans="1:29" s="406"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5"/>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5"/>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5"/>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5"/>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5"/>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5"/>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5"/>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3"/>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7" t="s">
        <v>1694</v>
      </c>
      <c r="B100" s="458" t="s">
        <v>1805</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6" customFormat="1">
      <c r="A103" s="404"/>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6"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7"/>
      <c r="B105" s="467" t="s">
        <v>1738</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7"/>
      <c r="B107" s="467" t="s">
        <v>1740</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7"/>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6" customFormat="1" ht="15" thickTop="1">
      <c r="A112" s="404"/>
      <c r="B112" s="467" t="s">
        <v>1742</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7"/>
      <c r="B114" s="467" t="s">
        <v>1806</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7"/>
      <c r="B116" s="467" t="s">
        <v>1807</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7"/>
      <c r="B118" s="467" t="s">
        <v>1808</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5"/>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6" customFormat="1" ht="15" thickTop="1">
      <c r="A120" s="404"/>
      <c r="B120" s="467" t="s">
        <v>1809</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7"/>
      <c r="B122" s="467" t="s">
        <v>1744</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7"/>
      <c r="B124" s="467" t="s">
        <v>1745</v>
      </c>
      <c r="C124" s="507" t="s">
        <v>1721</v>
      </c>
      <c r="D124" s="507" t="s">
        <v>1722</v>
      </c>
      <c r="E124" s="507" t="s">
        <v>1723</v>
      </c>
      <c r="F124" s="507" t="s">
        <v>1724</v>
      </c>
      <c r="G124" s="507" t="s">
        <v>1725</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6" customFormat="1" ht="15" thickTop="1">
      <c r="A126" s="404"/>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6"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7"/>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5"/>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7"/>
      <c r="B130" s="475">
        <f>B46</f>
        <v>111</v>
      </c>
      <c r="C130" s="483"/>
      <c r="D130" s="483"/>
      <c r="E130" s="483"/>
      <c r="F130" s="483"/>
      <c r="G130" s="515"/>
      <c r="H130" s="515"/>
      <c r="I130" s="515"/>
      <c r="J130" s="515"/>
      <c r="K130" s="31"/>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3"/>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4" t="s">
        <v>1810</v>
      </c>
      <c r="C1" s="1138" t="s">
        <v>1662</v>
      </c>
      <c r="D1" s="1139"/>
      <c r="E1" s="3124"/>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1463</v>
      </c>
      <c r="F2" s="1735"/>
      <c r="G2" s="852"/>
      <c r="H2" s="852"/>
      <c r="I2" s="852"/>
      <c r="J2" s="852"/>
      <c r="K2" s="852"/>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IF(C2="——",C50,ROUND(B2*10000/D3,0))</f>
        <v>0</v>
      </c>
      <c r="C3" s="342" t="s">
        <v>1768</v>
      </c>
      <c r="D3" s="341">
        <f>IF(D1="",'数据-汇总表'!E3,SUMIF('数据-汇总表'!$C19:$C33,D1,'数据-汇总表'!$E19:$E33))</f>
        <v>106355.86000000013</v>
      </c>
      <c r="E3" s="1801"/>
      <c r="F3" s="853"/>
      <c r="G3" s="852"/>
      <c r="H3" s="852"/>
      <c r="I3" s="852"/>
      <c r="J3" s="852"/>
      <c r="K3" s="854"/>
      <c r="L3" s="2496"/>
      <c r="M3" s="2497"/>
      <c r="N3" s="2497"/>
      <c r="O3" s="2497"/>
      <c r="P3" s="339"/>
      <c r="Q3" s="339"/>
      <c r="R3" s="339"/>
      <c r="S3" s="339"/>
      <c r="T3" s="339"/>
      <c r="U3" s="339"/>
      <c r="V3" s="339"/>
      <c r="W3" s="339"/>
      <c r="X3" s="339"/>
      <c r="Y3" s="339"/>
      <c r="Z3" s="339"/>
      <c r="AA3" s="339"/>
      <c r="AB3" s="339"/>
      <c r="AC3" s="660"/>
    </row>
    <row r="4" spans="1:29" ht="15">
      <c r="A4" s="343" t="s">
        <v>1769</v>
      </c>
      <c r="B4" s="344"/>
      <c r="C4" s="3419" t="s">
        <v>1770</v>
      </c>
      <c r="D4" s="3431"/>
      <c r="E4" s="3432" t="s">
        <v>1771</v>
      </c>
      <c r="F4" s="3433"/>
      <c r="G4" s="3419" t="s">
        <v>1772</v>
      </c>
      <c r="H4" s="3431"/>
      <c r="I4" s="3419" t="s">
        <v>1773</v>
      </c>
      <c r="J4" s="3431"/>
      <c r="K4" s="535" t="s">
        <v>1774</v>
      </c>
      <c r="L4" s="2479"/>
      <c r="M4" s="2480"/>
      <c r="N4" s="2480"/>
      <c r="O4" s="2480"/>
      <c r="P4" s="3502" t="s">
        <v>1775</v>
      </c>
      <c r="Q4" s="3503"/>
      <c r="R4" s="3506" t="s">
        <v>1771</v>
      </c>
      <c r="S4" s="3507"/>
      <c r="T4" s="3506" t="s">
        <v>1772</v>
      </c>
      <c r="U4" s="3507"/>
      <c r="V4" s="3508" t="s">
        <v>1773</v>
      </c>
      <c r="W4" s="3508"/>
      <c r="X4" s="1805"/>
      <c r="Y4" s="3506" t="s">
        <v>1775</v>
      </c>
      <c r="Z4" s="3507"/>
      <c r="AA4" s="3510" t="s">
        <v>1771</v>
      </c>
      <c r="AB4" s="3510" t="s">
        <v>1772</v>
      </c>
      <c r="AC4" s="3499" t="s">
        <v>1773</v>
      </c>
    </row>
    <row r="5" spans="1:29" ht="15">
      <c r="A5" s="346"/>
      <c r="B5" s="347"/>
      <c r="C5" s="3448" t="s">
        <v>1673</v>
      </c>
      <c r="D5" s="3449"/>
      <c r="E5" s="3455" t="s">
        <v>1674</v>
      </c>
      <c r="F5" s="3456"/>
      <c r="G5" s="3448" t="s">
        <v>1675</v>
      </c>
      <c r="H5" s="3449"/>
      <c r="I5" s="3448" t="s">
        <v>1676</v>
      </c>
      <c r="J5" s="3449"/>
      <c r="K5" s="535"/>
      <c r="L5" s="2479"/>
      <c r="M5" s="2480"/>
      <c r="N5" s="2480"/>
      <c r="O5" s="2480"/>
      <c r="P5" s="3504"/>
      <c r="Q5" s="3437"/>
      <c r="R5" s="3442"/>
      <c r="S5" s="3443"/>
      <c r="T5" s="3442"/>
      <c r="U5" s="3443"/>
      <c r="V5" s="3427"/>
      <c r="W5" s="3427"/>
      <c r="X5" s="1262"/>
      <c r="Y5" s="3442"/>
      <c r="Z5" s="3443"/>
      <c r="AA5" s="3429"/>
      <c r="AB5" s="3429"/>
      <c r="AC5" s="3500"/>
    </row>
    <row r="6" spans="1:29" ht="15.75" thickBot="1">
      <c r="A6" s="348"/>
      <c r="B6" s="349"/>
      <c r="C6" s="3446" t="s">
        <v>1677</v>
      </c>
      <c r="D6" s="3447"/>
      <c r="E6" s="3453" t="s">
        <v>1677</v>
      </c>
      <c r="F6" s="3454"/>
      <c r="G6" s="3446" t="s">
        <v>1677</v>
      </c>
      <c r="H6" s="3447"/>
      <c r="I6" s="3446" t="s">
        <v>1677</v>
      </c>
      <c r="J6" s="3447"/>
      <c r="K6" s="535" t="s">
        <v>1678</v>
      </c>
      <c r="L6" s="2479"/>
      <c r="M6" s="2480"/>
      <c r="N6" s="2480"/>
      <c r="O6" s="2480"/>
      <c r="P6" s="3505"/>
      <c r="Q6" s="3439"/>
      <c r="R6" s="3442"/>
      <c r="S6" s="3443"/>
      <c r="T6" s="3444"/>
      <c r="U6" s="3445"/>
      <c r="V6" s="3427"/>
      <c r="W6" s="3427"/>
      <c r="X6" s="1262"/>
      <c r="Y6" s="3444"/>
      <c r="Z6" s="3445"/>
      <c r="AA6" s="3430"/>
      <c r="AB6" s="3430"/>
      <c r="AC6" s="3501"/>
    </row>
    <row r="7" spans="1:29" s="101" customFormat="1" ht="15.75" thickBot="1">
      <c r="A7" s="350" t="s">
        <v>1679</v>
      </c>
      <c r="B7" s="351"/>
      <c r="C7" s="352">
        <f>'数据-取费表'!B2</f>
        <v>45639</v>
      </c>
      <c r="D7" s="353">
        <v>100</v>
      </c>
      <c r="E7" s="354"/>
      <c r="F7" s="355">
        <f>SUMIF(59:59,YEAR(E7)&amp;"-"&amp;MONTH(E7),60:60)</f>
        <v>0</v>
      </c>
      <c r="G7" s="354"/>
      <c r="H7" s="353">
        <f>SUMIF(59:59,YEAR(G7)&amp;"-"&amp;MONTH(G7),60:60)</f>
        <v>0</v>
      </c>
      <c r="I7" s="354"/>
      <c r="J7" s="353">
        <f>SUMIF(59:59,YEAR(I7)&amp;"-"&amp;MONTH(I7),60:60)</f>
        <v>0</v>
      </c>
      <c r="K7" s="38"/>
      <c r="L7" s="2481"/>
      <c r="M7" s="2433"/>
      <c r="N7" s="2433"/>
      <c r="O7" s="2433"/>
      <c r="P7" s="3509" t="s">
        <v>1680</v>
      </c>
      <c r="Q7" s="3452"/>
      <c r="R7" s="661" t="s">
        <v>14</v>
      </c>
      <c r="S7" s="662">
        <f t="shared" ref="S7:S15" si="0">F7</f>
        <v>0</v>
      </c>
      <c r="T7" s="661" t="s">
        <v>14</v>
      </c>
      <c r="U7" s="662">
        <f t="shared" ref="U7:U15" si="1">H7</f>
        <v>0</v>
      </c>
      <c r="V7" s="661" t="s">
        <v>14</v>
      </c>
      <c r="W7" s="662">
        <f t="shared" ref="W7:W15" si="2">J7</f>
        <v>0</v>
      </c>
      <c r="X7" s="663"/>
      <c r="Y7" s="3450" t="s">
        <v>1680</v>
      </c>
      <c r="Z7" s="3451"/>
      <c r="AA7" s="50" t="e">
        <f>D7/F7</f>
        <v>#DIV/0!</v>
      </c>
      <c r="AB7" s="50" t="e">
        <f>D7/H7</f>
        <v>#DIV/0!</v>
      </c>
      <c r="AC7" s="799" t="e">
        <f>D7/J7</f>
        <v>#DIV/0!</v>
      </c>
    </row>
    <row r="8" spans="1:29" s="101" customFormat="1" ht="15.7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1"/>
      <c r="M8" s="2433"/>
      <c r="N8" s="2433"/>
      <c r="O8" s="2433"/>
      <c r="P8" s="3509" t="s">
        <v>1683</v>
      </c>
      <c r="Q8" s="3451"/>
      <c r="R8" s="661" t="s">
        <v>14</v>
      </c>
      <c r="S8" s="662">
        <f t="shared" si="0"/>
        <v>100</v>
      </c>
      <c r="T8" s="661" t="s">
        <v>14</v>
      </c>
      <c r="U8" s="662">
        <f t="shared" si="1"/>
        <v>100</v>
      </c>
      <c r="V8" s="661" t="s">
        <v>14</v>
      </c>
      <c r="W8" s="662">
        <f t="shared" si="2"/>
        <v>100</v>
      </c>
      <c r="X8" s="663"/>
      <c r="Y8" s="3450" t="s">
        <v>1683</v>
      </c>
      <c r="Z8" s="3451"/>
      <c r="AA8" s="50">
        <f t="shared" ref="AA8:AA47" si="3">D8/F8</f>
        <v>1</v>
      </c>
      <c r="AB8" s="50">
        <f t="shared" ref="AB8:AB47" si="4">D8/H8</f>
        <v>1</v>
      </c>
      <c r="AC8" s="799">
        <f t="shared" ref="AC8:AC47" si="5">D8/J8</f>
        <v>1</v>
      </c>
    </row>
    <row r="9" spans="1:29" s="101" customFormat="1">
      <c r="A9" s="357" t="s">
        <v>1684</v>
      </c>
      <c r="B9" s="59" t="s">
        <v>1685</v>
      </c>
      <c r="C9" s="358"/>
      <c r="D9" s="58">
        <v>100</v>
      </c>
      <c r="E9" s="360"/>
      <c r="F9" s="58">
        <f>SUMIF(64:64,E9,65:65)-SUMIF(64:64,C9,65:65)+100</f>
        <v>100</v>
      </c>
      <c r="G9" s="359"/>
      <c r="H9" s="58">
        <f>SUMIF(64:64,G9,65:65)-SUMIF(64:64,C9,65:65)+100</f>
        <v>100</v>
      </c>
      <c r="I9" s="359"/>
      <c r="J9" s="58">
        <f>SUMIF(64:64,I9,65:65)-SUMIF(64:64,C9,65:65)+100</f>
        <v>100</v>
      </c>
      <c r="K9" s="38"/>
      <c r="L9" s="2481"/>
      <c r="M9" s="2433"/>
      <c r="N9" s="2433"/>
      <c r="O9" s="2433"/>
      <c r="P9" s="3421" t="s">
        <v>1686</v>
      </c>
      <c r="Q9" s="528" t="str">
        <f t="shared" ref="Q9:Q15" si="6">B9</f>
        <v>用途</v>
      </c>
      <c r="R9" s="661" t="s">
        <v>14</v>
      </c>
      <c r="S9" s="662">
        <f t="shared" si="0"/>
        <v>100</v>
      </c>
      <c r="T9" s="661" t="s">
        <v>14</v>
      </c>
      <c r="U9" s="662">
        <f t="shared" si="1"/>
        <v>100</v>
      </c>
      <c r="V9" s="661" t="s">
        <v>14</v>
      </c>
      <c r="W9" s="662">
        <f t="shared" si="2"/>
        <v>100</v>
      </c>
      <c r="X9" s="663"/>
      <c r="Y9" s="3322" t="s">
        <v>1687</v>
      </c>
      <c r="Z9" s="50" t="str">
        <f t="shared" ref="Z9:Z15" si="7">Q9</f>
        <v>用途</v>
      </c>
      <c r="AA9" s="50">
        <f t="shared" si="3"/>
        <v>1</v>
      </c>
      <c r="AB9" s="50">
        <f t="shared" si="4"/>
        <v>1</v>
      </c>
      <c r="AC9" s="799">
        <f t="shared" si="5"/>
        <v>1</v>
      </c>
    </row>
    <row r="10" spans="1:29" s="364" customFormat="1" ht="27">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2"/>
      <c r="M10" s="2483"/>
      <c r="N10" s="2483"/>
      <c r="O10" s="2483"/>
      <c r="P10" s="3421"/>
      <c r="Q10" s="528" t="str">
        <f t="shared" si="6"/>
        <v>土地使用年限（年）</v>
      </c>
      <c r="R10" s="661" t="s">
        <v>14</v>
      </c>
      <c r="S10" s="662">
        <f t="shared" si="0"/>
        <v>100</v>
      </c>
      <c r="T10" s="661" t="s">
        <v>14</v>
      </c>
      <c r="U10" s="662">
        <f t="shared" si="1"/>
        <v>100</v>
      </c>
      <c r="V10" s="661" t="s">
        <v>14</v>
      </c>
      <c r="W10" s="662">
        <f t="shared" si="2"/>
        <v>100</v>
      </c>
      <c r="X10" s="663"/>
      <c r="Y10" s="3322"/>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4"/>
      <c r="M11" s="2480"/>
      <c r="N11" s="2480"/>
      <c r="O11" s="2480"/>
      <c r="P11" s="3421"/>
      <c r="Q11" s="528" t="str">
        <f t="shared" si="6"/>
        <v>容积率</v>
      </c>
      <c r="R11" s="661" t="s">
        <v>14</v>
      </c>
      <c r="S11" s="662">
        <f t="shared" si="0"/>
        <v>100</v>
      </c>
      <c r="T11" s="661" t="s">
        <v>14</v>
      </c>
      <c r="U11" s="662">
        <f t="shared" si="1"/>
        <v>100</v>
      </c>
      <c r="V11" s="661" t="s">
        <v>14</v>
      </c>
      <c r="W11" s="662">
        <f t="shared" si="2"/>
        <v>100</v>
      </c>
      <c r="X11" s="663"/>
      <c r="Y11" s="3322"/>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6"/>
      <c r="H12" s="117">
        <f>SUMIF(71:71,G12,72:72)-SUMIF(71:71,C12,72:72)+100</f>
        <v>100</v>
      </c>
      <c r="I12" s="369"/>
      <c r="J12" s="117">
        <f>SUMIF(71:71,I12,72:72)-SUMIF(71:71,C12,72:72)+100</f>
        <v>100</v>
      </c>
      <c r="K12" s="537"/>
      <c r="L12" s="2481"/>
      <c r="M12" s="2433"/>
      <c r="N12" s="2433"/>
      <c r="O12" s="2433"/>
      <c r="P12" s="3421"/>
      <c r="Q12" s="528">
        <f t="shared" si="6"/>
        <v>111</v>
      </c>
      <c r="R12" s="661" t="s">
        <v>14</v>
      </c>
      <c r="S12" s="662">
        <f t="shared" si="0"/>
        <v>100</v>
      </c>
      <c r="T12" s="661" t="s">
        <v>14</v>
      </c>
      <c r="U12" s="662">
        <f t="shared" si="1"/>
        <v>100</v>
      </c>
      <c r="V12" s="661" t="s">
        <v>14</v>
      </c>
      <c r="W12" s="662">
        <f t="shared" si="2"/>
        <v>100</v>
      </c>
      <c r="X12" s="663"/>
      <c r="Y12" s="3322"/>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6"/>
      <c r="H13" s="372">
        <f>SUMIF(73:73,G13,74:74)-SUMIF(73:73,C13,74:74)+100</f>
        <v>100</v>
      </c>
      <c r="I13" s="369"/>
      <c r="J13" s="372">
        <f>SUMIF(73:73,I13,74:74)-SUMIF(73:73,C13,74:74)+100</f>
        <v>100</v>
      </c>
      <c r="K13" s="537"/>
      <c r="L13" s="2485"/>
      <c r="M13" s="2480"/>
      <c r="N13" s="2480"/>
      <c r="O13" s="2480"/>
      <c r="P13" s="3421"/>
      <c r="Q13" s="528">
        <f t="shared" si="6"/>
        <v>111</v>
      </c>
      <c r="R13" s="661" t="s">
        <v>14</v>
      </c>
      <c r="S13" s="662">
        <f t="shared" si="0"/>
        <v>100</v>
      </c>
      <c r="T13" s="661" t="s">
        <v>14</v>
      </c>
      <c r="U13" s="662">
        <f t="shared" si="1"/>
        <v>100</v>
      </c>
      <c r="V13" s="661" t="s">
        <v>14</v>
      </c>
      <c r="W13" s="662">
        <f t="shared" si="2"/>
        <v>100</v>
      </c>
      <c r="X13" s="663"/>
      <c r="Y13" s="3322"/>
      <c r="Z13" s="50">
        <f t="shared" si="7"/>
        <v>111</v>
      </c>
      <c r="AA13" s="50">
        <f t="shared" si="3"/>
        <v>1</v>
      </c>
      <c r="AB13" s="50">
        <f t="shared" si="4"/>
        <v>1</v>
      </c>
      <c r="AC13" s="799">
        <f t="shared" si="5"/>
        <v>1</v>
      </c>
    </row>
    <row r="14" spans="1:29" ht="15.75" thickBot="1">
      <c r="A14" s="373"/>
      <c r="B14" s="1745">
        <v>111</v>
      </c>
      <c r="C14" s="374"/>
      <c r="D14" s="375">
        <v>100</v>
      </c>
      <c r="E14" s="551"/>
      <c r="F14" s="375">
        <f>SUMIF(75:75,E14,76:76)-SUMIF(75:75,C14,76:76)+100</f>
        <v>100</v>
      </c>
      <c r="G14" s="1806"/>
      <c r="H14" s="375">
        <f>SUMIF(75:75,G14,76:76)-SUMIF(75:75,C14,76:76)+100</f>
        <v>100</v>
      </c>
      <c r="I14" s="369"/>
      <c r="J14" s="375">
        <f>SUMIF(75:75,I14,76:76)-SUMIF(75:75,C14,76:76)+100</f>
        <v>100</v>
      </c>
      <c r="K14" s="537"/>
      <c r="L14" s="2485"/>
      <c r="M14" s="2480"/>
      <c r="N14" s="2480"/>
      <c r="O14" s="2480"/>
      <c r="P14" s="3421"/>
      <c r="Q14" s="528">
        <f t="shared" si="6"/>
        <v>111</v>
      </c>
      <c r="R14" s="661" t="s">
        <v>14</v>
      </c>
      <c r="S14" s="662">
        <f t="shared" si="0"/>
        <v>100</v>
      </c>
      <c r="T14" s="661" t="s">
        <v>14</v>
      </c>
      <c r="U14" s="662">
        <f t="shared" si="1"/>
        <v>100</v>
      </c>
      <c r="V14" s="661" t="s">
        <v>14</v>
      </c>
      <c r="W14" s="662">
        <f t="shared" si="2"/>
        <v>100</v>
      </c>
      <c r="X14" s="663"/>
      <c r="Y14" s="3322"/>
      <c r="Z14" s="50">
        <f t="shared" si="7"/>
        <v>111</v>
      </c>
      <c r="AA14" s="50">
        <f t="shared" si="3"/>
        <v>1</v>
      </c>
      <c r="AB14" s="50">
        <f t="shared" si="4"/>
        <v>1</v>
      </c>
      <c r="AC14" s="799">
        <f t="shared" si="5"/>
        <v>1</v>
      </c>
    </row>
    <row r="15" spans="1:29" ht="15">
      <c r="A15" s="377" t="s">
        <v>1690</v>
      </c>
      <c r="B15" s="552" t="s">
        <v>1811</v>
      </c>
      <c r="C15" s="1807">
        <f>估价对象房地状况!C5</f>
        <v>0</v>
      </c>
      <c r="D15" s="378">
        <v>100</v>
      </c>
      <c r="E15" s="381"/>
      <c r="F15" s="378">
        <f>SUMIF(77:77,E16,78:78)-SUMIF(77:77,C16,78:78)+100</f>
        <v>100</v>
      </c>
      <c r="G15" s="379"/>
      <c r="H15" s="378">
        <f>SUMIF(77:77,G16,78:78)-SUMIF(77:77,C16,78:78)+100</f>
        <v>100</v>
      </c>
      <c r="I15" s="379"/>
      <c r="J15" s="378">
        <f>SUMIF(77:77,I16,78:78)-SUMIF(77:77,C16,78:78)+100</f>
        <v>100</v>
      </c>
      <c r="K15" s="538"/>
      <c r="L15" s="2485"/>
      <c r="M15" s="2480"/>
      <c r="N15" s="2480"/>
      <c r="O15" s="2480"/>
      <c r="P15" s="3491" t="s">
        <v>1691</v>
      </c>
      <c r="Q15" s="1260" t="str">
        <f t="shared" si="6"/>
        <v>办公集聚程度</v>
      </c>
      <c r="R15" s="664" t="s">
        <v>14</v>
      </c>
      <c r="S15" s="665">
        <f t="shared" si="0"/>
        <v>100</v>
      </c>
      <c r="T15" s="664" t="s">
        <v>14</v>
      </c>
      <c r="U15" s="665">
        <f t="shared" si="1"/>
        <v>100</v>
      </c>
      <c r="V15" s="664" t="s">
        <v>14</v>
      </c>
      <c r="W15" s="665">
        <f t="shared" si="2"/>
        <v>100</v>
      </c>
      <c r="X15" s="1262"/>
      <c r="Y15" s="3423" t="s">
        <v>1691</v>
      </c>
      <c r="Z15" s="1261" t="str">
        <f t="shared" si="7"/>
        <v>办公集聚程度</v>
      </c>
      <c r="AA15" s="1261">
        <f t="shared" si="3"/>
        <v>1</v>
      </c>
      <c r="AB15" s="1261">
        <f t="shared" si="4"/>
        <v>1</v>
      </c>
      <c r="AC15" s="1808">
        <f t="shared" si="5"/>
        <v>1</v>
      </c>
    </row>
    <row r="16" spans="1:29" ht="15">
      <c r="A16" s="365"/>
      <c r="B16" s="553"/>
      <c r="C16" s="1754"/>
      <c r="D16" s="385"/>
      <c r="E16" s="384"/>
      <c r="F16" s="385"/>
      <c r="G16" s="1754"/>
      <c r="H16" s="387"/>
      <c r="I16" s="384"/>
      <c r="J16" s="385"/>
      <c r="K16" s="539"/>
      <c r="L16" s="2485"/>
      <c r="M16" s="2480"/>
      <c r="N16" s="2480"/>
      <c r="O16" s="2480"/>
      <c r="P16" s="3492"/>
      <c r="Q16" s="1260"/>
      <c r="R16" s="664"/>
      <c r="S16" s="665"/>
      <c r="T16" s="664"/>
      <c r="U16" s="665"/>
      <c r="V16" s="664"/>
      <c r="W16" s="665"/>
      <c r="X16" s="1262"/>
      <c r="Y16" s="3424"/>
      <c r="Z16" s="1261"/>
      <c r="AA16" s="1261">
        <v>1</v>
      </c>
      <c r="AB16" s="1261">
        <v>1</v>
      </c>
      <c r="AC16" s="1808">
        <v>1</v>
      </c>
    </row>
    <row r="17" spans="1:29" ht="15">
      <c r="A17" s="365"/>
      <c r="B17" s="554" t="s">
        <v>1259</v>
      </c>
      <c r="C17" s="1809" t="str">
        <f>估价对象房地状况!C6</f>
        <v>一般</v>
      </c>
      <c r="D17" s="387">
        <v>100</v>
      </c>
      <c r="E17" s="391"/>
      <c r="F17" s="387">
        <f>SUMIF(79:79,E18,80:80)-SUMIF(79:79,C18,80:80)+100</f>
        <v>100</v>
      </c>
      <c r="G17" s="389"/>
      <c r="H17" s="392">
        <f>SUMIF(79:79,G18,80:80)-SUMIF(79:79,C18,80:80)+100</f>
        <v>100</v>
      </c>
      <c r="I17" s="389"/>
      <c r="J17" s="392">
        <f>SUMIF(79:79,I18,80:80)-SUMIF(79:79,C18,80:80)+100</f>
        <v>100</v>
      </c>
      <c r="K17" s="538"/>
      <c r="L17" s="2485"/>
      <c r="M17" s="2480"/>
      <c r="N17" s="2480"/>
      <c r="O17" s="2480"/>
      <c r="P17" s="3492"/>
      <c r="Q17" s="1260" t="str">
        <f>B17</f>
        <v>交通便捷度</v>
      </c>
      <c r="R17" s="664" t="s">
        <v>14</v>
      </c>
      <c r="S17" s="665">
        <f>F17</f>
        <v>100</v>
      </c>
      <c r="T17" s="664" t="s">
        <v>14</v>
      </c>
      <c r="U17" s="665">
        <f>H17</f>
        <v>100</v>
      </c>
      <c r="V17" s="664" t="s">
        <v>14</v>
      </c>
      <c r="W17" s="665">
        <f>J17</f>
        <v>100</v>
      </c>
      <c r="X17" s="1262"/>
      <c r="Y17" s="3424"/>
      <c r="Z17" s="1261" t="str">
        <f>Q17</f>
        <v>交通便捷度</v>
      </c>
      <c r="AA17" s="1261">
        <f t="shared" si="3"/>
        <v>1</v>
      </c>
      <c r="AB17" s="1261">
        <f t="shared" si="4"/>
        <v>1</v>
      </c>
      <c r="AC17" s="1808">
        <f t="shared" si="5"/>
        <v>1</v>
      </c>
    </row>
    <row r="18" spans="1:29" ht="15">
      <c r="A18" s="365"/>
      <c r="B18" s="399"/>
      <c r="C18" s="1810"/>
      <c r="D18" s="387"/>
      <c r="E18" s="1752"/>
      <c r="F18" s="387"/>
      <c r="G18" s="1753"/>
      <c r="H18" s="385"/>
      <c r="I18" s="1753"/>
      <c r="J18" s="385"/>
      <c r="K18" s="539"/>
      <c r="L18" s="2485"/>
      <c r="M18" s="2480"/>
      <c r="N18" s="2480"/>
      <c r="O18" s="2480"/>
      <c r="P18" s="3492"/>
      <c r="Q18" s="1260"/>
      <c r="R18" s="664"/>
      <c r="S18" s="665"/>
      <c r="T18" s="664"/>
      <c r="U18" s="665"/>
      <c r="V18" s="664"/>
      <c r="W18" s="665"/>
      <c r="X18" s="1262"/>
      <c r="Y18" s="3424"/>
      <c r="Z18" s="1261"/>
      <c r="AA18" s="1261">
        <v>1</v>
      </c>
      <c r="AB18" s="1261">
        <v>1</v>
      </c>
      <c r="AC18" s="1808">
        <v>1</v>
      </c>
    </row>
    <row r="19" spans="1:29" ht="15">
      <c r="A19" s="365"/>
      <c r="B19" s="554" t="s">
        <v>1812</v>
      </c>
      <c r="C19" s="1809" t="str">
        <f>估价对象房地状况!C7</f>
        <v>一般</v>
      </c>
      <c r="D19" s="392">
        <v>100</v>
      </c>
      <c r="E19" s="396"/>
      <c r="F19" s="392">
        <f>SUMIF(81:81,E20,82:82)-SUMIF(81:81,C20,82:82)+100</f>
        <v>100</v>
      </c>
      <c r="G19" s="394"/>
      <c r="H19" s="387">
        <f>SUMIF(81:81,G20,82:82)-SUMIF(81:81,C20,82:82)+100</f>
        <v>100</v>
      </c>
      <c r="I19" s="394"/>
      <c r="J19" s="387">
        <f>SUMIF(81:81,I20,82:82)-SUMIF(81:81,C20,82:82)+100</f>
        <v>100</v>
      </c>
      <c r="K19" s="538"/>
      <c r="L19" s="2485"/>
      <c r="M19" s="2480"/>
      <c r="N19" s="2480"/>
      <c r="O19" s="2480"/>
      <c r="P19" s="3492"/>
      <c r="Q19" s="1260" t="str">
        <f>B19</f>
        <v>公共配套设施</v>
      </c>
      <c r="R19" s="664" t="s">
        <v>14</v>
      </c>
      <c r="S19" s="665">
        <f>F19</f>
        <v>100</v>
      </c>
      <c r="T19" s="664" t="s">
        <v>14</v>
      </c>
      <c r="U19" s="665">
        <f>H19</f>
        <v>100</v>
      </c>
      <c r="V19" s="664" t="s">
        <v>14</v>
      </c>
      <c r="W19" s="665">
        <f>J19</f>
        <v>100</v>
      </c>
      <c r="X19" s="1262"/>
      <c r="Y19" s="3424"/>
      <c r="Z19" s="1261" t="str">
        <f>Q19</f>
        <v>公共配套设施</v>
      </c>
      <c r="AA19" s="1261">
        <f t="shared" si="3"/>
        <v>1</v>
      </c>
      <c r="AB19" s="1261">
        <f t="shared" si="4"/>
        <v>1</v>
      </c>
      <c r="AC19" s="1808">
        <f t="shared" si="5"/>
        <v>1</v>
      </c>
    </row>
    <row r="20" spans="1:29" ht="15">
      <c r="A20" s="365"/>
      <c r="B20" s="399"/>
      <c r="C20" s="1754"/>
      <c r="D20" s="385"/>
      <c r="E20" s="1747"/>
      <c r="F20" s="385"/>
      <c r="G20" s="1748"/>
      <c r="H20" s="385"/>
      <c r="I20" s="1748"/>
      <c r="J20" s="385"/>
      <c r="K20" s="539"/>
      <c r="L20" s="2485"/>
      <c r="M20" s="2480"/>
      <c r="N20" s="2480"/>
      <c r="O20" s="2480"/>
      <c r="P20" s="3492"/>
      <c r="Q20" s="1260"/>
      <c r="R20" s="664"/>
      <c r="S20" s="665"/>
      <c r="T20" s="664"/>
      <c r="U20" s="665"/>
      <c r="V20" s="664"/>
      <c r="W20" s="665"/>
      <c r="X20" s="1262"/>
      <c r="Y20" s="3424"/>
      <c r="Z20" s="1261"/>
      <c r="AA20" s="1261">
        <v>1</v>
      </c>
      <c r="AB20" s="1261">
        <v>1</v>
      </c>
      <c r="AC20" s="1808">
        <v>1</v>
      </c>
    </row>
    <row r="21" spans="1:29" ht="15">
      <c r="A21" s="365"/>
      <c r="B21" s="555" t="s">
        <v>1813</v>
      </c>
      <c r="C21" s="1809"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5"/>
      <c r="M21" s="2480"/>
      <c r="N21" s="2480"/>
      <c r="O21" s="2480"/>
      <c r="P21" s="3492"/>
      <c r="Q21" s="1260" t="str">
        <f>B21</f>
        <v>基础设施水平</v>
      </c>
      <c r="R21" s="664" t="s">
        <v>14</v>
      </c>
      <c r="S21" s="665">
        <f>F21</f>
        <v>100</v>
      </c>
      <c r="T21" s="664" t="s">
        <v>14</v>
      </c>
      <c r="U21" s="665">
        <f>H21</f>
        <v>100</v>
      </c>
      <c r="V21" s="664" t="s">
        <v>14</v>
      </c>
      <c r="W21" s="665">
        <f>J21</f>
        <v>100</v>
      </c>
      <c r="X21" s="1262"/>
      <c r="Y21" s="3424"/>
      <c r="Z21" s="1261" t="str">
        <f>Q21</f>
        <v>基础设施水平</v>
      </c>
      <c r="AA21" s="1261">
        <f t="shared" ref="AA21" si="8">D21/F21</f>
        <v>1</v>
      </c>
      <c r="AB21" s="1261">
        <f t="shared" ref="AB21" si="9">D21/H21</f>
        <v>1</v>
      </c>
      <c r="AC21" s="1808">
        <f t="shared" ref="AC21" si="10">D21/J21</f>
        <v>1</v>
      </c>
    </row>
    <row r="22" spans="1:29" ht="15">
      <c r="A22" s="365"/>
      <c r="B22" s="555"/>
      <c r="C22" s="1810"/>
      <c r="D22" s="385"/>
      <c r="E22" s="384"/>
      <c r="F22" s="385"/>
      <c r="G22" s="1754"/>
      <c r="H22" s="385"/>
      <c r="I22" s="1754"/>
      <c r="J22" s="385"/>
      <c r="K22" s="1061"/>
      <c r="L22" s="2485"/>
      <c r="M22" s="2480"/>
      <c r="N22" s="2480"/>
      <c r="O22" s="2480"/>
      <c r="P22" s="3492"/>
      <c r="Q22" s="1260"/>
      <c r="R22" s="664"/>
      <c r="S22" s="665"/>
      <c r="T22" s="664"/>
      <c r="U22" s="665"/>
      <c r="V22" s="664"/>
      <c r="W22" s="665"/>
      <c r="X22" s="1262"/>
      <c r="Y22" s="3424"/>
      <c r="Z22" s="1261"/>
      <c r="AA22" s="1261">
        <v>1</v>
      </c>
      <c r="AB22" s="1261">
        <v>1</v>
      </c>
      <c r="AC22" s="1808">
        <v>1</v>
      </c>
    </row>
    <row r="23" spans="1:29" ht="15">
      <c r="A23" s="365"/>
      <c r="B23" s="554" t="s">
        <v>1814</v>
      </c>
      <c r="C23" s="1809" t="str">
        <f>估价对象房地状况!C9</f>
        <v>一般</v>
      </c>
      <c r="D23" s="387">
        <v>100</v>
      </c>
      <c r="E23" s="391"/>
      <c r="F23" s="387">
        <f>SUMIF(85:85,E24,86:86)-SUMIF(85:85,C24,86:86)+100</f>
        <v>100</v>
      </c>
      <c r="G23" s="389"/>
      <c r="H23" s="387">
        <f>SUMIF(85:85,G24,86:86)-SUMIF(85:85,C24,86:86)+100</f>
        <v>100</v>
      </c>
      <c r="I23" s="389"/>
      <c r="J23" s="387">
        <f>SUMIF(85:85,I24,86:86)-SUMIF(85:85,C24,86:86)+100</f>
        <v>100</v>
      </c>
      <c r="K23" s="538"/>
      <c r="L23" s="2485"/>
      <c r="M23" s="2480"/>
      <c r="N23" s="2480"/>
      <c r="O23" s="2480"/>
      <c r="P23" s="3492"/>
      <c r="Q23" s="1260" t="str">
        <f>B23</f>
        <v>环境质量</v>
      </c>
      <c r="R23" s="664" t="s">
        <v>14</v>
      </c>
      <c r="S23" s="665">
        <f>F23</f>
        <v>100</v>
      </c>
      <c r="T23" s="664" t="s">
        <v>14</v>
      </c>
      <c r="U23" s="665">
        <f>H23</f>
        <v>100</v>
      </c>
      <c r="V23" s="664" t="s">
        <v>14</v>
      </c>
      <c r="W23" s="665">
        <f>J23</f>
        <v>100</v>
      </c>
      <c r="X23" s="1262"/>
      <c r="Y23" s="3424"/>
      <c r="Z23" s="1261" t="str">
        <f>Q23</f>
        <v>环境质量</v>
      </c>
      <c r="AA23" s="1261">
        <f t="shared" si="3"/>
        <v>1</v>
      </c>
      <c r="AB23" s="1261">
        <f t="shared" si="4"/>
        <v>1</v>
      </c>
      <c r="AC23" s="1808">
        <f t="shared" si="5"/>
        <v>1</v>
      </c>
    </row>
    <row r="24" spans="1:29" ht="15">
      <c r="A24" s="365"/>
      <c r="B24" s="555"/>
      <c r="C24" s="1754"/>
      <c r="D24" s="385"/>
      <c r="E24" s="1747"/>
      <c r="F24" s="385"/>
      <c r="G24" s="1748"/>
      <c r="H24" s="385"/>
      <c r="I24" s="1748"/>
      <c r="J24" s="385"/>
      <c r="K24" s="539"/>
      <c r="L24" s="2485"/>
      <c r="M24" s="2480"/>
      <c r="N24" s="2480"/>
      <c r="O24" s="2480"/>
      <c r="P24" s="3492"/>
      <c r="Q24" s="1260"/>
      <c r="R24" s="664"/>
      <c r="S24" s="665"/>
      <c r="T24" s="664"/>
      <c r="U24" s="665"/>
      <c r="V24" s="664"/>
      <c r="W24" s="665"/>
      <c r="X24" s="1262"/>
      <c r="Y24" s="3424"/>
      <c r="Z24" s="1261"/>
      <c r="AA24" s="1261">
        <v>1</v>
      </c>
      <c r="AB24" s="1261">
        <v>1</v>
      </c>
      <c r="AC24" s="1808">
        <v>1</v>
      </c>
    </row>
    <row r="25" spans="1:29" ht="27">
      <c r="A25" s="346"/>
      <c r="B25" s="554" t="s">
        <v>1815</v>
      </c>
      <c r="C25" s="1758"/>
      <c r="D25" s="372">
        <v>100</v>
      </c>
      <c r="E25" s="371"/>
      <c r="F25" s="372">
        <f>SUMIF(87:87,E26,88:88)-SUMIF(87:87,C26,88:88)+100</f>
        <v>100</v>
      </c>
      <c r="G25" s="1758"/>
      <c r="H25" s="372">
        <f>SUMIF(87:87,G26,88:88)-SUMIF(87:87,C26,88:88)+100</f>
        <v>100</v>
      </c>
      <c r="I25" s="371"/>
      <c r="J25" s="372">
        <f>SUMIF(87:87,I26,88:88)-SUMIF(87:87,C26,88:88)+100</f>
        <v>100</v>
      </c>
      <c r="K25" s="538"/>
      <c r="L25" s="2485"/>
      <c r="M25" s="2480"/>
      <c r="N25" s="2480"/>
      <c r="O25" s="2480"/>
      <c r="P25" s="3492"/>
      <c r="Q25" s="1260" t="str">
        <f>B25</f>
        <v>毗邻道路的类型与等级</v>
      </c>
      <c r="R25" s="664" t="s">
        <v>14</v>
      </c>
      <c r="S25" s="665">
        <f>F25</f>
        <v>100</v>
      </c>
      <c r="T25" s="664" t="s">
        <v>14</v>
      </c>
      <c r="U25" s="665">
        <f>H25</f>
        <v>100</v>
      </c>
      <c r="V25" s="664" t="s">
        <v>14</v>
      </c>
      <c r="W25" s="665">
        <f>J25</f>
        <v>100</v>
      </c>
      <c r="X25" s="1262"/>
      <c r="Y25" s="3424"/>
      <c r="Z25" s="1261" t="str">
        <f>Q25</f>
        <v>毗邻道路的类型与等级</v>
      </c>
      <c r="AA25" s="1261">
        <f t="shared" si="3"/>
        <v>1</v>
      </c>
      <c r="AB25" s="1261">
        <f t="shared" si="4"/>
        <v>1</v>
      </c>
      <c r="AC25" s="1808">
        <f t="shared" si="5"/>
        <v>1</v>
      </c>
    </row>
    <row r="26" spans="1:29" ht="15">
      <c r="A26" s="346"/>
      <c r="B26" s="399"/>
      <c r="C26" s="556"/>
      <c r="D26" s="372"/>
      <c r="E26" s="540"/>
      <c r="F26" s="372"/>
      <c r="G26" s="556"/>
      <c r="H26" s="372"/>
      <c r="I26" s="540"/>
      <c r="J26" s="372"/>
      <c r="K26" s="539"/>
      <c r="L26" s="2485"/>
      <c r="M26" s="2480"/>
      <c r="N26" s="2480"/>
      <c r="O26" s="2480"/>
      <c r="P26" s="3492"/>
      <c r="Q26" s="1260"/>
      <c r="R26" s="664"/>
      <c r="S26" s="665"/>
      <c r="T26" s="664"/>
      <c r="U26" s="665"/>
      <c r="V26" s="664"/>
      <c r="W26" s="665"/>
      <c r="X26" s="1262"/>
      <c r="Y26" s="3424"/>
      <c r="Z26" s="1261"/>
      <c r="AA26" s="1261">
        <v>1</v>
      </c>
      <c r="AB26" s="1261">
        <v>1</v>
      </c>
      <c r="AC26" s="1808">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5"/>
      <c r="M27" s="2480"/>
      <c r="N27" s="2480"/>
      <c r="O27" s="2480"/>
      <c r="P27" s="3492"/>
      <c r="Q27" s="1260" t="str">
        <f t="shared" ref="Q27:Q47" si="11">B27</f>
        <v>楼层</v>
      </c>
      <c r="R27" s="664" t="s">
        <v>14</v>
      </c>
      <c r="S27" s="665">
        <f>F27</f>
        <v>100</v>
      </c>
      <c r="T27" s="664" t="s">
        <v>14</v>
      </c>
      <c r="U27" s="665">
        <f>H27</f>
        <v>100</v>
      </c>
      <c r="V27" s="664" t="s">
        <v>14</v>
      </c>
      <c r="W27" s="665">
        <f>J27</f>
        <v>100</v>
      </c>
      <c r="X27" s="1262"/>
      <c r="Y27" s="3424"/>
      <c r="Z27" s="1261" t="str">
        <f>Q27</f>
        <v>楼层</v>
      </c>
      <c r="AA27" s="1261">
        <f t="shared" si="3"/>
        <v>1</v>
      </c>
      <c r="AB27" s="1261">
        <f t="shared" si="4"/>
        <v>1</v>
      </c>
      <c r="AC27" s="1808">
        <f t="shared" si="5"/>
        <v>1</v>
      </c>
    </row>
    <row r="28" spans="1:29" s="101" customFormat="1" ht="15">
      <c r="A28" s="368"/>
      <c r="B28" s="554" t="s">
        <v>1816</v>
      </c>
      <c r="C28" s="1811"/>
      <c r="D28" s="399">
        <v>100</v>
      </c>
      <c r="E28" s="1803"/>
      <c r="F28" s="399">
        <f>SUMIF(91:91,E28,92:92)-SUMIF(91:91,C28,92:92)+100</f>
        <v>100</v>
      </c>
      <c r="G28" s="1811"/>
      <c r="H28" s="399">
        <f>SUMIF(91:91,G28,92:92)-SUMIF(91:91,C28,92:92)+100</f>
        <v>100</v>
      </c>
      <c r="I28" s="1803"/>
      <c r="J28" s="399">
        <f>SUMIF(91:91,I28,92:92)-SUMIF(91:91,C28,92:92)+100</f>
        <v>100</v>
      </c>
      <c r="K28" s="536"/>
      <c r="L28" s="2481"/>
      <c r="M28" s="2433"/>
      <c r="N28" s="2433"/>
      <c r="O28" s="2433"/>
      <c r="P28" s="3492"/>
      <c r="Q28" s="528" t="str">
        <f t="shared" si="11"/>
        <v>朝向</v>
      </c>
      <c r="R28" s="661" t="s">
        <v>14</v>
      </c>
      <c r="S28" s="662">
        <f>F28</f>
        <v>100</v>
      </c>
      <c r="T28" s="661" t="s">
        <v>14</v>
      </c>
      <c r="U28" s="662">
        <f>H28</f>
        <v>100</v>
      </c>
      <c r="V28" s="661" t="s">
        <v>14</v>
      </c>
      <c r="W28" s="662">
        <f>J28</f>
        <v>100</v>
      </c>
      <c r="X28" s="663"/>
      <c r="Y28" s="3424"/>
      <c r="Z28" s="50" t="str">
        <f>Q28</f>
        <v>朝向</v>
      </c>
      <c r="AA28" s="1261">
        <f>D28/F28</f>
        <v>1</v>
      </c>
      <c r="AB28" s="1261">
        <f>D28/H28</f>
        <v>1</v>
      </c>
      <c r="AC28" s="1808">
        <f>D28/J28</f>
        <v>1</v>
      </c>
    </row>
    <row r="29" spans="1:29" ht="15">
      <c r="A29" s="365"/>
      <c r="B29" s="1096">
        <v>111</v>
      </c>
      <c r="C29" s="1758"/>
      <c r="D29" s="372">
        <v>100</v>
      </c>
      <c r="E29" s="369"/>
      <c r="F29" s="372">
        <f>SUMIF(93:93,E29,94:94)-SUMIF(93:93,C29,94:94)+100</f>
        <v>100</v>
      </c>
      <c r="G29" s="1806"/>
      <c r="H29" s="372">
        <f>SUMIF(93:93,G29,94:94)-SUMIF(93:93,C29,94:94)+100</f>
        <v>100</v>
      </c>
      <c r="I29" s="369"/>
      <c r="J29" s="372">
        <f>SUMIF(93:93,I29,94:94)-SUMIF(93:93,C29,94:94)+100</f>
        <v>100</v>
      </c>
      <c r="K29" s="537"/>
      <c r="L29" s="2485"/>
      <c r="M29" s="2480"/>
      <c r="N29" s="2480"/>
      <c r="O29" s="2480"/>
      <c r="P29" s="3492"/>
      <c r="Q29" s="1260">
        <f t="shared" si="11"/>
        <v>111</v>
      </c>
      <c r="R29" s="664" t="s">
        <v>14</v>
      </c>
      <c r="S29" s="665">
        <f t="shared" ref="S29:S47" si="12">F29</f>
        <v>100</v>
      </c>
      <c r="T29" s="664" t="s">
        <v>14</v>
      </c>
      <c r="U29" s="665">
        <f t="shared" ref="U29:U47" si="13">H29</f>
        <v>100</v>
      </c>
      <c r="V29" s="664" t="s">
        <v>14</v>
      </c>
      <c r="W29" s="665">
        <f t="shared" ref="W29:W47" si="14">J29</f>
        <v>100</v>
      </c>
      <c r="X29" s="1262"/>
      <c r="Y29" s="3424"/>
      <c r="Z29" s="1261">
        <f t="shared" ref="Z29:Z47" si="15">Q29</f>
        <v>111</v>
      </c>
      <c r="AA29" s="1261">
        <f t="shared" si="3"/>
        <v>1</v>
      </c>
      <c r="AB29" s="1261">
        <f t="shared" si="4"/>
        <v>1</v>
      </c>
      <c r="AC29" s="1808">
        <f t="shared" si="5"/>
        <v>1</v>
      </c>
    </row>
    <row r="30" spans="1:29" ht="15">
      <c r="A30" s="365"/>
      <c r="B30" s="1096">
        <v>111</v>
      </c>
      <c r="C30" s="1758"/>
      <c r="D30" s="372">
        <v>100</v>
      </c>
      <c r="E30" s="369"/>
      <c r="F30" s="372">
        <f>SUMIF(95:95,E30,96:96)-SUMIF(95:95,C30,96:96)+100</f>
        <v>100</v>
      </c>
      <c r="G30" s="1806"/>
      <c r="H30" s="372">
        <f>SUMIF(95:95,G30,96:96)-SUMIF(95:95,C30,96:96)+100</f>
        <v>100</v>
      </c>
      <c r="I30" s="369"/>
      <c r="J30" s="372">
        <f>SUMIF(95:95,I30,96:96)-SUMIF(95:95,C30,96:96)+100</f>
        <v>100</v>
      </c>
      <c r="K30" s="537"/>
      <c r="L30" s="2485"/>
      <c r="M30" s="2480"/>
      <c r="N30" s="2480"/>
      <c r="O30" s="2480"/>
      <c r="P30" s="3492"/>
      <c r="Q30" s="1260">
        <f t="shared" si="11"/>
        <v>111</v>
      </c>
      <c r="R30" s="664" t="s">
        <v>14</v>
      </c>
      <c r="S30" s="665">
        <f t="shared" si="12"/>
        <v>100</v>
      </c>
      <c r="T30" s="664" t="s">
        <v>14</v>
      </c>
      <c r="U30" s="665">
        <f t="shared" si="13"/>
        <v>100</v>
      </c>
      <c r="V30" s="664" t="s">
        <v>14</v>
      </c>
      <c r="W30" s="665">
        <f t="shared" si="14"/>
        <v>100</v>
      </c>
      <c r="X30" s="1262"/>
      <c r="Y30" s="3424"/>
      <c r="Z30" s="1261">
        <f t="shared" si="15"/>
        <v>111</v>
      </c>
      <c r="AA30" s="1261">
        <f t="shared" si="3"/>
        <v>1</v>
      </c>
      <c r="AB30" s="1261">
        <f t="shared" si="4"/>
        <v>1</v>
      </c>
      <c r="AC30" s="1808">
        <f t="shared" si="5"/>
        <v>1</v>
      </c>
    </row>
    <row r="31" spans="1:29" ht="15">
      <c r="A31" s="365"/>
      <c r="B31" s="1096">
        <v>111</v>
      </c>
      <c r="C31" s="1758"/>
      <c r="D31" s="372">
        <v>100</v>
      </c>
      <c r="E31" s="369"/>
      <c r="F31" s="372">
        <f>SUMIF(97:97,E31,98:98)-SUMIF(97:97,C31,98:98)+100</f>
        <v>100</v>
      </c>
      <c r="G31" s="1806"/>
      <c r="H31" s="372">
        <f>SUMIF(97:97,G31,98:98)-SUMIF(97:97,C31,98:98)+100</f>
        <v>100</v>
      </c>
      <c r="I31" s="369"/>
      <c r="J31" s="372">
        <f>SUMIF(97:97,I31,98:98)-SUMIF(97:97,C31,98:98)+100</f>
        <v>100</v>
      </c>
      <c r="K31" s="537"/>
      <c r="L31" s="2485"/>
      <c r="M31" s="2480"/>
      <c r="N31" s="2480"/>
      <c r="O31" s="2480"/>
      <c r="P31" s="3492"/>
      <c r="Q31" s="1260">
        <f t="shared" si="11"/>
        <v>111</v>
      </c>
      <c r="R31" s="664" t="s">
        <v>14</v>
      </c>
      <c r="S31" s="665">
        <f t="shared" si="12"/>
        <v>100</v>
      </c>
      <c r="T31" s="664" t="s">
        <v>14</v>
      </c>
      <c r="U31" s="665">
        <f t="shared" si="13"/>
        <v>100</v>
      </c>
      <c r="V31" s="664" t="s">
        <v>14</v>
      </c>
      <c r="W31" s="665">
        <f t="shared" si="14"/>
        <v>100</v>
      </c>
      <c r="X31" s="1262"/>
      <c r="Y31" s="3424"/>
      <c r="Z31" s="1261">
        <f t="shared" si="15"/>
        <v>111</v>
      </c>
      <c r="AA31" s="1261">
        <f t="shared" si="3"/>
        <v>1</v>
      </c>
      <c r="AB31" s="1261">
        <f t="shared" si="4"/>
        <v>1</v>
      </c>
      <c r="AC31" s="1808">
        <f t="shared" si="5"/>
        <v>1</v>
      </c>
    </row>
    <row r="32" spans="1:29" ht="15.75" thickBot="1">
      <c r="A32" s="373"/>
      <c r="B32" s="557">
        <v>111</v>
      </c>
      <c r="C32" s="1759"/>
      <c r="D32" s="375">
        <v>100</v>
      </c>
      <c r="E32" s="551"/>
      <c r="F32" s="375">
        <f>SUMIF(99:99,E32,100:100)-SUMIF(99:99,C32,100:100)+100</f>
        <v>100</v>
      </c>
      <c r="G32" s="1806"/>
      <c r="H32" s="375">
        <f>SUMIF(99:99,G32,100:100)-SUMIF(99:99,C32,100:100)+100</f>
        <v>100</v>
      </c>
      <c r="I32" s="369"/>
      <c r="J32" s="375">
        <f>SUMIF(99:99,I32,100:100)-SUMIF(99:99,C32,100:100)+100</f>
        <v>100</v>
      </c>
      <c r="K32" s="537"/>
      <c r="L32" s="2485"/>
      <c r="M32" s="2480"/>
      <c r="N32" s="2480"/>
      <c r="O32" s="2480"/>
      <c r="P32" s="3492"/>
      <c r="Q32" s="1260">
        <f t="shared" si="11"/>
        <v>111</v>
      </c>
      <c r="R32" s="664" t="s">
        <v>14</v>
      </c>
      <c r="S32" s="665">
        <f t="shared" si="12"/>
        <v>100</v>
      </c>
      <c r="T32" s="664" t="s">
        <v>14</v>
      </c>
      <c r="U32" s="665">
        <f t="shared" si="13"/>
        <v>100</v>
      </c>
      <c r="V32" s="664" t="s">
        <v>14</v>
      </c>
      <c r="W32" s="665">
        <f t="shared" si="14"/>
        <v>100</v>
      </c>
      <c r="X32" s="1262"/>
      <c r="Y32" s="3424"/>
      <c r="Z32" s="1261">
        <f t="shared" si="15"/>
        <v>111</v>
      </c>
      <c r="AA32" s="1261">
        <f t="shared" si="3"/>
        <v>1</v>
      </c>
      <c r="AB32" s="1261">
        <f t="shared" si="4"/>
        <v>1</v>
      </c>
      <c r="AC32" s="1808">
        <f t="shared" si="5"/>
        <v>1</v>
      </c>
    </row>
    <row r="33" spans="1:29" ht="15">
      <c r="A33" s="377" t="s">
        <v>1694</v>
      </c>
      <c r="B33" s="59" t="s">
        <v>1817</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5"/>
      <c r="M33" s="2480"/>
      <c r="N33" s="2480"/>
      <c r="O33" s="2480"/>
      <c r="P33" s="3487" t="s">
        <v>1696</v>
      </c>
      <c r="Q33" s="1260" t="str">
        <f t="shared" si="11"/>
        <v>建筑类型</v>
      </c>
      <c r="R33" s="664" t="s">
        <v>14</v>
      </c>
      <c r="S33" s="665">
        <f t="shared" si="12"/>
        <v>100</v>
      </c>
      <c r="T33" s="664" t="s">
        <v>14</v>
      </c>
      <c r="U33" s="665">
        <f t="shared" si="13"/>
        <v>100</v>
      </c>
      <c r="V33" s="664" t="s">
        <v>14</v>
      </c>
      <c r="W33" s="665">
        <f t="shared" si="14"/>
        <v>100</v>
      </c>
      <c r="X33" s="1262"/>
      <c r="Y33" s="3426" t="s">
        <v>1696</v>
      </c>
      <c r="Z33" s="1261" t="str">
        <f t="shared" si="15"/>
        <v>建筑类型</v>
      </c>
      <c r="AA33" s="1261">
        <f t="shared" si="3"/>
        <v>1</v>
      </c>
      <c r="AB33" s="1261">
        <f t="shared" si="4"/>
        <v>1</v>
      </c>
      <c r="AC33" s="1808">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4"/>
      <c r="M34" s="2486"/>
      <c r="N34" s="2486"/>
      <c r="O34" s="2486"/>
      <c r="P34" s="3488"/>
      <c r="Q34" s="529" t="str">
        <f t="shared" si="11"/>
        <v>项目建筑规模</v>
      </c>
      <c r="R34" s="666" t="s">
        <v>14</v>
      </c>
      <c r="S34" s="667" t="e">
        <f t="shared" si="12"/>
        <v>#N/A</v>
      </c>
      <c r="T34" s="666" t="s">
        <v>14</v>
      </c>
      <c r="U34" s="667" t="e">
        <f t="shared" si="13"/>
        <v>#N/A</v>
      </c>
      <c r="V34" s="666" t="s">
        <v>14</v>
      </c>
      <c r="W34" s="667" t="e">
        <f t="shared" si="14"/>
        <v>#N/A</v>
      </c>
      <c r="X34" s="668"/>
      <c r="Y34" s="3426"/>
      <c r="Z34" s="669" t="str">
        <f t="shared" si="15"/>
        <v>项目建筑规模</v>
      </c>
      <c r="AA34" s="1261" t="e">
        <f t="shared" si="3"/>
        <v>#N/A</v>
      </c>
      <c r="AB34" s="1261" t="e">
        <f t="shared" si="4"/>
        <v>#N/A</v>
      </c>
      <c r="AC34" s="1808"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5"/>
      <c r="M35" s="2480"/>
      <c r="N35" s="2480"/>
      <c r="O35" s="2480"/>
      <c r="P35" s="3488"/>
      <c r="Q35" s="1260" t="str">
        <f t="shared" si="11"/>
        <v>建筑结构</v>
      </c>
      <c r="R35" s="664" t="s">
        <v>14</v>
      </c>
      <c r="S35" s="665">
        <f t="shared" si="12"/>
        <v>100</v>
      </c>
      <c r="T35" s="664" t="s">
        <v>14</v>
      </c>
      <c r="U35" s="665">
        <f t="shared" si="13"/>
        <v>100</v>
      </c>
      <c r="V35" s="664" t="s">
        <v>14</v>
      </c>
      <c r="W35" s="665">
        <f t="shared" si="14"/>
        <v>100</v>
      </c>
      <c r="X35" s="1262"/>
      <c r="Y35" s="3426"/>
      <c r="Z35" s="1261" t="str">
        <f t="shared" si="15"/>
        <v>建筑结构</v>
      </c>
      <c r="AA35" s="1261">
        <f t="shared" si="3"/>
        <v>1</v>
      </c>
      <c r="AB35" s="1261">
        <f t="shared" si="4"/>
        <v>1</v>
      </c>
      <c r="AC35" s="1808">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5"/>
      <c r="M36" s="2480"/>
      <c r="N36" s="2480"/>
      <c r="O36" s="2480"/>
      <c r="P36" s="3488"/>
      <c r="Q36" s="1260" t="str">
        <f t="shared" si="11"/>
        <v>公共部分装修</v>
      </c>
      <c r="R36" s="664" t="s">
        <v>14</v>
      </c>
      <c r="S36" s="665">
        <f t="shared" si="12"/>
        <v>100</v>
      </c>
      <c r="T36" s="664" t="s">
        <v>14</v>
      </c>
      <c r="U36" s="665">
        <f t="shared" si="13"/>
        <v>100</v>
      </c>
      <c r="V36" s="664" t="s">
        <v>14</v>
      </c>
      <c r="W36" s="665">
        <f t="shared" si="14"/>
        <v>100</v>
      </c>
      <c r="X36" s="1262"/>
      <c r="Y36" s="3426"/>
      <c r="Z36" s="1261" t="str">
        <f t="shared" si="15"/>
        <v>公共部分装修</v>
      </c>
      <c r="AA36" s="1261">
        <f t="shared" si="3"/>
        <v>1</v>
      </c>
      <c r="AB36" s="1261">
        <f t="shared" si="4"/>
        <v>1</v>
      </c>
      <c r="AC36" s="1808">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5"/>
      <c r="M37" s="2480"/>
      <c r="N37" s="2480"/>
      <c r="O37" s="2480"/>
      <c r="P37" s="3488"/>
      <c r="Q37" s="1260" t="str">
        <f t="shared" si="11"/>
        <v>成新度</v>
      </c>
      <c r="R37" s="664" t="s">
        <v>14</v>
      </c>
      <c r="S37" s="665" t="e">
        <f t="shared" si="12"/>
        <v>#N/A</v>
      </c>
      <c r="T37" s="664" t="s">
        <v>14</v>
      </c>
      <c r="U37" s="665" t="e">
        <f t="shared" si="13"/>
        <v>#N/A</v>
      </c>
      <c r="V37" s="664" t="s">
        <v>14</v>
      </c>
      <c r="W37" s="665" t="e">
        <f t="shared" si="14"/>
        <v>#N/A</v>
      </c>
      <c r="X37" s="1262"/>
      <c r="Y37" s="3426"/>
      <c r="Z37" s="1261" t="str">
        <f t="shared" si="15"/>
        <v>成新度</v>
      </c>
      <c r="AA37" s="1261" t="e">
        <f t="shared" si="3"/>
        <v>#N/A</v>
      </c>
      <c r="AB37" s="1261" t="e">
        <f t="shared" si="4"/>
        <v>#N/A</v>
      </c>
      <c r="AC37" s="1808"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1"/>
      <c r="M38" s="2433"/>
      <c r="N38" s="2433"/>
      <c r="O38" s="2433"/>
      <c r="P38" s="3488"/>
      <c r="Q38" s="528" t="str">
        <f t="shared" si="11"/>
        <v>写字楼等级</v>
      </c>
      <c r="R38" s="661" t="s">
        <v>14</v>
      </c>
      <c r="S38" s="662">
        <f t="shared" si="12"/>
        <v>100</v>
      </c>
      <c r="T38" s="661" t="s">
        <v>14</v>
      </c>
      <c r="U38" s="662">
        <f t="shared" si="13"/>
        <v>100</v>
      </c>
      <c r="V38" s="661" t="s">
        <v>14</v>
      </c>
      <c r="W38" s="662">
        <f t="shared" si="14"/>
        <v>100</v>
      </c>
      <c r="X38" s="663"/>
      <c r="Y38" s="3426"/>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5"/>
      <c r="M39" s="2480"/>
      <c r="N39" s="2480"/>
      <c r="O39" s="2480"/>
      <c r="P39" s="3488" t="s">
        <v>1696</v>
      </c>
      <c r="Q39" s="1260" t="str">
        <f t="shared" si="11"/>
        <v>物业管理</v>
      </c>
      <c r="R39" s="664" t="s">
        <v>14</v>
      </c>
      <c r="S39" s="665">
        <f t="shared" si="12"/>
        <v>100</v>
      </c>
      <c r="T39" s="664" t="s">
        <v>14</v>
      </c>
      <c r="U39" s="665">
        <f t="shared" si="13"/>
        <v>100</v>
      </c>
      <c r="V39" s="664" t="s">
        <v>14</v>
      </c>
      <c r="W39" s="665">
        <f t="shared" si="14"/>
        <v>100</v>
      </c>
      <c r="X39" s="1262"/>
      <c r="Y39" s="3426" t="s">
        <v>1696</v>
      </c>
      <c r="Z39" s="1261" t="str">
        <f t="shared" si="15"/>
        <v>物业管理</v>
      </c>
      <c r="AA39" s="1261">
        <f t="shared" si="3"/>
        <v>1</v>
      </c>
      <c r="AB39" s="1261">
        <f t="shared" si="4"/>
        <v>1</v>
      </c>
      <c r="AC39" s="1808">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5"/>
      <c r="M40" s="2480"/>
      <c r="N40" s="2480"/>
      <c r="O40" s="2480"/>
      <c r="P40" s="3488"/>
      <c r="Q40" s="1260" t="str">
        <f t="shared" si="11"/>
        <v>市政基础设施</v>
      </c>
      <c r="R40" s="664" t="s">
        <v>14</v>
      </c>
      <c r="S40" s="665">
        <f t="shared" si="12"/>
        <v>100</v>
      </c>
      <c r="T40" s="664" t="s">
        <v>14</v>
      </c>
      <c r="U40" s="665">
        <f t="shared" si="13"/>
        <v>100</v>
      </c>
      <c r="V40" s="664" t="s">
        <v>14</v>
      </c>
      <c r="W40" s="665">
        <f t="shared" si="14"/>
        <v>100</v>
      </c>
      <c r="X40" s="1262"/>
      <c r="Y40" s="3426"/>
      <c r="Z40" s="1261" t="str">
        <f t="shared" si="15"/>
        <v>市政基础设施</v>
      </c>
      <c r="AA40" s="1261">
        <f t="shared" si="3"/>
        <v>1</v>
      </c>
      <c r="AB40" s="1261">
        <f t="shared" si="4"/>
        <v>1</v>
      </c>
      <c r="AC40" s="1808">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5"/>
      <c r="M41" s="2480"/>
      <c r="N41" s="2480"/>
      <c r="O41" s="2480"/>
      <c r="P41" s="3488"/>
      <c r="Q41" s="1260" t="str">
        <f t="shared" si="11"/>
        <v>层高</v>
      </c>
      <c r="R41" s="664" t="s">
        <v>14</v>
      </c>
      <c r="S41" s="665">
        <f t="shared" si="12"/>
        <v>100</v>
      </c>
      <c r="T41" s="664" t="s">
        <v>14</v>
      </c>
      <c r="U41" s="665">
        <f t="shared" si="13"/>
        <v>100</v>
      </c>
      <c r="V41" s="664" t="s">
        <v>14</v>
      </c>
      <c r="W41" s="665">
        <f t="shared" si="14"/>
        <v>100</v>
      </c>
      <c r="X41" s="1262"/>
      <c r="Y41" s="3426"/>
      <c r="Z41" s="1261" t="str">
        <f t="shared" si="15"/>
        <v>层高</v>
      </c>
      <c r="AA41" s="1261">
        <f t="shared" si="3"/>
        <v>1</v>
      </c>
      <c r="AB41" s="1261">
        <f t="shared" si="4"/>
        <v>1</v>
      </c>
      <c r="AC41" s="1808">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4"/>
      <c r="M42" s="2486"/>
      <c r="N42" s="2486"/>
      <c r="O42" s="2486"/>
      <c r="P42" s="3488"/>
      <c r="Q42" s="529" t="str">
        <f t="shared" si="11"/>
        <v>单套建筑面积</v>
      </c>
      <c r="R42" s="666" t="s">
        <v>14</v>
      </c>
      <c r="S42" s="667">
        <f t="shared" si="12"/>
        <v>100</v>
      </c>
      <c r="T42" s="666" t="s">
        <v>14</v>
      </c>
      <c r="U42" s="667">
        <f t="shared" si="13"/>
        <v>100</v>
      </c>
      <c r="V42" s="666" t="s">
        <v>14</v>
      </c>
      <c r="W42" s="667">
        <f t="shared" si="14"/>
        <v>100</v>
      </c>
      <c r="X42" s="668"/>
      <c r="Y42" s="3426"/>
      <c r="Z42" s="669" t="str">
        <f t="shared" si="15"/>
        <v>单套建筑面积</v>
      </c>
      <c r="AA42" s="1261">
        <f t="shared" si="3"/>
        <v>1</v>
      </c>
      <c r="AB42" s="1261">
        <f t="shared" si="4"/>
        <v>1</v>
      </c>
      <c r="AC42" s="1808">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5"/>
      <c r="M43" s="2480"/>
      <c r="N43" s="2480"/>
      <c r="O43" s="2480"/>
      <c r="P43" s="3488"/>
      <c r="Q43" s="1260" t="str">
        <f t="shared" si="11"/>
        <v>内部装修</v>
      </c>
      <c r="R43" s="664" t="s">
        <v>14</v>
      </c>
      <c r="S43" s="665">
        <f t="shared" si="12"/>
        <v>100</v>
      </c>
      <c r="T43" s="664" t="s">
        <v>14</v>
      </c>
      <c r="U43" s="665">
        <f t="shared" si="13"/>
        <v>100</v>
      </c>
      <c r="V43" s="664" t="s">
        <v>14</v>
      </c>
      <c r="W43" s="665">
        <f t="shared" si="14"/>
        <v>100</v>
      </c>
      <c r="X43" s="1262"/>
      <c r="Y43" s="3426"/>
      <c r="Z43" s="1261" t="str">
        <f t="shared" si="15"/>
        <v>内部装修</v>
      </c>
      <c r="AA43" s="1261">
        <f t="shared" si="3"/>
        <v>1</v>
      </c>
      <c r="AB43" s="1261">
        <f t="shared" si="4"/>
        <v>1</v>
      </c>
      <c r="AC43" s="1808">
        <f t="shared" si="5"/>
        <v>1</v>
      </c>
    </row>
    <row r="44" spans="1:29" ht="15">
      <c r="A44" s="407"/>
      <c r="B44" s="362" t="s">
        <v>1707</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5"/>
      <c r="M44" s="2480"/>
      <c r="N44" s="2480"/>
      <c r="O44" s="2480"/>
      <c r="P44" s="3488"/>
      <c r="Q44" s="1260" t="str">
        <f t="shared" si="11"/>
        <v>内部装修维护情况</v>
      </c>
      <c r="R44" s="664" t="s">
        <v>14</v>
      </c>
      <c r="S44" s="665">
        <f t="shared" si="12"/>
        <v>100</v>
      </c>
      <c r="T44" s="664" t="s">
        <v>14</v>
      </c>
      <c r="U44" s="665">
        <f t="shared" si="13"/>
        <v>100</v>
      </c>
      <c r="V44" s="664" t="s">
        <v>14</v>
      </c>
      <c r="W44" s="665">
        <f t="shared" si="14"/>
        <v>100</v>
      </c>
      <c r="X44" s="1262"/>
      <c r="Y44" s="3426"/>
      <c r="Z44" s="1261" t="str">
        <f t="shared" si="15"/>
        <v>内部装修维护情况</v>
      </c>
      <c r="AA44" s="1261">
        <f t="shared" si="3"/>
        <v>1</v>
      </c>
      <c r="AB44" s="1261">
        <f t="shared" si="4"/>
        <v>1</v>
      </c>
      <c r="AC44" s="1808">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1"/>
      <c r="M45" s="2433"/>
      <c r="N45" s="2433"/>
      <c r="O45" s="2433"/>
      <c r="P45" s="3488"/>
      <c r="Q45" s="528">
        <f t="shared" si="11"/>
        <v>111</v>
      </c>
      <c r="R45" s="661" t="s">
        <v>14</v>
      </c>
      <c r="S45" s="662">
        <f t="shared" si="12"/>
        <v>100</v>
      </c>
      <c r="T45" s="661" t="s">
        <v>14</v>
      </c>
      <c r="U45" s="662">
        <f t="shared" si="13"/>
        <v>100</v>
      </c>
      <c r="V45" s="661" t="s">
        <v>14</v>
      </c>
      <c r="W45" s="662">
        <f t="shared" si="14"/>
        <v>100</v>
      </c>
      <c r="X45" s="663"/>
      <c r="Y45" s="3426"/>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5"/>
      <c r="M46" s="2480"/>
      <c r="N46" s="2480"/>
      <c r="O46" s="2480"/>
      <c r="P46" s="3488"/>
      <c r="Q46" s="1260">
        <f t="shared" si="11"/>
        <v>111</v>
      </c>
      <c r="R46" s="664" t="s">
        <v>14</v>
      </c>
      <c r="S46" s="665">
        <f t="shared" si="12"/>
        <v>100</v>
      </c>
      <c r="T46" s="664" t="s">
        <v>14</v>
      </c>
      <c r="U46" s="665">
        <f t="shared" si="13"/>
        <v>100</v>
      </c>
      <c r="V46" s="664" t="s">
        <v>14</v>
      </c>
      <c r="W46" s="665">
        <f t="shared" si="14"/>
        <v>100</v>
      </c>
      <c r="X46" s="1262"/>
      <c r="Y46" s="3426"/>
      <c r="Z46" s="1261">
        <f t="shared" si="15"/>
        <v>111</v>
      </c>
      <c r="AA46" s="1261">
        <f t="shared" si="3"/>
        <v>1</v>
      </c>
      <c r="AB46" s="1261">
        <f t="shared" si="4"/>
        <v>1</v>
      </c>
      <c r="AC46" s="1808">
        <f t="shared" si="5"/>
        <v>1</v>
      </c>
    </row>
    <row r="47" spans="1:29" ht="15.75"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5"/>
      <c r="M47" s="2480"/>
      <c r="N47" s="2480"/>
      <c r="O47" s="2480"/>
      <c r="P47" s="3489"/>
      <c r="Q47" s="1260">
        <f t="shared" si="11"/>
        <v>111</v>
      </c>
      <c r="R47" s="664" t="s">
        <v>14</v>
      </c>
      <c r="S47" s="665">
        <f t="shared" si="12"/>
        <v>100</v>
      </c>
      <c r="T47" s="664" t="s">
        <v>14</v>
      </c>
      <c r="U47" s="665">
        <f t="shared" si="13"/>
        <v>100</v>
      </c>
      <c r="V47" s="664" t="s">
        <v>14</v>
      </c>
      <c r="W47" s="665">
        <f t="shared" si="14"/>
        <v>100</v>
      </c>
      <c r="X47" s="1262"/>
      <c r="Y47" s="3490"/>
      <c r="Z47" s="1261">
        <f t="shared" si="15"/>
        <v>111</v>
      </c>
      <c r="AA47" s="1261">
        <f t="shared" si="3"/>
        <v>1</v>
      </c>
      <c r="AB47" s="1261">
        <f t="shared" si="4"/>
        <v>1</v>
      </c>
      <c r="AC47" s="1808">
        <f t="shared" si="5"/>
        <v>1</v>
      </c>
    </row>
    <row r="48" spans="1:29" ht="15">
      <c r="A48" s="414" t="s">
        <v>1708</v>
      </c>
      <c r="B48" s="415"/>
      <c r="C48" s="1078" t="s">
        <v>0</v>
      </c>
      <c r="D48" s="416"/>
      <c r="E48" s="417"/>
      <c r="F48" s="418"/>
      <c r="G48" s="419"/>
      <c r="H48" s="420"/>
      <c r="I48" s="417"/>
      <c r="J48" s="420"/>
      <c r="K48" s="671"/>
      <c r="L48" s="2487"/>
      <c r="M48" s="2480"/>
      <c r="N48" s="2480"/>
      <c r="O48" s="2480"/>
      <c r="P48" s="3421" t="str">
        <f>A48</f>
        <v>成交单价（元/平方米）</v>
      </c>
      <c r="Q48" s="3422"/>
      <c r="R48" s="3427">
        <f>E48</f>
        <v>0</v>
      </c>
      <c r="S48" s="3427"/>
      <c r="T48" s="3427">
        <f>G48</f>
        <v>0</v>
      </c>
      <c r="U48" s="3427"/>
      <c r="V48" s="3427">
        <f>I48</f>
        <v>0</v>
      </c>
      <c r="W48" s="3427"/>
      <c r="X48" s="383"/>
      <c r="Y48" s="670"/>
      <c r="Z48" s="383"/>
      <c r="AA48" s="383"/>
      <c r="AB48" s="383"/>
      <c r="AC48" s="553"/>
    </row>
    <row r="49" spans="1:29" ht="15.75" thickBot="1">
      <c r="A49" s="421" t="s">
        <v>1793</v>
      </c>
      <c r="B49" s="422"/>
      <c r="C49" s="1079" t="e">
        <f>R50</f>
        <v>#DIV/0!</v>
      </c>
      <c r="D49" s="2137" t="s">
        <v>2137</v>
      </c>
      <c r="E49" s="1080" t="e">
        <f>R49</f>
        <v>#DIV/0!</v>
      </c>
      <c r="F49" s="2138"/>
      <c r="G49" s="1079" t="e">
        <f>T49</f>
        <v>#DIV/0!</v>
      </c>
      <c r="H49" s="2138"/>
      <c r="I49" s="1080" t="e">
        <f>V49</f>
        <v>#DIV/0!</v>
      </c>
      <c r="J49" s="2138"/>
      <c r="K49" s="2140">
        <f>F49+H49+J49</f>
        <v>0</v>
      </c>
      <c r="L49" s="2487"/>
      <c r="M49" s="2480"/>
      <c r="N49" s="2480"/>
      <c r="O49" s="2480"/>
      <c r="P49" s="3421" t="str">
        <f>A49</f>
        <v>比较价值（元/平方米）</v>
      </c>
      <c r="Q49" s="3422"/>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383"/>
      <c r="Y49" s="383"/>
      <c r="Z49" s="383"/>
      <c r="AA49" s="383"/>
      <c r="AB49" s="383"/>
      <c r="AC49" s="553"/>
    </row>
    <row r="50" spans="1:29" ht="15.75" thickBot="1">
      <c r="A50" s="425" t="s">
        <v>1794</v>
      </c>
      <c r="B50" s="426"/>
      <c r="C50" s="349" t="e">
        <f>R50</f>
        <v>#DIV/0!</v>
      </c>
      <c r="D50" s="349"/>
      <c r="E50" s="349"/>
      <c r="F50" s="349"/>
      <c r="G50" s="349"/>
      <c r="H50" s="349"/>
      <c r="I50" s="349"/>
      <c r="J50" s="427"/>
      <c r="K50" s="672"/>
      <c r="L50" s="2487"/>
      <c r="M50" s="2480"/>
      <c r="N50" s="2480"/>
      <c r="O50" s="2480"/>
      <c r="P50" s="3496" t="str">
        <f>A50</f>
        <v>估价对象XX用房的比较价值（楼面单价，元/平方米）</v>
      </c>
      <c r="Q50" s="3497"/>
      <c r="R50" s="3498" t="e">
        <f>IF(F1="售价",ROUND(IF(D49="简单平均",AVERAGE(R49:V49),R49*F49+T49*H49+V49*J49),0),ROUND(IF(D49="简单平均",AVERAGE(R49:V49),R49*F49+T49*H49+V49*J49),1))</f>
        <v>#DIV/0!</v>
      </c>
      <c r="S50" s="3498"/>
      <c r="T50" s="3498"/>
      <c r="U50" s="3498"/>
      <c r="V50" s="3498"/>
      <c r="W50" s="3498"/>
      <c r="X50" s="1794"/>
      <c r="Y50" s="1794"/>
      <c r="Z50" s="1794"/>
      <c r="AA50" s="1794"/>
      <c r="AB50" s="1794"/>
      <c r="AC50" s="1795"/>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5" t="s">
        <v>1798</v>
      </c>
      <c r="B58" s="383"/>
      <c r="C58" s="656"/>
      <c r="D58" s="656"/>
      <c r="E58" s="656"/>
      <c r="F58" s="657"/>
      <c r="G58" s="657"/>
      <c r="H58" s="656"/>
      <c r="I58" s="656"/>
      <c r="J58" s="656"/>
      <c r="K58" s="658"/>
      <c r="L58" s="885"/>
      <c r="M58" s="883"/>
      <c r="N58" s="2530"/>
      <c r="O58" s="2530"/>
      <c r="P58" s="2519"/>
      <c r="Q58" s="2501"/>
      <c r="R58" s="2480"/>
      <c r="S58" s="2480"/>
      <c r="T58" s="2480"/>
      <c r="U58" s="2480"/>
      <c r="V58" s="2480"/>
      <c r="W58" s="2480"/>
      <c r="X58" s="2480"/>
      <c r="Y58" s="2480"/>
      <c r="Z58" s="2480"/>
      <c r="AA58" s="2480"/>
      <c r="AB58" s="2480"/>
      <c r="AC58" s="2480"/>
    </row>
    <row r="59" spans="1:29" s="440" customFormat="1" ht="15">
      <c r="A59" s="438" t="s">
        <v>1679</v>
      </c>
      <c r="B59" s="439"/>
      <c r="C59" s="1100" t="str">
        <f>YEAR(C7)&amp;"-"&amp;MONTH(C7)</f>
        <v>2024-12</v>
      </c>
      <c r="D59" s="1101">
        <f>EDATE(C59,-1)</f>
        <v>45597</v>
      </c>
      <c r="E59" s="1101">
        <f>EDATE(D59,-1)</f>
        <v>45566</v>
      </c>
      <c r="F59" s="1101">
        <f t="shared" ref="F59:O59" si="16">EDATE(E59,-1)</f>
        <v>45536</v>
      </c>
      <c r="G59" s="1101">
        <f t="shared" si="16"/>
        <v>45505</v>
      </c>
      <c r="H59" s="1101">
        <f t="shared" si="16"/>
        <v>45474</v>
      </c>
      <c r="I59" s="1101">
        <f t="shared" si="16"/>
        <v>45444</v>
      </c>
      <c r="J59" s="1101">
        <f t="shared" si="16"/>
        <v>45413</v>
      </c>
      <c r="K59" s="1101">
        <f t="shared" si="16"/>
        <v>45383</v>
      </c>
      <c r="L59" s="1101">
        <f t="shared" si="16"/>
        <v>45352</v>
      </c>
      <c r="M59" s="1101">
        <f t="shared" si="16"/>
        <v>45323</v>
      </c>
      <c r="N59" s="1101">
        <f t="shared" si="16"/>
        <v>45292</v>
      </c>
      <c r="O59" s="1101">
        <f t="shared" si="16"/>
        <v>45261</v>
      </c>
      <c r="P59" s="2520"/>
      <c r="Q59" s="2503"/>
      <c r="R59" s="2503"/>
      <c r="S59" s="2503"/>
      <c r="T59" s="2503"/>
      <c r="U59" s="2503"/>
      <c r="V59" s="2503"/>
      <c r="W59" s="2503"/>
      <c r="X59" s="2503"/>
      <c r="Y59" s="2503"/>
      <c r="Z59" s="2503"/>
      <c r="AA59" s="2503"/>
      <c r="AB59" s="2503"/>
      <c r="AC59" s="2503"/>
    </row>
    <row r="60" spans="1:29" s="101" customFormat="1" ht="15">
      <c r="A60" s="441"/>
      <c r="B60" s="442"/>
      <c r="C60" s="1099">
        <v>100</v>
      </c>
      <c r="D60" s="444"/>
      <c r="E60" s="444"/>
      <c r="F60" s="444"/>
      <c r="G60" s="444"/>
      <c r="H60" s="444"/>
      <c r="I60" s="444"/>
      <c r="J60" s="444"/>
      <c r="K60" s="444"/>
      <c r="L60" s="444"/>
      <c r="M60" s="445"/>
      <c r="N60" s="444"/>
      <c r="O60" s="445"/>
      <c r="P60" s="2521"/>
      <c r="Q60" s="2433"/>
      <c r="R60" s="2433"/>
      <c r="S60" s="2433"/>
      <c r="T60" s="2433"/>
      <c r="U60" s="2433"/>
      <c r="V60" s="2433"/>
      <c r="W60" s="2433"/>
      <c r="X60" s="2433"/>
      <c r="Y60" s="2433"/>
      <c r="Z60" s="2433"/>
      <c r="AA60" s="2433"/>
      <c r="AB60" s="2433"/>
      <c r="AC60" s="2433"/>
    </row>
    <row r="61" spans="1:29" s="101" customFormat="1" ht="15.75" thickBot="1">
      <c r="A61" s="447" t="s">
        <v>1716</v>
      </c>
      <c r="B61" s="448"/>
      <c r="C61" s="449"/>
      <c r="D61" s="450"/>
      <c r="E61" s="450"/>
      <c r="F61" s="450"/>
      <c r="G61" s="450"/>
      <c r="H61" s="450"/>
      <c r="I61" s="450"/>
      <c r="J61" s="450"/>
      <c r="K61" s="450"/>
      <c r="L61" s="450"/>
      <c r="M61" s="451"/>
      <c r="N61" s="450"/>
      <c r="O61" s="451"/>
      <c r="P61" s="2521"/>
      <c r="Q61" s="2501"/>
      <c r="R61" s="2433"/>
      <c r="S61" s="2433"/>
      <c r="T61" s="2433"/>
      <c r="U61" s="2433"/>
      <c r="V61" s="2433"/>
      <c r="W61" s="2433"/>
      <c r="X61" s="2433"/>
      <c r="Y61" s="2433"/>
      <c r="Z61" s="2433"/>
      <c r="AA61" s="2433"/>
      <c r="AB61" s="2433"/>
      <c r="AC61" s="2433"/>
    </row>
    <row r="62" spans="1:29" s="101" customFormat="1" ht="15">
      <c r="A62" s="453" t="s">
        <v>1681</v>
      </c>
      <c r="B62" s="442"/>
      <c r="C62" s="454" t="s">
        <v>1776</v>
      </c>
      <c r="D62" s="31"/>
      <c r="E62" s="31"/>
      <c r="F62" s="31"/>
      <c r="G62" s="31"/>
      <c r="H62" s="31"/>
      <c r="I62" s="31"/>
      <c r="J62" s="31"/>
      <c r="K62" s="31"/>
      <c r="L62" s="455"/>
      <c r="M62" s="456"/>
      <c r="N62" s="2513"/>
      <c r="O62" s="2513"/>
      <c r="P62" s="2522"/>
      <c r="Q62" s="2501"/>
      <c r="R62" s="2433"/>
      <c r="S62" s="2433"/>
      <c r="T62" s="2433"/>
      <c r="U62" s="2433"/>
      <c r="V62" s="2433"/>
      <c r="W62" s="2433"/>
      <c r="X62" s="2433"/>
      <c r="Y62" s="2433"/>
      <c r="Z62" s="2433"/>
      <c r="AA62" s="2433"/>
      <c r="AB62" s="2433"/>
      <c r="AC62" s="2433"/>
    </row>
    <row r="63" spans="1:29" s="101" customFormat="1" ht="15.75" thickBot="1">
      <c r="A63" s="453"/>
      <c r="B63" s="442"/>
      <c r="C63" s="443">
        <v>100</v>
      </c>
      <c r="D63" s="444"/>
      <c r="E63" s="444"/>
      <c r="F63" s="444"/>
      <c r="G63" s="444"/>
      <c r="H63" s="444"/>
      <c r="I63" s="444"/>
      <c r="J63" s="444"/>
      <c r="K63" s="444"/>
      <c r="L63" s="444"/>
      <c r="M63" s="446"/>
      <c r="N63" s="2513"/>
      <c r="O63" s="2513"/>
      <c r="P63" s="2521"/>
      <c r="Q63" s="2501"/>
      <c r="R63" s="2433"/>
      <c r="S63" s="2433"/>
      <c r="T63" s="2433"/>
      <c r="U63" s="2433"/>
      <c r="V63" s="2433"/>
      <c r="W63" s="2433"/>
      <c r="X63" s="2433"/>
      <c r="Y63" s="2433"/>
      <c r="Z63" s="2433"/>
      <c r="AA63" s="2433"/>
      <c r="AB63" s="2433"/>
      <c r="AC63" s="2433"/>
    </row>
    <row r="64" spans="1:29">
      <c r="A64" s="377" t="s">
        <v>1719</v>
      </c>
      <c r="B64" s="458" t="s">
        <v>1685</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5"/>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5"/>
      <c r="B66" s="467" t="s">
        <v>1688</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5"/>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5"/>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6"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6"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6"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6"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6" customFormat="1" ht="15.75" thickTop="1">
      <c r="A75" s="482"/>
      <c r="B75" s="475">
        <f>B14</f>
        <v>111</v>
      </c>
      <c r="C75" s="31"/>
      <c r="D75" s="31"/>
      <c r="E75" s="31"/>
      <c r="F75" s="31"/>
      <c r="G75" s="31"/>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6"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7" t="s">
        <v>1690</v>
      </c>
      <c r="B77" s="458" t="s">
        <v>1821</v>
      </c>
      <c r="C77" s="502" t="s">
        <v>1721</v>
      </c>
      <c r="D77" s="502" t="s">
        <v>1722</v>
      </c>
      <c r="E77" s="502" t="s">
        <v>1723</v>
      </c>
      <c r="F77" s="502" t="s">
        <v>1724</v>
      </c>
      <c r="G77" s="502" t="s">
        <v>1725</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5"/>
      <c r="B79" s="467" t="s">
        <v>1726</v>
      </c>
      <c r="C79" s="507" t="s">
        <v>1721</v>
      </c>
      <c r="D79" s="507" t="s">
        <v>1722</v>
      </c>
      <c r="E79" s="507" t="s">
        <v>1723</v>
      </c>
      <c r="F79" s="507" t="s">
        <v>1724</v>
      </c>
      <c r="G79" s="507" t="s">
        <v>1725</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5"/>
      <c r="B81" s="467" t="s">
        <v>1727</v>
      </c>
      <c r="C81" s="507" t="s">
        <v>1721</v>
      </c>
      <c r="D81" s="507" t="s">
        <v>1722</v>
      </c>
      <c r="E81" s="507" t="s">
        <v>1723</v>
      </c>
      <c r="F81" s="507" t="s">
        <v>1724</v>
      </c>
      <c r="G81" s="507" t="s">
        <v>1725</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5"/>
      <c r="B83" s="475" t="s">
        <v>1813</v>
      </c>
      <c r="C83" s="579" t="s">
        <v>1799</v>
      </c>
      <c r="D83" s="579" t="s">
        <v>1800</v>
      </c>
      <c r="E83" s="579" t="s">
        <v>1801</v>
      </c>
      <c r="F83" s="579" t="s">
        <v>1802</v>
      </c>
      <c r="G83" s="579" t="s">
        <v>1803</v>
      </c>
      <c r="H83" s="468"/>
      <c r="I83" s="468"/>
      <c r="J83" s="468"/>
      <c r="K83" s="468"/>
      <c r="L83" s="468"/>
      <c r="M83" s="1060"/>
      <c r="N83" s="2515"/>
      <c r="O83" s="2515"/>
      <c r="P83" s="2523"/>
      <c r="Q83" s="2501"/>
      <c r="R83" s="2480"/>
      <c r="S83" s="2480"/>
      <c r="T83" s="2480"/>
      <c r="U83" s="2480"/>
      <c r="V83" s="2480"/>
      <c r="W83" s="2480"/>
      <c r="X83" s="2480"/>
      <c r="Y83" s="2480"/>
      <c r="Z83" s="2480"/>
      <c r="AA83" s="2480"/>
      <c r="AB83" s="2480"/>
      <c r="AC83" s="2480"/>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15"/>
      <c r="O84" s="2515"/>
      <c r="P84" s="2523"/>
      <c r="Q84" s="2501"/>
      <c r="R84" s="2480"/>
      <c r="S84" s="2480"/>
      <c r="T84" s="2480"/>
      <c r="U84" s="2480"/>
      <c r="V84" s="2480"/>
      <c r="W84" s="2480"/>
      <c r="X84" s="2480"/>
      <c r="Y84" s="2480"/>
      <c r="Z84" s="2480"/>
      <c r="AA84" s="2480"/>
      <c r="AB84" s="2480"/>
      <c r="AC84" s="2480"/>
    </row>
    <row r="85" spans="1:29" ht="15.75" thickTop="1">
      <c r="A85" s="365"/>
      <c r="B85" s="467" t="s">
        <v>1822</v>
      </c>
      <c r="C85" s="507" t="s">
        <v>1721</v>
      </c>
      <c r="D85" s="507" t="s">
        <v>1722</v>
      </c>
      <c r="E85" s="507" t="s">
        <v>1723</v>
      </c>
      <c r="F85" s="507" t="s">
        <v>1724</v>
      </c>
      <c r="G85" s="507" t="s">
        <v>1725</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1" customFormat="1" ht="27.75" thickTop="1">
      <c r="A87" s="368"/>
      <c r="B87" s="467" t="s">
        <v>1823</v>
      </c>
      <c r="C87" s="483"/>
      <c r="D87" s="483"/>
      <c r="E87" s="483"/>
      <c r="F87" s="483"/>
      <c r="G87" s="483"/>
      <c r="H87" s="483"/>
      <c r="I87" s="483"/>
      <c r="J87" s="483"/>
      <c r="K87" s="483"/>
      <c r="L87" s="508"/>
      <c r="M87" s="509"/>
      <c r="N87" s="2513"/>
      <c r="O87" s="2513"/>
      <c r="P87" s="2523"/>
      <c r="Q87" s="2501"/>
      <c r="R87" s="2433"/>
      <c r="S87" s="2433"/>
      <c r="T87" s="2433"/>
      <c r="U87" s="2433"/>
      <c r="V87" s="2433"/>
      <c r="W87" s="2433"/>
      <c r="X87" s="2433"/>
      <c r="Y87" s="2433"/>
      <c r="Z87" s="2433"/>
      <c r="AA87" s="2433"/>
      <c r="AB87" s="2433"/>
      <c r="AC87" s="2433"/>
    </row>
    <row r="88" spans="1:29" s="101"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3"/>
      <c r="S88" s="2433"/>
      <c r="T88" s="2433"/>
      <c r="U88" s="2433"/>
      <c r="V88" s="2433"/>
      <c r="W88" s="2433"/>
      <c r="X88" s="2433"/>
      <c r="Y88" s="2433"/>
      <c r="Z88" s="2433"/>
      <c r="AA88" s="2433"/>
      <c r="AB88" s="2433"/>
      <c r="AC88" s="2433"/>
    </row>
    <row r="89" spans="1:29" s="101" customFormat="1" ht="15.75" thickTop="1">
      <c r="A89" s="368"/>
      <c r="B89" s="467" t="str">
        <f>B27</f>
        <v>楼层</v>
      </c>
      <c r="C89" s="483"/>
      <c r="D89" s="483"/>
      <c r="E89" s="483"/>
      <c r="F89" s="1776"/>
      <c r="G89" s="483"/>
      <c r="H89" s="483"/>
      <c r="I89" s="483"/>
      <c r="J89" s="483"/>
      <c r="K89" s="483"/>
      <c r="L89" s="483"/>
      <c r="M89" s="509"/>
      <c r="N89" s="2513"/>
      <c r="O89" s="2513"/>
      <c r="P89" s="2523"/>
      <c r="Q89" s="2501"/>
      <c r="R89" s="2433"/>
      <c r="S89" s="2433"/>
      <c r="T89" s="2433"/>
      <c r="U89" s="2433"/>
      <c r="V89" s="2433"/>
      <c r="W89" s="2433"/>
      <c r="X89" s="2433"/>
      <c r="Y89" s="2433"/>
      <c r="Z89" s="2433"/>
      <c r="AA89" s="2433"/>
      <c r="AB89" s="2433"/>
      <c r="AC89" s="2433"/>
    </row>
    <row r="90" spans="1:29" s="101"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3"/>
      <c r="S90" s="2433"/>
      <c r="T90" s="2433"/>
      <c r="U90" s="2433"/>
      <c r="V90" s="2433"/>
      <c r="W90" s="2433"/>
      <c r="X90" s="2433"/>
      <c r="Y90" s="2433"/>
      <c r="Z90" s="2433"/>
      <c r="AA90" s="2433"/>
      <c r="AB90" s="2433"/>
      <c r="AC90" s="2433"/>
    </row>
    <row r="91" spans="1:29" s="406"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5"/>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5"/>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5"/>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5"/>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5"/>
      <c r="B99" s="475">
        <f>B32</f>
        <v>111</v>
      </c>
      <c r="C99" s="31"/>
      <c r="D99" s="31"/>
      <c r="E99" s="31"/>
      <c r="F99" s="31"/>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3"/>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7" t="s">
        <v>1694</v>
      </c>
      <c r="B101" s="458" t="s">
        <v>1736</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6" customFormat="1">
      <c r="A104" s="404"/>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6"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7"/>
      <c r="B106" s="467" t="s">
        <v>1738</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7"/>
      <c r="B108" s="467" t="s">
        <v>1740</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7"/>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6" customFormat="1" ht="15" thickTop="1">
      <c r="A113" s="404"/>
      <c r="B113" s="467" t="s">
        <v>1824</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7"/>
      <c r="B115" s="467" t="s">
        <v>1741</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7"/>
      <c r="B117" s="467" t="s">
        <v>1742</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7"/>
      <c r="B119" s="558" t="s">
        <v>1825</v>
      </c>
      <c r="C119" s="511"/>
      <c r="D119" s="511"/>
      <c r="E119" s="511"/>
      <c r="F119" s="511"/>
      <c r="G119" s="511"/>
      <c r="H119" s="511"/>
      <c r="I119" s="511"/>
      <c r="J119" s="511"/>
      <c r="K119" s="511"/>
      <c r="L119" s="1812"/>
      <c r="M119" s="1813"/>
      <c r="N119" s="2515"/>
      <c r="O119" s="2515"/>
      <c r="P119" s="2528"/>
      <c r="Q119" s="2529"/>
      <c r="R119" s="2480"/>
      <c r="S119" s="2480"/>
      <c r="T119" s="2480"/>
      <c r="U119" s="2480"/>
      <c r="V119" s="2480"/>
      <c r="W119" s="2480"/>
      <c r="X119" s="2480"/>
      <c r="Y119" s="2480"/>
      <c r="Z119" s="2480"/>
      <c r="AA119" s="2480"/>
      <c r="AB119" s="2480"/>
      <c r="AC119" s="2480"/>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6" customFormat="1" ht="15" thickTop="1">
      <c r="A121" s="404"/>
      <c r="B121" s="467" t="s">
        <v>1808</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6"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7"/>
      <c r="B123" s="467" t="s">
        <v>1744</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7"/>
      <c r="B125" s="467" t="s">
        <v>1745</v>
      </c>
      <c r="C125" s="507" t="s">
        <v>1721</v>
      </c>
      <c r="D125" s="507" t="s">
        <v>1722</v>
      </c>
      <c r="E125" s="507" t="s">
        <v>1723</v>
      </c>
      <c r="F125" s="507" t="s">
        <v>1724</v>
      </c>
      <c r="G125" s="507" t="s">
        <v>1725</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6" customFormat="1" ht="15" thickTop="1">
      <c r="A127" s="404"/>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6"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7"/>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5"/>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7"/>
      <c r="B131" s="475">
        <f>B47</f>
        <v>111</v>
      </c>
      <c r="C131" s="31"/>
      <c r="D131" s="31"/>
      <c r="E131" s="31"/>
      <c r="F131" s="31"/>
      <c r="G131" s="515"/>
      <c r="H131" s="515"/>
      <c r="I131" s="515"/>
      <c r="J131" s="515"/>
      <c r="K131" s="31"/>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3"/>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1660</v>
      </c>
      <c r="B1" s="1804" t="s">
        <v>1826</v>
      </c>
      <c r="C1" s="1138" t="s">
        <v>1662</v>
      </c>
      <c r="D1" s="1139"/>
      <c r="E1" s="3124"/>
      <c r="F1" s="1731"/>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1463</v>
      </c>
      <c r="F2" s="1735"/>
      <c r="G2" s="852"/>
      <c r="H2" s="852"/>
      <c r="I2" s="852"/>
      <c r="J2" s="852"/>
      <c r="K2" s="852"/>
      <c r="L2" s="855"/>
      <c r="M2" s="856"/>
      <c r="N2" s="856"/>
      <c r="O2" s="856"/>
      <c r="P2" s="339"/>
      <c r="Q2" s="339"/>
      <c r="R2" s="339"/>
      <c r="S2" s="339"/>
      <c r="T2" s="339"/>
      <c r="U2" s="339"/>
      <c r="V2" s="339"/>
      <c r="W2" s="339"/>
      <c r="X2" s="339"/>
      <c r="Y2" s="339"/>
      <c r="Z2" s="339"/>
      <c r="AA2" s="339"/>
      <c r="AB2" s="339"/>
      <c r="AC2" s="660"/>
    </row>
    <row r="3" spans="1:29" s="340" customFormat="1" ht="28.5" customHeight="1" thickBot="1">
      <c r="A3" s="193" t="s">
        <v>1464</v>
      </c>
      <c r="B3" s="534">
        <f>IF(C2="——",C43,ROUND(B2*10000/D3,0))</f>
        <v>0</v>
      </c>
      <c r="C3" s="342" t="s">
        <v>1768</v>
      </c>
      <c r="D3" s="341">
        <f>IF(D1="",'数据-汇总表'!E3,SUMIF('数据-汇总表'!$C19:$C33,D1,'数据-汇总表'!$E19:$E33))</f>
        <v>106355.86000000013</v>
      </c>
      <c r="E3" s="852"/>
      <c r="F3" s="853"/>
      <c r="G3" s="852"/>
      <c r="H3" s="852"/>
      <c r="I3" s="852"/>
      <c r="J3" s="852"/>
      <c r="K3" s="854"/>
      <c r="L3" s="855"/>
      <c r="M3" s="856"/>
      <c r="N3" s="856"/>
      <c r="O3" s="856"/>
      <c r="P3" s="339"/>
      <c r="Q3" s="339"/>
      <c r="R3" s="339"/>
      <c r="S3" s="339"/>
      <c r="T3" s="339"/>
      <c r="U3" s="339"/>
      <c r="V3" s="339"/>
      <c r="W3" s="339"/>
      <c r="X3" s="339"/>
      <c r="Y3" s="339"/>
      <c r="Z3" s="339"/>
      <c r="AA3" s="339"/>
      <c r="AB3" s="673"/>
      <c r="AC3" s="660"/>
    </row>
    <row r="4" spans="1:29" ht="15">
      <c r="A4" s="343" t="s">
        <v>1769</v>
      </c>
      <c r="B4" s="344"/>
      <c r="C4" s="3419" t="s">
        <v>1770</v>
      </c>
      <c r="D4" s="3431"/>
      <c r="E4" s="3432" t="s">
        <v>1771</v>
      </c>
      <c r="F4" s="3433"/>
      <c r="G4" s="3419" t="s">
        <v>1772</v>
      </c>
      <c r="H4" s="3431"/>
      <c r="I4" s="3419" t="s">
        <v>1773</v>
      </c>
      <c r="J4" s="3431"/>
      <c r="K4" s="535" t="s">
        <v>1774</v>
      </c>
      <c r="L4" s="857"/>
      <c r="M4" s="858"/>
      <c r="N4" s="858"/>
      <c r="O4" s="858"/>
      <c r="P4" s="3434" t="s">
        <v>1775</v>
      </c>
      <c r="Q4" s="3435"/>
      <c r="R4" s="3440" t="s">
        <v>1771</v>
      </c>
      <c r="S4" s="3441"/>
      <c r="T4" s="3440" t="s">
        <v>1772</v>
      </c>
      <c r="U4" s="3441"/>
      <c r="V4" s="3427" t="s">
        <v>1773</v>
      </c>
      <c r="W4" s="3427"/>
      <c r="X4" s="1262"/>
      <c r="Y4" s="3440" t="s">
        <v>1775</v>
      </c>
      <c r="Z4" s="3441"/>
      <c r="AA4" s="3428" t="s">
        <v>1771</v>
      </c>
      <c r="AB4" s="3429" t="s">
        <v>1772</v>
      </c>
      <c r="AC4" s="3428" t="s">
        <v>1773</v>
      </c>
    </row>
    <row r="5" spans="1:29" ht="15">
      <c r="A5" s="346"/>
      <c r="B5" s="347"/>
      <c r="C5" s="3448" t="s">
        <v>1673</v>
      </c>
      <c r="D5" s="3449"/>
      <c r="E5" s="3455" t="s">
        <v>1674</v>
      </c>
      <c r="F5" s="3456"/>
      <c r="G5" s="3448" t="s">
        <v>1675</v>
      </c>
      <c r="H5" s="3449"/>
      <c r="I5" s="3448" t="s">
        <v>1676</v>
      </c>
      <c r="J5" s="3449"/>
      <c r="K5" s="535"/>
      <c r="L5" s="857"/>
      <c r="M5" s="858"/>
      <c r="N5" s="858"/>
      <c r="O5" s="858"/>
      <c r="P5" s="3436"/>
      <c r="Q5" s="3437"/>
      <c r="R5" s="3442"/>
      <c r="S5" s="3443"/>
      <c r="T5" s="3442"/>
      <c r="U5" s="3443"/>
      <c r="V5" s="3427"/>
      <c r="W5" s="3427"/>
      <c r="X5" s="1262"/>
      <c r="Y5" s="3442"/>
      <c r="Z5" s="3443"/>
      <c r="AA5" s="3429"/>
      <c r="AB5" s="3429"/>
      <c r="AC5" s="3429"/>
    </row>
    <row r="6" spans="1:29" ht="15.75" thickBot="1">
      <c r="A6" s="348"/>
      <c r="B6" s="349"/>
      <c r="C6" s="3446" t="s">
        <v>1677</v>
      </c>
      <c r="D6" s="3447"/>
      <c r="E6" s="3453" t="s">
        <v>1677</v>
      </c>
      <c r="F6" s="3454"/>
      <c r="G6" s="3446" t="s">
        <v>1677</v>
      </c>
      <c r="H6" s="3447"/>
      <c r="I6" s="3446" t="s">
        <v>1677</v>
      </c>
      <c r="J6" s="3447"/>
      <c r="K6" s="535" t="s">
        <v>1678</v>
      </c>
      <c r="L6" s="857"/>
      <c r="M6" s="858"/>
      <c r="N6" s="858"/>
      <c r="O6" s="858"/>
      <c r="P6" s="3438"/>
      <c r="Q6" s="3439"/>
      <c r="R6" s="3442"/>
      <c r="S6" s="3443"/>
      <c r="T6" s="3444"/>
      <c r="U6" s="3445"/>
      <c r="V6" s="3427"/>
      <c r="W6" s="3427"/>
      <c r="X6" s="1262"/>
      <c r="Y6" s="3444"/>
      <c r="Z6" s="3445"/>
      <c r="AA6" s="3430"/>
      <c r="AB6" s="3430"/>
      <c r="AC6" s="3430"/>
    </row>
    <row r="7" spans="1:29" s="101" customFormat="1" ht="15.75" thickBot="1">
      <c r="A7" s="350" t="s">
        <v>1679</v>
      </c>
      <c r="B7" s="351"/>
      <c r="C7" s="352">
        <f>'数据-取费表'!B2</f>
        <v>45639</v>
      </c>
      <c r="D7" s="353">
        <v>100</v>
      </c>
      <c r="E7" s="354"/>
      <c r="F7" s="355">
        <f>SUMIF(52:52,YEAR(E7)&amp;"-"&amp;MONTH(E7),53:53)</f>
        <v>0</v>
      </c>
      <c r="G7" s="354"/>
      <c r="H7" s="353">
        <f>SUMIF(52:52,YEAR(G7)&amp;"-"&amp;MONTH(G7),53:53)</f>
        <v>0</v>
      </c>
      <c r="I7" s="354"/>
      <c r="J7" s="353">
        <f>SUMIF(52:52,YEAR(I7)&amp;"-"&amp;MONTH(I7),53:53)</f>
        <v>0</v>
      </c>
      <c r="K7" s="38"/>
      <c r="L7" s="859"/>
      <c r="M7" s="860"/>
      <c r="N7" s="860"/>
      <c r="O7" s="860"/>
      <c r="P7" s="3450" t="s">
        <v>1680</v>
      </c>
      <c r="Q7" s="3452"/>
      <c r="R7" s="661" t="s">
        <v>14</v>
      </c>
      <c r="S7" s="662">
        <f t="shared" ref="S7:S15" si="0">F7</f>
        <v>0</v>
      </c>
      <c r="T7" s="661" t="s">
        <v>14</v>
      </c>
      <c r="U7" s="662">
        <f t="shared" ref="U7:U15" si="1">H7</f>
        <v>0</v>
      </c>
      <c r="V7" s="661" t="s">
        <v>14</v>
      </c>
      <c r="W7" s="662">
        <f t="shared" ref="W7:W15" si="2">J7</f>
        <v>0</v>
      </c>
      <c r="X7" s="663"/>
      <c r="Y7" s="3450" t="s">
        <v>1680</v>
      </c>
      <c r="Z7" s="3451"/>
      <c r="AA7" s="50" t="e">
        <f>D7/F7</f>
        <v>#DIV/0!</v>
      </c>
      <c r="AB7" s="50" t="e">
        <f>D7/H7</f>
        <v>#DIV/0!</v>
      </c>
      <c r="AC7" s="50" t="e">
        <f>D7/J7</f>
        <v>#DIV/0!</v>
      </c>
    </row>
    <row r="8" spans="1:29" s="101" customFormat="1" ht="15.7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50" t="s">
        <v>1683</v>
      </c>
      <c r="Q8" s="3451"/>
      <c r="R8" s="661" t="s">
        <v>14</v>
      </c>
      <c r="S8" s="662">
        <f t="shared" si="0"/>
        <v>100</v>
      </c>
      <c r="T8" s="661" t="s">
        <v>14</v>
      </c>
      <c r="U8" s="662">
        <f t="shared" si="1"/>
        <v>100</v>
      </c>
      <c r="V8" s="661" t="s">
        <v>14</v>
      </c>
      <c r="W8" s="662">
        <f t="shared" si="2"/>
        <v>100</v>
      </c>
      <c r="X8" s="663"/>
      <c r="Y8" s="3450" t="s">
        <v>1683</v>
      </c>
      <c r="Z8" s="3451"/>
      <c r="AA8" s="50">
        <f t="shared" ref="AA8:AA40" si="3">D8/F8</f>
        <v>1</v>
      </c>
      <c r="AB8" s="50">
        <f t="shared" ref="AB8:AB40" si="4">D8/H8</f>
        <v>1</v>
      </c>
      <c r="AC8" s="50">
        <f t="shared" ref="AC8:AC40" si="5">D8/J8</f>
        <v>1</v>
      </c>
    </row>
    <row r="9" spans="1:29" s="101" customFormat="1">
      <c r="A9" s="357" t="s">
        <v>1684</v>
      </c>
      <c r="B9" s="59" t="s">
        <v>1685</v>
      </c>
      <c r="C9" s="358"/>
      <c r="D9" s="58">
        <v>100</v>
      </c>
      <c r="E9" s="360"/>
      <c r="F9" s="58">
        <f>SUMIF(57:57,E9,58:58)-SUMIF(57:57,C9,58:58)+100</f>
        <v>100</v>
      </c>
      <c r="G9" s="359"/>
      <c r="H9" s="58">
        <f>SUMIF(57:57,G9,58:58)-SUMIF(57:57,C9,58:58)+100</f>
        <v>100</v>
      </c>
      <c r="I9" s="359"/>
      <c r="J9" s="58">
        <f>SUMIF(57:57,I9,58:58)-SUMIF(57:57,C9,58:58)+100</f>
        <v>100</v>
      </c>
      <c r="K9" s="38"/>
      <c r="L9" s="859"/>
      <c r="M9" s="860"/>
      <c r="N9" s="860"/>
      <c r="O9" s="861"/>
      <c r="P9" s="3422" t="s">
        <v>1686</v>
      </c>
      <c r="Q9" s="528" t="str">
        <f t="shared" ref="Q9:Q15" si="6">B9</f>
        <v>用途</v>
      </c>
      <c r="R9" s="661" t="s">
        <v>14</v>
      </c>
      <c r="S9" s="662">
        <f t="shared" si="0"/>
        <v>100</v>
      </c>
      <c r="T9" s="661" t="s">
        <v>14</v>
      </c>
      <c r="U9" s="662">
        <f t="shared" si="1"/>
        <v>100</v>
      </c>
      <c r="V9" s="661" t="s">
        <v>14</v>
      </c>
      <c r="W9" s="662">
        <f t="shared" si="2"/>
        <v>100</v>
      </c>
      <c r="X9" s="663"/>
      <c r="Y9" s="3322" t="s">
        <v>1687</v>
      </c>
      <c r="Z9" s="50" t="str">
        <f t="shared" ref="Z9:Z15" si="7">Q9</f>
        <v>用途</v>
      </c>
      <c r="AA9" s="50">
        <f t="shared" si="3"/>
        <v>1</v>
      </c>
      <c r="AB9" s="50">
        <f t="shared" si="4"/>
        <v>1</v>
      </c>
      <c r="AC9" s="50">
        <f t="shared" si="5"/>
        <v>1</v>
      </c>
    </row>
    <row r="10" spans="1:29" s="364" customFormat="1" ht="27">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2"/>
      <c r="M10" s="863"/>
      <c r="N10" s="863"/>
      <c r="O10" s="864"/>
      <c r="P10" s="3422"/>
      <c r="Q10" s="528" t="str">
        <f t="shared" si="6"/>
        <v>土地使用年限（年）</v>
      </c>
      <c r="R10" s="661" t="s">
        <v>14</v>
      </c>
      <c r="S10" s="662">
        <f t="shared" si="0"/>
        <v>100</v>
      </c>
      <c r="T10" s="661" t="s">
        <v>14</v>
      </c>
      <c r="U10" s="662">
        <f t="shared" si="1"/>
        <v>100</v>
      </c>
      <c r="V10" s="661" t="s">
        <v>14</v>
      </c>
      <c r="W10" s="662">
        <f t="shared" si="2"/>
        <v>100</v>
      </c>
      <c r="X10" s="663"/>
      <c r="Y10" s="3322"/>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22"/>
      <c r="Q11" s="528" t="str">
        <f t="shared" si="6"/>
        <v>容积率</v>
      </c>
      <c r="R11" s="661" t="s">
        <v>14</v>
      </c>
      <c r="S11" s="662">
        <f t="shared" si="0"/>
        <v>100</v>
      </c>
      <c r="T11" s="661" t="s">
        <v>14</v>
      </c>
      <c r="U11" s="662">
        <f t="shared" si="1"/>
        <v>100</v>
      </c>
      <c r="V11" s="661" t="s">
        <v>14</v>
      </c>
      <c r="W11" s="662">
        <f t="shared" si="2"/>
        <v>100</v>
      </c>
      <c r="X11" s="663"/>
      <c r="Y11" s="3322"/>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4"/>
      <c r="H12" s="117">
        <f>SUMIF(64:64,G12,65:65)-SUMIF(64:64,C12,65:65)+100</f>
        <v>100</v>
      </c>
      <c r="I12" s="405"/>
      <c r="J12" s="117">
        <f>SUMIF(64:64,I12,65:65)-SUMIF(64:64,C12,65:65)+100</f>
        <v>100</v>
      </c>
      <c r="K12" s="537"/>
      <c r="L12" s="859"/>
      <c r="M12" s="860"/>
      <c r="N12" s="860"/>
      <c r="O12" s="861"/>
      <c r="P12" s="3422"/>
      <c r="Q12" s="528">
        <f t="shared" si="6"/>
        <v>111</v>
      </c>
      <c r="R12" s="661" t="s">
        <v>14</v>
      </c>
      <c r="S12" s="662">
        <f t="shared" si="0"/>
        <v>100</v>
      </c>
      <c r="T12" s="661" t="s">
        <v>14</v>
      </c>
      <c r="U12" s="662">
        <f t="shared" si="1"/>
        <v>100</v>
      </c>
      <c r="V12" s="661" t="s">
        <v>14</v>
      </c>
      <c r="W12" s="662">
        <f t="shared" si="2"/>
        <v>100</v>
      </c>
      <c r="X12" s="663"/>
      <c r="Y12" s="3322"/>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4"/>
      <c r="H13" s="372">
        <f>SUMIF(66:66,G13,67:67)-SUMIF(66:66,C13,67:67)+100</f>
        <v>100</v>
      </c>
      <c r="I13" s="405"/>
      <c r="J13" s="372">
        <f>SUMIF(66:66,I13,67:67)-SUMIF(66:66,C13,67:67)+100</f>
        <v>100</v>
      </c>
      <c r="K13" s="537"/>
      <c r="L13" s="867"/>
      <c r="M13" s="858"/>
      <c r="N13" s="858"/>
      <c r="O13" s="866"/>
      <c r="P13" s="3422"/>
      <c r="Q13" s="528">
        <f t="shared" si="6"/>
        <v>111</v>
      </c>
      <c r="R13" s="661" t="s">
        <v>14</v>
      </c>
      <c r="S13" s="662">
        <f t="shared" si="0"/>
        <v>100</v>
      </c>
      <c r="T13" s="661" t="s">
        <v>14</v>
      </c>
      <c r="U13" s="662">
        <f t="shared" si="1"/>
        <v>100</v>
      </c>
      <c r="V13" s="661" t="s">
        <v>14</v>
      </c>
      <c r="W13" s="662">
        <f t="shared" si="2"/>
        <v>100</v>
      </c>
      <c r="X13" s="663"/>
      <c r="Y13" s="3322"/>
      <c r="Z13" s="50">
        <f t="shared" si="7"/>
        <v>111</v>
      </c>
      <c r="AA13" s="50">
        <f t="shared" si="3"/>
        <v>1</v>
      </c>
      <c r="AB13" s="50">
        <f t="shared" si="4"/>
        <v>1</v>
      </c>
      <c r="AC13" s="50">
        <f t="shared" si="5"/>
        <v>1</v>
      </c>
    </row>
    <row r="14" spans="1:29" ht="15.75" thickBot="1">
      <c r="A14" s="373"/>
      <c r="B14" s="1745">
        <v>111</v>
      </c>
      <c r="C14" s="374"/>
      <c r="D14" s="375">
        <v>100</v>
      </c>
      <c r="E14" s="374"/>
      <c r="F14" s="375">
        <f>SUMIF(68:68,E14,69:69)-SUMIF(68:68,C14,69:69)+100</f>
        <v>100</v>
      </c>
      <c r="G14" s="1814"/>
      <c r="H14" s="375">
        <f>SUMIF(68:68,G14,69:69)-SUMIF(68:68,C14,69:69)+100</f>
        <v>100</v>
      </c>
      <c r="I14" s="405"/>
      <c r="J14" s="375">
        <f>SUMIF(68:68,I14,69:69)-SUMIF(68:68,C14,69:69)+100</f>
        <v>100</v>
      </c>
      <c r="K14" s="537"/>
      <c r="L14" s="867"/>
      <c r="M14" s="858"/>
      <c r="N14" s="858"/>
      <c r="O14" s="866"/>
      <c r="P14" s="3422"/>
      <c r="Q14" s="528">
        <f t="shared" si="6"/>
        <v>111</v>
      </c>
      <c r="R14" s="661" t="s">
        <v>14</v>
      </c>
      <c r="S14" s="662">
        <f t="shared" si="0"/>
        <v>100</v>
      </c>
      <c r="T14" s="661" t="s">
        <v>14</v>
      </c>
      <c r="U14" s="662">
        <f t="shared" si="1"/>
        <v>100</v>
      </c>
      <c r="V14" s="661" t="s">
        <v>14</v>
      </c>
      <c r="W14" s="662">
        <f t="shared" si="2"/>
        <v>100</v>
      </c>
      <c r="X14" s="663"/>
      <c r="Y14" s="3322"/>
      <c r="Z14" s="50">
        <f t="shared" si="7"/>
        <v>111</v>
      </c>
      <c r="AA14" s="50">
        <f t="shared" si="3"/>
        <v>1</v>
      </c>
      <c r="AB14" s="50">
        <f t="shared" si="4"/>
        <v>1</v>
      </c>
      <c r="AC14" s="50">
        <f t="shared" si="5"/>
        <v>1</v>
      </c>
    </row>
    <row r="15" spans="1:29" ht="57">
      <c r="A15" s="377" t="s">
        <v>1690</v>
      </c>
      <c r="B15" s="57" t="s">
        <v>1827</v>
      </c>
      <c r="C15" s="1815"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23" t="s">
        <v>1691</v>
      </c>
      <c r="Q15" s="1260" t="str">
        <f t="shared" si="6"/>
        <v>产业集聚程度</v>
      </c>
      <c r="R15" s="664" t="s">
        <v>14</v>
      </c>
      <c r="S15" s="665">
        <f t="shared" si="0"/>
        <v>100</v>
      </c>
      <c r="T15" s="664" t="s">
        <v>14</v>
      </c>
      <c r="U15" s="665">
        <f t="shared" si="1"/>
        <v>100</v>
      </c>
      <c r="V15" s="664" t="s">
        <v>14</v>
      </c>
      <c r="W15" s="665">
        <f t="shared" si="2"/>
        <v>100</v>
      </c>
      <c r="X15" s="1262"/>
      <c r="Y15" s="3423"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24"/>
      <c r="Q16" s="1260"/>
      <c r="R16" s="664"/>
      <c r="S16" s="665"/>
      <c r="T16" s="664"/>
      <c r="U16" s="665"/>
      <c r="V16" s="664"/>
      <c r="W16" s="665"/>
      <c r="X16" s="1262"/>
      <c r="Y16" s="3424"/>
      <c r="Z16" s="1261"/>
      <c r="AA16" s="1261">
        <v>1</v>
      </c>
      <c r="AB16" s="1261">
        <v>1</v>
      </c>
      <c r="AC16" s="1261">
        <v>1</v>
      </c>
    </row>
    <row r="17" spans="1:29" ht="85.5">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24"/>
      <c r="Q17" s="1260" t="str">
        <f>B17</f>
        <v>交通便捷度</v>
      </c>
      <c r="R17" s="664" t="s">
        <v>14</v>
      </c>
      <c r="S17" s="665">
        <f>F17</f>
        <v>100</v>
      </c>
      <c r="T17" s="664" t="s">
        <v>14</v>
      </c>
      <c r="U17" s="665">
        <f>H17</f>
        <v>100</v>
      </c>
      <c r="V17" s="664" t="s">
        <v>14</v>
      </c>
      <c r="W17" s="665">
        <f>J17</f>
        <v>100</v>
      </c>
      <c r="X17" s="1262"/>
      <c r="Y17" s="3424"/>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7"/>
      <c r="M18" s="858"/>
      <c r="N18" s="858"/>
      <c r="O18" s="866"/>
      <c r="P18" s="3424"/>
      <c r="Q18" s="1260"/>
      <c r="R18" s="664"/>
      <c r="S18" s="665"/>
      <c r="T18" s="664"/>
      <c r="U18" s="665"/>
      <c r="V18" s="664"/>
      <c r="W18" s="665"/>
      <c r="X18" s="1262"/>
      <c r="Y18" s="3424"/>
      <c r="Z18" s="1261"/>
      <c r="AA18" s="1261">
        <v>1</v>
      </c>
      <c r="AB18" s="1261">
        <v>1</v>
      </c>
      <c r="AC18" s="1261">
        <v>1</v>
      </c>
    </row>
    <row r="19" spans="1:29" ht="42.75">
      <c r="A19" s="365"/>
      <c r="B19" s="388" t="s">
        <v>1812</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24"/>
      <c r="Q19" s="1260" t="str">
        <f>B19</f>
        <v>公共配套设施</v>
      </c>
      <c r="R19" s="664" t="s">
        <v>14</v>
      </c>
      <c r="S19" s="665">
        <f>F19</f>
        <v>100</v>
      </c>
      <c r="T19" s="664" t="s">
        <v>14</v>
      </c>
      <c r="U19" s="665">
        <f>H19</f>
        <v>100</v>
      </c>
      <c r="V19" s="664" t="s">
        <v>14</v>
      </c>
      <c r="W19" s="665">
        <f>J19</f>
        <v>100</v>
      </c>
      <c r="X19" s="1262"/>
      <c r="Y19" s="3424"/>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7"/>
      <c r="M20" s="858"/>
      <c r="N20" s="858"/>
      <c r="O20" s="866"/>
      <c r="P20" s="3424"/>
      <c r="Q20" s="1260"/>
      <c r="R20" s="664"/>
      <c r="S20" s="665"/>
      <c r="T20" s="664"/>
      <c r="U20" s="665"/>
      <c r="V20" s="664"/>
      <c r="W20" s="665"/>
      <c r="X20" s="1262"/>
      <c r="Y20" s="3424"/>
      <c r="Z20" s="1261"/>
      <c r="AA20" s="1261">
        <v>1</v>
      </c>
      <c r="AB20" s="1261">
        <v>1</v>
      </c>
      <c r="AC20" s="1261">
        <v>1</v>
      </c>
    </row>
    <row r="21" spans="1:29" ht="28.5">
      <c r="A21" s="365"/>
      <c r="B21" s="584" t="s">
        <v>1813</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24"/>
      <c r="Q21" s="1260" t="str">
        <f>B21</f>
        <v>基础设施水平</v>
      </c>
      <c r="R21" s="664" t="s">
        <v>14</v>
      </c>
      <c r="S21" s="665">
        <f>F21</f>
        <v>100</v>
      </c>
      <c r="T21" s="664" t="s">
        <v>14</v>
      </c>
      <c r="U21" s="665">
        <f>H21</f>
        <v>100</v>
      </c>
      <c r="V21" s="664" t="s">
        <v>14</v>
      </c>
      <c r="W21" s="665">
        <f>J21</f>
        <v>100</v>
      </c>
      <c r="X21" s="1262"/>
      <c r="Y21" s="3424"/>
      <c r="Z21" s="1261" t="str">
        <f>Q21</f>
        <v>基础设施水平</v>
      </c>
      <c r="AA21" s="1261">
        <f t="shared" ref="AA21" si="8">D21/F21</f>
        <v>1</v>
      </c>
      <c r="AB21" s="1261">
        <f t="shared" ref="AB21" si="9">D21/H21</f>
        <v>1</v>
      </c>
      <c r="AC21" s="1261">
        <f t="shared" ref="AC21" si="10">D21/J21</f>
        <v>1</v>
      </c>
    </row>
    <row r="22" spans="1:29" ht="15">
      <c r="A22" s="365"/>
      <c r="B22" s="584"/>
      <c r="C22" s="1751"/>
      <c r="D22" s="385"/>
      <c r="E22" s="384"/>
      <c r="F22" s="386"/>
      <c r="G22" s="384"/>
      <c r="H22" s="385"/>
      <c r="I22" s="384"/>
      <c r="J22" s="385"/>
      <c r="K22" s="1061"/>
      <c r="L22" s="867"/>
      <c r="M22" s="858"/>
      <c r="N22" s="858"/>
      <c r="O22" s="866"/>
      <c r="P22" s="3424"/>
      <c r="Q22" s="1260"/>
      <c r="R22" s="664"/>
      <c r="S22" s="665"/>
      <c r="T22" s="664"/>
      <c r="U22" s="665"/>
      <c r="V22" s="664"/>
      <c r="W22" s="665"/>
      <c r="X22" s="1262"/>
      <c r="Y22" s="3424"/>
      <c r="Z22" s="1261"/>
      <c r="AA22" s="1261">
        <v>1</v>
      </c>
      <c r="AB22" s="1261">
        <v>1</v>
      </c>
      <c r="AC22" s="1261">
        <v>1</v>
      </c>
    </row>
    <row r="23" spans="1:29" ht="71.25">
      <c r="A23" s="365"/>
      <c r="B23" s="388" t="s">
        <v>1814</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24"/>
      <c r="Q23" s="1260" t="str">
        <f>B23</f>
        <v>环境质量</v>
      </c>
      <c r="R23" s="664" t="s">
        <v>14</v>
      </c>
      <c r="S23" s="665">
        <f>F23</f>
        <v>100</v>
      </c>
      <c r="T23" s="664" t="s">
        <v>14</v>
      </c>
      <c r="U23" s="665">
        <f>H23</f>
        <v>100</v>
      </c>
      <c r="V23" s="664" t="s">
        <v>14</v>
      </c>
      <c r="W23" s="665">
        <f>J23</f>
        <v>100</v>
      </c>
      <c r="X23" s="1262"/>
      <c r="Y23" s="3424"/>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7"/>
      <c r="M24" s="858"/>
      <c r="N24" s="858"/>
      <c r="O24" s="866"/>
      <c r="P24" s="3424"/>
      <c r="Q24" s="1260"/>
      <c r="R24" s="664"/>
      <c r="S24" s="665"/>
      <c r="T24" s="664"/>
      <c r="U24" s="665"/>
      <c r="V24" s="664"/>
      <c r="W24" s="665"/>
      <c r="X24" s="1262"/>
      <c r="Y24" s="3424"/>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24"/>
      <c r="Q25" s="1260">
        <f>B25</f>
        <v>111</v>
      </c>
      <c r="R25" s="664" t="s">
        <v>14</v>
      </c>
      <c r="S25" s="665">
        <f>F25</f>
        <v>100</v>
      </c>
      <c r="T25" s="664" t="s">
        <v>14</v>
      </c>
      <c r="U25" s="665">
        <f>H25</f>
        <v>100</v>
      </c>
      <c r="V25" s="664" t="s">
        <v>14</v>
      </c>
      <c r="W25" s="665">
        <f>J25</f>
        <v>100</v>
      </c>
      <c r="X25" s="1262"/>
      <c r="Y25" s="3424"/>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24"/>
      <c r="Q26" s="1260">
        <f t="shared" ref="Q26:Q40" si="11">B26</f>
        <v>111</v>
      </c>
      <c r="R26" s="664" t="s">
        <v>14</v>
      </c>
      <c r="S26" s="665">
        <f>F26</f>
        <v>100</v>
      </c>
      <c r="T26" s="664" t="s">
        <v>14</v>
      </c>
      <c r="U26" s="665">
        <f>H26</f>
        <v>100</v>
      </c>
      <c r="V26" s="664" t="s">
        <v>14</v>
      </c>
      <c r="W26" s="665">
        <f>J26</f>
        <v>100</v>
      </c>
      <c r="X26" s="1262"/>
      <c r="Y26" s="3424"/>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24"/>
      <c r="Q27" s="528">
        <f t="shared" si="11"/>
        <v>111</v>
      </c>
      <c r="R27" s="661" t="s">
        <v>14</v>
      </c>
      <c r="S27" s="662">
        <f>F27</f>
        <v>100</v>
      </c>
      <c r="T27" s="661" t="s">
        <v>14</v>
      </c>
      <c r="U27" s="662">
        <f>H27</f>
        <v>100</v>
      </c>
      <c r="V27" s="661" t="s">
        <v>14</v>
      </c>
      <c r="W27" s="662">
        <f>J27</f>
        <v>100</v>
      </c>
      <c r="X27" s="663"/>
      <c r="Y27" s="3424"/>
      <c r="Z27" s="50">
        <f>Q27</f>
        <v>111</v>
      </c>
      <c r="AA27" s="1261">
        <f>D27/F27</f>
        <v>1</v>
      </c>
      <c r="AB27" s="1261">
        <f>D27/H27</f>
        <v>1</v>
      </c>
      <c r="AC27" s="1261">
        <f>D27/J27</f>
        <v>1</v>
      </c>
    </row>
    <row r="28" spans="1:29" ht="15.75"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24"/>
      <c r="Q28" s="1260">
        <f t="shared" si="11"/>
        <v>111</v>
      </c>
      <c r="R28" s="664" t="s">
        <v>14</v>
      </c>
      <c r="S28" s="665">
        <f t="shared" ref="S28:S40" si="12">F28</f>
        <v>100</v>
      </c>
      <c r="T28" s="664" t="s">
        <v>14</v>
      </c>
      <c r="U28" s="665">
        <f t="shared" ref="U28:U40" si="13">H28</f>
        <v>100</v>
      </c>
      <c r="V28" s="664" t="s">
        <v>14</v>
      </c>
      <c r="W28" s="665">
        <f t="shared" ref="W28:W40" si="14">J28</f>
        <v>100</v>
      </c>
      <c r="X28" s="1262"/>
      <c r="Y28" s="3424"/>
      <c r="Z28" s="1261">
        <f t="shared" ref="Z28:Z40" si="15">Q28</f>
        <v>111</v>
      </c>
      <c r="AA28" s="1261">
        <f t="shared" si="3"/>
        <v>1</v>
      </c>
      <c r="AB28" s="1261">
        <f t="shared" si="4"/>
        <v>1</v>
      </c>
      <c r="AC28" s="1261">
        <f t="shared" si="5"/>
        <v>1</v>
      </c>
    </row>
    <row r="29" spans="1:29" ht="28.5">
      <c r="A29" s="402" t="s">
        <v>1694</v>
      </c>
      <c r="B29" s="59" t="s">
        <v>1817</v>
      </c>
      <c r="C29" s="1760"/>
      <c r="D29" s="403">
        <v>100</v>
      </c>
      <c r="E29" s="1760"/>
      <c r="F29" s="398">
        <f>SUMIF(88:88,E29,89:89)-SUMIF(88:88,C29,89:89)+100</f>
        <v>100</v>
      </c>
      <c r="G29" s="1760"/>
      <c r="H29" s="372">
        <f>SUMIF(88:88,G29,89:89)-SUMIF(88:88,C29,89:89)+100</f>
        <v>100</v>
      </c>
      <c r="I29" s="1760"/>
      <c r="J29" s="403">
        <f>SUMIF(88:88,I29,89:89)-SUMIF(88:88,C29,89:89)+100</f>
        <v>100</v>
      </c>
      <c r="K29" s="536"/>
      <c r="L29" s="867"/>
      <c r="M29" s="858"/>
      <c r="N29" s="858"/>
      <c r="O29" s="866"/>
      <c r="P29" s="3425" t="s">
        <v>1696</v>
      </c>
      <c r="Q29" s="1260" t="str">
        <f t="shared" si="11"/>
        <v>建筑类型</v>
      </c>
      <c r="R29" s="664" t="s">
        <v>14</v>
      </c>
      <c r="S29" s="665">
        <f t="shared" si="12"/>
        <v>100</v>
      </c>
      <c r="T29" s="664" t="s">
        <v>14</v>
      </c>
      <c r="U29" s="665">
        <f t="shared" si="13"/>
        <v>100</v>
      </c>
      <c r="V29" s="664" t="s">
        <v>14</v>
      </c>
      <c r="W29" s="665">
        <f t="shared" si="14"/>
        <v>100</v>
      </c>
      <c r="X29" s="1262"/>
      <c r="Y29" s="3426"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26"/>
      <c r="Q30" s="529" t="str">
        <f t="shared" si="11"/>
        <v>项目建筑规模</v>
      </c>
      <c r="R30" s="666" t="s">
        <v>14</v>
      </c>
      <c r="S30" s="667" t="e">
        <f t="shared" si="12"/>
        <v>#N/A</v>
      </c>
      <c r="T30" s="666" t="s">
        <v>14</v>
      </c>
      <c r="U30" s="667" t="e">
        <f t="shared" si="13"/>
        <v>#N/A</v>
      </c>
      <c r="V30" s="666" t="s">
        <v>14</v>
      </c>
      <c r="W30" s="667" t="e">
        <f t="shared" si="14"/>
        <v>#N/A</v>
      </c>
      <c r="X30" s="668"/>
      <c r="Y30" s="3426"/>
      <c r="Z30" s="669"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26"/>
      <c r="Q31" s="1260" t="str">
        <f t="shared" si="11"/>
        <v>建筑结构</v>
      </c>
      <c r="R31" s="664" t="s">
        <v>14</v>
      </c>
      <c r="S31" s="665">
        <f t="shared" si="12"/>
        <v>100</v>
      </c>
      <c r="T31" s="664" t="s">
        <v>14</v>
      </c>
      <c r="U31" s="665">
        <f t="shared" si="13"/>
        <v>100</v>
      </c>
      <c r="V31" s="664" t="s">
        <v>14</v>
      </c>
      <c r="W31" s="665">
        <f t="shared" si="14"/>
        <v>100</v>
      </c>
      <c r="X31" s="1262"/>
      <c r="Y31" s="3426"/>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26"/>
      <c r="Q32" s="1260" t="str">
        <f t="shared" si="11"/>
        <v>公共部分装修</v>
      </c>
      <c r="R32" s="664" t="s">
        <v>14</v>
      </c>
      <c r="S32" s="665">
        <f t="shared" si="12"/>
        <v>100</v>
      </c>
      <c r="T32" s="664" t="s">
        <v>14</v>
      </c>
      <c r="U32" s="665">
        <f t="shared" si="13"/>
        <v>100</v>
      </c>
      <c r="V32" s="664" t="s">
        <v>14</v>
      </c>
      <c r="W32" s="665">
        <f t="shared" si="14"/>
        <v>100</v>
      </c>
      <c r="X32" s="1262"/>
      <c r="Y32" s="3426"/>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26"/>
      <c r="Q33" s="1260" t="str">
        <f t="shared" si="11"/>
        <v>成新度</v>
      </c>
      <c r="R33" s="664" t="s">
        <v>14</v>
      </c>
      <c r="S33" s="665" t="e">
        <f t="shared" si="12"/>
        <v>#N/A</v>
      </c>
      <c r="T33" s="664" t="s">
        <v>14</v>
      </c>
      <c r="U33" s="665" t="e">
        <f t="shared" si="13"/>
        <v>#N/A</v>
      </c>
      <c r="V33" s="664" t="s">
        <v>14</v>
      </c>
      <c r="W33" s="665" t="e">
        <f t="shared" si="14"/>
        <v>#N/A</v>
      </c>
      <c r="X33" s="1262"/>
      <c r="Y33" s="3426"/>
      <c r="Z33" s="1261" t="str">
        <f t="shared" si="15"/>
        <v>成新度</v>
      </c>
      <c r="AA33" s="1261" t="e">
        <f t="shared" si="3"/>
        <v>#N/A</v>
      </c>
      <c r="AB33" s="1261" t="e">
        <f t="shared" si="4"/>
        <v>#N/A</v>
      </c>
      <c r="AC33" s="1261"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26"/>
      <c r="Q34" s="528" t="str">
        <f t="shared" si="11"/>
        <v>物业管理</v>
      </c>
      <c r="R34" s="661" t="s">
        <v>14</v>
      </c>
      <c r="S34" s="662">
        <f t="shared" si="12"/>
        <v>100</v>
      </c>
      <c r="T34" s="661" t="s">
        <v>14</v>
      </c>
      <c r="U34" s="662">
        <f t="shared" si="13"/>
        <v>100</v>
      </c>
      <c r="V34" s="661" t="s">
        <v>14</v>
      </c>
      <c r="W34" s="662">
        <f t="shared" si="14"/>
        <v>100</v>
      </c>
      <c r="X34" s="663"/>
      <c r="Y34" s="3426"/>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26" t="s">
        <v>1696</v>
      </c>
      <c r="Q35" s="1260" t="str">
        <f t="shared" si="11"/>
        <v>市政基础设施</v>
      </c>
      <c r="R35" s="664" t="s">
        <v>14</v>
      </c>
      <c r="S35" s="665">
        <f t="shared" si="12"/>
        <v>100</v>
      </c>
      <c r="T35" s="664" t="s">
        <v>14</v>
      </c>
      <c r="U35" s="665">
        <f t="shared" si="13"/>
        <v>100</v>
      </c>
      <c r="V35" s="664" t="s">
        <v>14</v>
      </c>
      <c r="W35" s="665">
        <f t="shared" si="14"/>
        <v>100</v>
      </c>
      <c r="X35" s="1262"/>
      <c r="Y35" s="3426"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26"/>
      <c r="Q36" s="1260" t="str">
        <f t="shared" si="11"/>
        <v>内部装修</v>
      </c>
      <c r="R36" s="664" t="s">
        <v>14</v>
      </c>
      <c r="S36" s="665">
        <f t="shared" si="12"/>
        <v>100</v>
      </c>
      <c r="T36" s="664" t="s">
        <v>14</v>
      </c>
      <c r="U36" s="665">
        <f t="shared" si="13"/>
        <v>100</v>
      </c>
      <c r="V36" s="664" t="s">
        <v>14</v>
      </c>
      <c r="W36" s="665">
        <f t="shared" si="14"/>
        <v>100</v>
      </c>
      <c r="X36" s="1262"/>
      <c r="Y36" s="3426"/>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26"/>
      <c r="Q37" s="1260" t="str">
        <f t="shared" si="11"/>
        <v>内部装修状况</v>
      </c>
      <c r="R37" s="664" t="s">
        <v>14</v>
      </c>
      <c r="S37" s="665">
        <f t="shared" si="12"/>
        <v>100</v>
      </c>
      <c r="T37" s="664" t="s">
        <v>14</v>
      </c>
      <c r="U37" s="665">
        <f t="shared" si="13"/>
        <v>100</v>
      </c>
      <c r="V37" s="664" t="s">
        <v>14</v>
      </c>
      <c r="W37" s="665">
        <f t="shared" si="14"/>
        <v>100</v>
      </c>
      <c r="X37" s="1262"/>
      <c r="Y37" s="3426"/>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26"/>
      <c r="Q38" s="529">
        <f t="shared" si="11"/>
        <v>111</v>
      </c>
      <c r="R38" s="666" t="s">
        <v>14</v>
      </c>
      <c r="S38" s="667">
        <f t="shared" si="12"/>
        <v>100</v>
      </c>
      <c r="T38" s="666" t="s">
        <v>14</v>
      </c>
      <c r="U38" s="667">
        <f t="shared" si="13"/>
        <v>100</v>
      </c>
      <c r="V38" s="666" t="s">
        <v>14</v>
      </c>
      <c r="W38" s="667">
        <f t="shared" si="14"/>
        <v>100</v>
      </c>
      <c r="X38" s="668"/>
      <c r="Y38" s="3426"/>
      <c r="Z38" s="669">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26"/>
      <c r="Q39" s="1260">
        <f t="shared" si="11"/>
        <v>111</v>
      </c>
      <c r="R39" s="664" t="s">
        <v>14</v>
      </c>
      <c r="S39" s="665">
        <f t="shared" si="12"/>
        <v>100</v>
      </c>
      <c r="T39" s="664" t="s">
        <v>14</v>
      </c>
      <c r="U39" s="665">
        <f t="shared" si="13"/>
        <v>100</v>
      </c>
      <c r="V39" s="664" t="s">
        <v>14</v>
      </c>
      <c r="W39" s="665">
        <f t="shared" si="14"/>
        <v>100</v>
      </c>
      <c r="X39" s="1262"/>
      <c r="Y39" s="3426"/>
      <c r="Z39" s="1261">
        <f t="shared" si="15"/>
        <v>111</v>
      </c>
      <c r="AA39" s="1261">
        <f t="shared" si="3"/>
        <v>1</v>
      </c>
      <c r="AB39" s="1261">
        <f t="shared" si="4"/>
        <v>1</v>
      </c>
      <c r="AC39" s="1261">
        <f t="shared" si="5"/>
        <v>1</v>
      </c>
    </row>
    <row r="40" spans="1:29" ht="15.75"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90"/>
      <c r="Q40" s="1260">
        <f t="shared" si="11"/>
        <v>111</v>
      </c>
      <c r="R40" s="664" t="s">
        <v>14</v>
      </c>
      <c r="S40" s="665">
        <f t="shared" si="12"/>
        <v>100</v>
      </c>
      <c r="T40" s="664" t="s">
        <v>14</v>
      </c>
      <c r="U40" s="665">
        <f t="shared" si="13"/>
        <v>100</v>
      </c>
      <c r="V40" s="664" t="s">
        <v>14</v>
      </c>
      <c r="W40" s="665">
        <f t="shared" si="14"/>
        <v>100</v>
      </c>
      <c r="X40" s="1262"/>
      <c r="Y40" s="3490"/>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1"/>
      <c r="L41" s="870"/>
      <c r="M41" s="858"/>
      <c r="N41" s="858"/>
      <c r="O41" s="858"/>
      <c r="P41" s="3422" t="str">
        <f>A41</f>
        <v>成交单价（元/平方米）</v>
      </c>
      <c r="Q41" s="3422"/>
      <c r="R41" s="3427">
        <f>E41</f>
        <v>0</v>
      </c>
      <c r="S41" s="3427"/>
      <c r="T41" s="3427">
        <f>G41</f>
        <v>0</v>
      </c>
      <c r="U41" s="3427"/>
      <c r="V41" s="3427">
        <f>I41</f>
        <v>0</v>
      </c>
      <c r="W41" s="3427"/>
      <c r="X41" s="383"/>
      <c r="Y41" s="670"/>
      <c r="Z41" s="383"/>
      <c r="AA41" s="383"/>
      <c r="AB41" s="383"/>
      <c r="AC41" s="383"/>
    </row>
    <row r="42" spans="1:29" ht="15.75" thickBot="1">
      <c r="A42" s="421" t="s">
        <v>1793</v>
      </c>
      <c r="B42" s="422"/>
      <c r="C42" s="1079" t="e">
        <f>R43</f>
        <v>#DIV/0!</v>
      </c>
      <c r="D42" s="2137" t="s">
        <v>2137</v>
      </c>
      <c r="E42" s="1080" t="e">
        <f>R42</f>
        <v>#DIV/0!</v>
      </c>
      <c r="F42" s="2138"/>
      <c r="G42" s="1079" t="e">
        <f>T42</f>
        <v>#DIV/0!</v>
      </c>
      <c r="H42" s="2138"/>
      <c r="I42" s="1080" t="e">
        <f>V42</f>
        <v>#DIV/0!</v>
      </c>
      <c r="J42" s="2138"/>
      <c r="K42" s="2140">
        <f>F42+H42+J42</f>
        <v>0</v>
      </c>
      <c r="L42" s="870"/>
      <c r="M42" s="858"/>
      <c r="N42" s="858"/>
      <c r="O42" s="858"/>
      <c r="P42" s="3422" t="str">
        <f>A42</f>
        <v>比较价值（元/平方米）</v>
      </c>
      <c r="Q42" s="3422"/>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383"/>
      <c r="Y42" s="383"/>
      <c r="Z42" s="383"/>
      <c r="AA42" s="383"/>
      <c r="AB42" s="383"/>
      <c r="AC42" s="383"/>
    </row>
    <row r="43" spans="1:29" ht="15.75" thickBot="1">
      <c r="A43" s="425" t="s">
        <v>1794</v>
      </c>
      <c r="B43" s="426"/>
      <c r="C43" s="349" t="e">
        <f>R43</f>
        <v>#DIV/0!</v>
      </c>
      <c r="D43" s="349"/>
      <c r="E43" s="349"/>
      <c r="F43" s="349"/>
      <c r="G43" s="349"/>
      <c r="H43" s="349"/>
      <c r="I43" s="349"/>
      <c r="J43" s="349"/>
      <c r="K43" s="672"/>
      <c r="L43" s="870"/>
      <c r="M43" s="858"/>
      <c r="N43" s="858"/>
      <c r="O43" s="858"/>
      <c r="P43" s="3416" t="str">
        <f>A43</f>
        <v>估价对象XX用房的比较价值（楼面单价，元/平方米）</v>
      </c>
      <c r="Q43" s="3417"/>
      <c r="R43" s="3486" t="e">
        <f>IF(F1="售价",ROUND(IF(D42="简单平均",AVERAGE(R42:V42),R42*F42+T42*H42+V42*J42),0),ROUND(IF(D42="简单平均",AVERAGE(R42:V42),R42*F42+T42*H42+V42*J42),1))</f>
        <v>#DIV/0!</v>
      </c>
      <c r="S43" s="3486"/>
      <c r="T43" s="3486"/>
      <c r="U43" s="3486"/>
      <c r="V43" s="3486"/>
      <c r="W43" s="3486"/>
      <c r="X43" s="383"/>
      <c r="Y43" s="383"/>
      <c r="Z43" s="383"/>
      <c r="AA43" s="383"/>
      <c r="AB43" s="383"/>
      <c r="AC43" s="383"/>
    </row>
    <row r="44" spans="1:29">
      <c r="A44" s="2480"/>
      <c r="B44" s="2480"/>
      <c r="C44" s="2480"/>
      <c r="D44" s="2480"/>
      <c r="E44" s="2480"/>
      <c r="F44" s="2480"/>
      <c r="G44" s="2491"/>
      <c r="H44" s="2480"/>
      <c r="I44" s="2480"/>
      <c r="J44" s="2480"/>
      <c r="K44" s="2492"/>
      <c r="L44" s="833"/>
      <c r="M44" s="858"/>
      <c r="N44" s="858"/>
      <c r="O44" s="858"/>
    </row>
    <row r="45" spans="1:29">
      <c r="A45" s="2480"/>
      <c r="B45" s="2480"/>
      <c r="C45" s="2480"/>
      <c r="D45" s="2480"/>
      <c r="E45" s="2480"/>
      <c r="F45" s="2480"/>
      <c r="G45" s="2480"/>
      <c r="H45" s="2480"/>
      <c r="I45" s="2480"/>
      <c r="J45" s="2480"/>
      <c r="K45" s="2492"/>
      <c r="L45" s="833"/>
      <c r="M45" s="858"/>
      <c r="N45" s="858"/>
      <c r="O45" s="858"/>
    </row>
    <row r="46" spans="1:29"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3"/>
      <c r="M46" s="858"/>
      <c r="N46" s="858"/>
      <c r="O46" s="858"/>
    </row>
    <row r="47" spans="1:29"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3"/>
      <c r="M47" s="858"/>
      <c r="N47" s="858"/>
      <c r="O47" s="858"/>
    </row>
    <row r="48" spans="1:29"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3"/>
      <c r="M48" s="871"/>
      <c r="N48" s="871"/>
      <c r="O48" s="871"/>
    </row>
    <row r="49" spans="1:17" s="435" customFormat="1">
      <c r="A49" s="2490"/>
      <c r="B49" s="2493"/>
      <c r="C49" s="2494"/>
      <c r="D49" s="2490"/>
      <c r="E49" s="2490"/>
      <c r="F49" s="2490"/>
      <c r="G49" s="2490"/>
      <c r="H49" s="2490"/>
      <c r="I49" s="2490"/>
      <c r="J49" s="2490"/>
      <c r="K49" s="2495"/>
      <c r="L49" s="873"/>
      <c r="M49" s="871"/>
      <c r="N49" s="871"/>
      <c r="O49" s="871"/>
    </row>
    <row r="50" spans="1:17">
      <c r="A50" s="2480"/>
      <c r="B50" s="2493"/>
      <c r="C50" s="2494"/>
      <c r="D50" s="2480"/>
      <c r="E50" s="2480"/>
      <c r="F50" s="2480"/>
      <c r="G50" s="2480"/>
      <c r="H50" s="2480"/>
      <c r="I50" s="2480"/>
      <c r="J50" s="2480"/>
      <c r="K50" s="2492"/>
      <c r="L50" s="833"/>
      <c r="M50" s="858"/>
      <c r="N50" s="858"/>
      <c r="O50" s="858"/>
    </row>
    <row r="51" spans="1:17" ht="21.75" thickBot="1">
      <c r="A51" s="655" t="s">
        <v>1798</v>
      </c>
      <c r="B51" s="383"/>
      <c r="C51" s="656"/>
      <c r="D51" s="656"/>
      <c r="E51" s="656"/>
      <c r="F51" s="657"/>
      <c r="G51" s="657"/>
      <c r="H51" s="656"/>
      <c r="I51" s="656"/>
      <c r="J51" s="656"/>
      <c r="K51" s="884"/>
      <c r="L51" s="885"/>
      <c r="M51" s="883"/>
      <c r="N51" s="883"/>
      <c r="O51" s="883"/>
      <c r="P51" s="436"/>
      <c r="Q51" s="437"/>
    </row>
    <row r="52" spans="1:17" s="440" customFormat="1" ht="15">
      <c r="A52" s="438" t="s">
        <v>1679</v>
      </c>
      <c r="B52" s="439"/>
      <c r="C52" s="1100" t="str">
        <f>YEAR(C7)&amp;"-"&amp;MONTH(C7)</f>
        <v>2024-12</v>
      </c>
      <c r="D52" s="1101">
        <f>EDATE(C52,-1)</f>
        <v>45597</v>
      </c>
      <c r="E52" s="1101">
        <f t="shared" ref="E52:O52" si="16">EDATE(D52,-1)</f>
        <v>45566</v>
      </c>
      <c r="F52" s="1101">
        <f t="shared" si="16"/>
        <v>45536</v>
      </c>
      <c r="G52" s="1101">
        <f t="shared" si="16"/>
        <v>45505</v>
      </c>
      <c r="H52" s="1101">
        <f t="shared" si="16"/>
        <v>45474</v>
      </c>
      <c r="I52" s="1101">
        <f t="shared" si="16"/>
        <v>45444</v>
      </c>
      <c r="J52" s="1101">
        <f t="shared" si="16"/>
        <v>45413</v>
      </c>
      <c r="K52" s="1101">
        <f t="shared" si="16"/>
        <v>45383</v>
      </c>
      <c r="L52" s="1101">
        <f t="shared" si="16"/>
        <v>45352</v>
      </c>
      <c r="M52" s="1101">
        <f t="shared" si="16"/>
        <v>45323</v>
      </c>
      <c r="N52" s="1101">
        <f t="shared" si="16"/>
        <v>45292</v>
      </c>
      <c r="O52" s="1101">
        <f t="shared" si="16"/>
        <v>45261</v>
      </c>
    </row>
    <row r="53" spans="1:17" s="101" customFormat="1" ht="15">
      <c r="A53" s="441"/>
      <c r="B53" s="442"/>
      <c r="C53" s="1099">
        <v>100</v>
      </c>
      <c r="D53" s="444"/>
      <c r="E53" s="444"/>
      <c r="F53" s="444"/>
      <c r="G53" s="444"/>
      <c r="H53" s="444"/>
      <c r="I53" s="444"/>
      <c r="J53" s="444"/>
      <c r="K53" s="444"/>
      <c r="L53" s="444"/>
      <c r="M53" s="445"/>
      <c r="N53" s="444"/>
      <c r="O53" s="446"/>
      <c r="P53" s="437"/>
    </row>
    <row r="54" spans="1:17" s="101" customFormat="1" ht="15.75" thickBot="1">
      <c r="A54" s="447" t="s">
        <v>1716</v>
      </c>
      <c r="B54" s="448"/>
      <c r="C54" s="449"/>
      <c r="D54" s="450"/>
      <c r="E54" s="450"/>
      <c r="F54" s="450"/>
      <c r="G54" s="450"/>
      <c r="H54" s="450"/>
      <c r="I54" s="450"/>
      <c r="J54" s="450"/>
      <c r="K54" s="450"/>
      <c r="L54" s="450"/>
      <c r="M54" s="451"/>
      <c r="N54" s="2531"/>
      <c r="O54" s="2532"/>
      <c r="P54" s="437"/>
      <c r="Q54" s="437"/>
    </row>
    <row r="55" spans="1:17" s="101" customFormat="1" ht="15">
      <c r="A55" s="453" t="s">
        <v>1681</v>
      </c>
      <c r="B55" s="442"/>
      <c r="C55" s="454" t="s">
        <v>1776</v>
      </c>
      <c r="D55" s="31"/>
      <c r="E55" s="31"/>
      <c r="F55" s="31"/>
      <c r="G55" s="31"/>
      <c r="H55" s="31"/>
      <c r="I55" s="31"/>
      <c r="J55" s="31"/>
      <c r="K55" s="31"/>
      <c r="L55" s="455"/>
      <c r="M55" s="456"/>
      <c r="N55" s="875"/>
      <c r="O55" s="875"/>
      <c r="P55" s="457"/>
      <c r="Q55" s="437"/>
    </row>
    <row r="56" spans="1:17" s="101" customFormat="1" ht="15.75" thickBot="1">
      <c r="A56" s="453"/>
      <c r="B56" s="442"/>
      <c r="C56" s="561">
        <v>100</v>
      </c>
      <c r="D56" s="444"/>
      <c r="E56" s="444"/>
      <c r="F56" s="444"/>
      <c r="G56" s="444"/>
      <c r="H56" s="444"/>
      <c r="I56" s="444"/>
      <c r="J56" s="444"/>
      <c r="K56" s="444"/>
      <c r="L56" s="444"/>
      <c r="M56" s="446"/>
      <c r="N56" s="875"/>
      <c r="O56" s="875"/>
      <c r="P56" s="437"/>
      <c r="Q56" s="437"/>
    </row>
    <row r="57" spans="1:17">
      <c r="A57" s="377" t="s">
        <v>1719</v>
      </c>
      <c r="B57" s="458" t="s">
        <v>1685</v>
      </c>
      <c r="C57" s="459">
        <f>C9</f>
        <v>0</v>
      </c>
      <c r="D57" s="460"/>
      <c r="E57" s="460"/>
      <c r="F57" s="460"/>
      <c r="G57" s="460"/>
      <c r="H57" s="460"/>
      <c r="I57" s="460"/>
      <c r="J57" s="460"/>
      <c r="K57" s="461"/>
      <c r="L57" s="462"/>
      <c r="M57" s="463"/>
      <c r="N57" s="876"/>
      <c r="O57" s="876"/>
      <c r="P57" s="40"/>
      <c r="Q57" s="437"/>
    </row>
    <row r="58" spans="1:17" ht="15.75" thickBot="1">
      <c r="A58" s="365"/>
      <c r="B58" s="464"/>
      <c r="C58" s="465">
        <v>100</v>
      </c>
      <c r="D58" s="465"/>
      <c r="E58" s="465"/>
      <c r="F58" s="465"/>
      <c r="G58" s="465"/>
      <c r="H58" s="465"/>
      <c r="I58" s="465"/>
      <c r="J58" s="465"/>
      <c r="K58" s="465"/>
      <c r="L58" s="465"/>
      <c r="M58" s="466"/>
      <c r="N58" s="877"/>
      <c r="O58" s="877"/>
      <c r="P58" s="40"/>
      <c r="Q58" s="437"/>
    </row>
    <row r="59" spans="1:17" ht="27.75" thickTop="1">
      <c r="A59" s="365"/>
      <c r="B59" s="467" t="s">
        <v>1688</v>
      </c>
      <c r="C59" s="511"/>
      <c r="D59" s="511"/>
      <c r="E59" s="511"/>
      <c r="F59" s="511"/>
      <c r="G59" s="511"/>
      <c r="H59" s="511"/>
      <c r="I59" s="511"/>
      <c r="J59" s="511"/>
      <c r="K59" s="512"/>
      <c r="L59" s="513"/>
      <c r="M59" s="514"/>
      <c r="N59" s="876"/>
      <c r="O59" s="876"/>
      <c r="P59" s="40"/>
      <c r="Q59" s="437"/>
    </row>
    <row r="60" spans="1:17" ht="15.75" thickBot="1">
      <c r="A60" s="365"/>
      <c r="B60" s="472"/>
      <c r="C60" s="465"/>
      <c r="D60" s="465"/>
      <c r="E60" s="465"/>
      <c r="F60" s="465"/>
      <c r="G60" s="465"/>
      <c r="H60" s="465"/>
      <c r="I60" s="465"/>
      <c r="J60" s="465"/>
      <c r="K60" s="465"/>
      <c r="L60" s="465"/>
      <c r="M60" s="466"/>
      <c r="N60" s="877"/>
      <c r="O60" s="877"/>
      <c r="P60" s="40"/>
      <c r="Q60" s="437"/>
    </row>
    <row r="61" spans="1:17" ht="15.7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ht="15">
      <c r="A62" s="365"/>
      <c r="B62" s="477"/>
      <c r="C62" s="478">
        <v>0</v>
      </c>
      <c r="D62" s="478">
        <v>2</v>
      </c>
      <c r="E62" s="478"/>
      <c r="F62" s="478"/>
      <c r="G62" s="478"/>
      <c r="H62" s="478"/>
      <c r="I62" s="478"/>
      <c r="J62" s="478"/>
      <c r="K62" s="479"/>
      <c r="L62" s="480"/>
      <c r="M62" s="481"/>
      <c r="N62" s="876"/>
      <c r="O62" s="876"/>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5.75" thickTop="1">
      <c r="A64" s="482"/>
      <c r="B64" s="467">
        <f>B12</f>
        <v>111</v>
      </c>
      <c r="C64" s="483"/>
      <c r="D64" s="483"/>
      <c r="E64" s="483"/>
      <c r="F64" s="483"/>
      <c r="G64" s="483"/>
      <c r="H64" s="484"/>
      <c r="I64" s="484"/>
      <c r="J64" s="484"/>
      <c r="K64" s="484"/>
      <c r="L64" s="485"/>
      <c r="M64" s="486"/>
      <c r="N64" s="878"/>
      <c r="O64" s="878"/>
      <c r="P64" s="487"/>
      <c r="Q64" s="488"/>
    </row>
    <row r="65" spans="1:17" s="406" customFormat="1" ht="15.75" thickBot="1">
      <c r="A65" s="482"/>
      <c r="B65" s="472"/>
      <c r="C65" s="489"/>
      <c r="D65" s="465"/>
      <c r="E65" s="465"/>
      <c r="F65" s="465"/>
      <c r="G65" s="465"/>
      <c r="H65" s="465"/>
      <c r="I65" s="465"/>
      <c r="J65" s="465"/>
      <c r="K65" s="465"/>
      <c r="L65" s="465"/>
      <c r="M65" s="466"/>
      <c r="N65" s="877"/>
      <c r="O65" s="877"/>
      <c r="P65" s="487"/>
      <c r="Q65" s="488"/>
    </row>
    <row r="66" spans="1:17" s="406" customFormat="1" ht="15.75" thickTop="1">
      <c r="A66" s="482"/>
      <c r="B66" s="467">
        <f>B13</f>
        <v>111</v>
      </c>
      <c r="C66" s="483"/>
      <c r="D66" s="483"/>
      <c r="E66" s="483"/>
      <c r="F66" s="483"/>
      <c r="G66" s="483"/>
      <c r="H66" s="484"/>
      <c r="I66" s="484"/>
      <c r="J66" s="484"/>
      <c r="K66" s="484"/>
      <c r="L66" s="485"/>
      <c r="M66" s="486"/>
      <c r="N66" s="878"/>
      <c r="O66" s="878"/>
      <c r="Q66" s="490"/>
    </row>
    <row r="67" spans="1:17" s="406" customFormat="1" ht="15.75" thickBot="1">
      <c r="A67" s="482"/>
      <c r="B67" s="472"/>
      <c r="C67" s="489"/>
      <c r="D67" s="465"/>
      <c r="E67" s="465"/>
      <c r="F67" s="465"/>
      <c r="G67" s="489"/>
      <c r="H67" s="491"/>
      <c r="I67" s="491"/>
      <c r="J67" s="491"/>
      <c r="K67" s="491"/>
      <c r="L67" s="491"/>
      <c r="M67" s="492"/>
      <c r="N67" s="878"/>
      <c r="O67" s="878"/>
      <c r="P67" s="487"/>
      <c r="Q67" s="488"/>
    </row>
    <row r="68" spans="1:17" s="406" customFormat="1" ht="15.75" thickTop="1">
      <c r="A68" s="482"/>
      <c r="B68" s="475">
        <f>B14</f>
        <v>111</v>
      </c>
      <c r="C68" s="31"/>
      <c r="D68" s="31"/>
      <c r="E68" s="31"/>
      <c r="F68" s="31"/>
      <c r="G68" s="31"/>
      <c r="H68" s="493"/>
      <c r="I68" s="493"/>
      <c r="J68" s="493"/>
      <c r="K68" s="493"/>
      <c r="L68" s="494"/>
      <c r="M68" s="495"/>
      <c r="N68" s="878"/>
      <c r="O68" s="878"/>
      <c r="P68" s="496"/>
      <c r="Q68" s="488"/>
    </row>
    <row r="69" spans="1:17" s="406" customFormat="1" ht="15.75" thickBot="1">
      <c r="A69" s="497"/>
      <c r="B69" s="498"/>
      <c r="C69" s="499"/>
      <c r="D69" s="499"/>
      <c r="E69" s="499"/>
      <c r="F69" s="499"/>
      <c r="G69" s="499"/>
      <c r="H69" s="500"/>
      <c r="I69" s="500"/>
      <c r="J69" s="500"/>
      <c r="K69" s="500"/>
      <c r="L69" s="500"/>
      <c r="M69" s="501"/>
      <c r="N69" s="878"/>
      <c r="O69" s="878"/>
      <c r="P69" s="487"/>
      <c r="Q69" s="488"/>
    </row>
    <row r="70" spans="1:17">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7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5.75" thickTop="1">
      <c r="A80" s="368"/>
      <c r="B80" s="467">
        <f>B25</f>
        <v>111</v>
      </c>
      <c r="C80" s="483"/>
      <c r="D80" s="483"/>
      <c r="E80" s="483"/>
      <c r="F80" s="483"/>
      <c r="G80" s="483"/>
      <c r="H80" s="483"/>
      <c r="I80" s="483"/>
      <c r="J80" s="483"/>
      <c r="K80" s="483"/>
      <c r="L80" s="508"/>
      <c r="M80" s="509"/>
      <c r="N80" s="875"/>
      <c r="O80" s="875"/>
      <c r="P80" s="40"/>
      <c r="Q80" s="437"/>
    </row>
    <row r="81" spans="1:17" s="101" customFormat="1" ht="15.75" thickBot="1">
      <c r="A81" s="368"/>
      <c r="B81" s="472"/>
      <c r="C81" s="489"/>
      <c r="D81" s="465"/>
      <c r="E81" s="465"/>
      <c r="F81" s="465"/>
      <c r="G81" s="465"/>
      <c r="H81" s="465"/>
      <c r="I81" s="465"/>
      <c r="J81" s="465"/>
      <c r="K81" s="465"/>
      <c r="L81" s="465"/>
      <c r="M81" s="466"/>
      <c r="N81" s="877"/>
      <c r="O81" s="877"/>
      <c r="P81" s="40"/>
      <c r="Q81" s="437"/>
    </row>
    <row r="82" spans="1:17" s="101" customFormat="1" ht="15.75" thickTop="1">
      <c r="A82" s="368"/>
      <c r="B82" s="467">
        <f>B26</f>
        <v>111</v>
      </c>
      <c r="C82" s="483"/>
      <c r="D82" s="483"/>
      <c r="E82" s="483"/>
      <c r="F82" s="483"/>
      <c r="G82" s="483"/>
      <c r="H82" s="483"/>
      <c r="I82" s="483"/>
      <c r="J82" s="483"/>
      <c r="K82" s="483"/>
      <c r="L82" s="508"/>
      <c r="M82" s="509"/>
      <c r="N82" s="875"/>
      <c r="O82" s="875"/>
      <c r="P82" s="40"/>
      <c r="Q82" s="437"/>
    </row>
    <row r="83" spans="1:17" s="101" customFormat="1" ht="15.75" thickBot="1">
      <c r="A83" s="368"/>
      <c r="B83" s="472"/>
      <c r="C83" s="489"/>
      <c r="D83" s="465"/>
      <c r="E83" s="465"/>
      <c r="F83" s="465"/>
      <c r="G83" s="465"/>
      <c r="H83" s="465"/>
      <c r="I83" s="465"/>
      <c r="J83" s="465"/>
      <c r="K83" s="465"/>
      <c r="L83" s="465"/>
      <c r="M83" s="466"/>
      <c r="N83" s="877"/>
      <c r="O83" s="877"/>
      <c r="P83" s="40"/>
      <c r="Q83" s="437"/>
    </row>
    <row r="84" spans="1:17" s="406" customFormat="1" ht="15.75" thickTop="1">
      <c r="A84" s="482"/>
      <c r="B84" s="467">
        <f>B27</f>
        <v>111</v>
      </c>
      <c r="C84" s="483"/>
      <c r="D84" s="483"/>
      <c r="E84" s="483"/>
      <c r="F84" s="483"/>
      <c r="G84" s="483"/>
      <c r="H84" s="483"/>
      <c r="I84" s="483"/>
      <c r="J84" s="483"/>
      <c r="K84" s="483"/>
      <c r="L84" s="508"/>
      <c r="M84" s="509"/>
      <c r="N84" s="878"/>
      <c r="O84" s="878"/>
      <c r="P84" s="487"/>
      <c r="Q84" s="488"/>
    </row>
    <row r="85" spans="1:17" s="406"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5"/>
      <c r="B86" s="475">
        <f>B28</f>
        <v>111</v>
      </c>
      <c r="C86" s="31"/>
      <c r="D86" s="31"/>
      <c r="E86" s="31"/>
      <c r="F86" s="31"/>
      <c r="G86" s="515"/>
      <c r="H86" s="515"/>
      <c r="I86" s="515"/>
      <c r="J86" s="515"/>
      <c r="K86" s="516"/>
      <c r="L86" s="517"/>
      <c r="M86" s="518"/>
      <c r="N86" s="876"/>
      <c r="O86" s="876"/>
      <c r="P86" s="40"/>
      <c r="Q86" s="437"/>
    </row>
    <row r="87" spans="1:17" ht="15.75" thickBot="1">
      <c r="A87" s="373"/>
      <c r="B87" s="498"/>
      <c r="C87" s="499"/>
      <c r="D87" s="499"/>
      <c r="E87" s="499"/>
      <c r="F87" s="499"/>
      <c r="G87" s="519"/>
      <c r="H87" s="519"/>
      <c r="I87" s="519"/>
      <c r="J87" s="519"/>
      <c r="K87" s="519"/>
      <c r="L87" s="519"/>
      <c r="M87" s="520"/>
      <c r="N87" s="877"/>
      <c r="O87" s="877"/>
      <c r="P87" s="40"/>
      <c r="Q87" s="437"/>
    </row>
    <row r="88" spans="1:17">
      <c r="A88" s="377" t="s">
        <v>1694</v>
      </c>
      <c r="B88" s="458" t="s">
        <v>1736</v>
      </c>
      <c r="C88" s="460"/>
      <c r="D88" s="460"/>
      <c r="E88" s="460"/>
      <c r="F88" s="460"/>
      <c r="G88" s="460"/>
      <c r="H88" s="460"/>
      <c r="I88" s="460"/>
      <c r="J88" s="460"/>
      <c r="K88" s="461"/>
      <c r="L88" s="462"/>
      <c r="M88" s="463"/>
      <c r="N88" s="876"/>
      <c r="O88" s="876"/>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5"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7"/>
      <c r="B110" s="467">
        <f>B39</f>
        <v>111</v>
      </c>
      <c r="C110" s="483"/>
      <c r="D110" s="483"/>
      <c r="E110" s="483"/>
      <c r="F110" s="483"/>
      <c r="G110" s="483"/>
      <c r="H110" s="484"/>
      <c r="I110" s="484"/>
      <c r="J110" s="484"/>
      <c r="K110" s="484"/>
      <c r="L110" s="485"/>
      <c r="M110" s="486"/>
      <c r="N110" s="876"/>
      <c r="O110" s="876"/>
      <c r="P110" s="40"/>
      <c r="Q110" s="437"/>
    </row>
    <row r="111" spans="1:17" ht="15.75" thickBot="1">
      <c r="A111" s="365"/>
      <c r="B111" s="472"/>
      <c r="C111" s="489"/>
      <c r="D111" s="465"/>
      <c r="E111" s="465"/>
      <c r="F111" s="465"/>
      <c r="G111" s="489"/>
      <c r="H111" s="491"/>
      <c r="I111" s="491"/>
      <c r="J111" s="491"/>
      <c r="K111" s="491"/>
      <c r="L111" s="491"/>
      <c r="M111" s="492"/>
      <c r="N111" s="877"/>
      <c r="O111" s="877"/>
      <c r="P111" s="40"/>
      <c r="Q111" s="437"/>
    </row>
    <row r="112" spans="1:17" ht="15" thickTop="1">
      <c r="A112" s="407"/>
      <c r="B112" s="475">
        <f>B40</f>
        <v>111</v>
      </c>
      <c r="C112" s="31"/>
      <c r="D112" s="31"/>
      <c r="E112" s="31"/>
      <c r="F112" s="31"/>
      <c r="G112" s="515"/>
      <c r="H112" s="515"/>
      <c r="I112" s="515"/>
      <c r="J112" s="515"/>
      <c r="K112" s="31"/>
      <c r="L112" s="455"/>
      <c r="M112" s="518"/>
      <c r="N112" s="876"/>
      <c r="O112" s="876"/>
      <c r="P112" s="40"/>
      <c r="Q112" s="437"/>
    </row>
    <row r="113" spans="1:17" ht="15.75"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85" zoomScaleNormal="70" zoomScaleSheetLayoutView="85" workbookViewId="0">
      <selection activeCell="D3" sqref="D3"/>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3331</v>
      </c>
      <c r="C1" s="1138" t="s">
        <v>1662</v>
      </c>
      <c r="D1" s="1139" t="s">
        <v>4295</v>
      </c>
      <c r="E1" s="3124" t="s">
        <v>4287</v>
      </c>
      <c r="F1" s="1731" t="s">
        <v>4288</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f>IF(E1="项目模式",IF(C2="——",ROUND(C37*D3/10000,0),ROUND(C37*D3/10000,0)-D2),IF(E1="单套模式",IF(C2="——",ROUND(C37*D3/10000,4),ROUND(C37*D3/10000,4)-D2)))</f>
        <v>1156</v>
      </c>
      <c r="C2" s="1733" t="s">
        <v>43</v>
      </c>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f>IF(C2="——",C37,ROUND(B2*10000/D3,0))</f>
        <v>13570</v>
      </c>
      <c r="C3" s="342" t="s">
        <v>1768</v>
      </c>
      <c r="D3" s="341">
        <f>SUMIF('数据-汇总表'!$C19:$C33,D1,'数据-汇总表'!$E19:$E33)</f>
        <v>851.55000000000007</v>
      </c>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19" t="s">
        <v>1770</v>
      </c>
      <c r="D4" s="3431"/>
      <c r="E4" s="3432" t="s">
        <v>1771</v>
      </c>
      <c r="F4" s="3433"/>
      <c r="G4" s="3419" t="s">
        <v>1772</v>
      </c>
      <c r="H4" s="3431"/>
      <c r="I4" s="3419" t="s">
        <v>1773</v>
      </c>
      <c r="J4" s="3431"/>
      <c r="K4" s="535" t="s">
        <v>1774</v>
      </c>
      <c r="L4" s="2479"/>
      <c r="M4" s="2480"/>
      <c r="N4" s="2480"/>
      <c r="O4" s="2480"/>
      <c r="P4" s="3434" t="s">
        <v>1775</v>
      </c>
      <c r="Q4" s="3435"/>
      <c r="R4" s="3440" t="s">
        <v>1771</v>
      </c>
      <c r="S4" s="3441"/>
      <c r="T4" s="3440" t="s">
        <v>1772</v>
      </c>
      <c r="U4" s="3441"/>
      <c r="V4" s="3427" t="s">
        <v>1773</v>
      </c>
      <c r="W4" s="3427"/>
      <c r="X4" s="1262"/>
      <c r="Y4" s="3440" t="s">
        <v>1775</v>
      </c>
      <c r="Z4" s="3441"/>
      <c r="AA4" s="3428" t="s">
        <v>1771</v>
      </c>
      <c r="AB4" s="3429" t="s">
        <v>1772</v>
      </c>
      <c r="AC4" s="3428" t="s">
        <v>1773</v>
      </c>
    </row>
    <row r="5" spans="1:29" ht="15">
      <c r="A5" s="346"/>
      <c r="B5" s="347"/>
      <c r="C5" s="3448" t="s">
        <v>1673</v>
      </c>
      <c r="D5" s="3449"/>
      <c r="E5" s="3512" t="s">
        <v>4303</v>
      </c>
      <c r="F5" s="3456"/>
      <c r="G5" s="3494" t="s">
        <v>4318</v>
      </c>
      <c r="H5" s="3449"/>
      <c r="I5" s="3494" t="s">
        <v>4320</v>
      </c>
      <c r="J5" s="3449"/>
      <c r="K5" s="535"/>
      <c r="L5" s="2479"/>
      <c r="M5" s="2480"/>
      <c r="N5" s="2480"/>
      <c r="O5" s="2480"/>
      <c r="P5" s="3436"/>
      <c r="Q5" s="3437"/>
      <c r="R5" s="3442"/>
      <c r="S5" s="3443"/>
      <c r="T5" s="3442"/>
      <c r="U5" s="3443"/>
      <c r="V5" s="3427"/>
      <c r="W5" s="3427"/>
      <c r="X5" s="1262"/>
      <c r="Y5" s="3442"/>
      <c r="Z5" s="3443"/>
      <c r="AA5" s="3429"/>
      <c r="AB5" s="3429"/>
      <c r="AC5" s="3429"/>
    </row>
    <row r="6" spans="1:29" ht="15.75" thickBot="1">
      <c r="A6" s="348"/>
      <c r="B6" s="349"/>
      <c r="C6" s="3446" t="s">
        <v>1677</v>
      </c>
      <c r="D6" s="3447"/>
      <c r="E6" s="3453" t="s">
        <v>1677</v>
      </c>
      <c r="F6" s="3454"/>
      <c r="G6" s="3446" t="s">
        <v>1677</v>
      </c>
      <c r="H6" s="3447"/>
      <c r="I6" s="3446" t="s">
        <v>1677</v>
      </c>
      <c r="J6" s="3447"/>
      <c r="K6" s="535" t="s">
        <v>1678</v>
      </c>
      <c r="L6" s="2479"/>
      <c r="M6" s="2480"/>
      <c r="N6" s="2480"/>
      <c r="O6" s="2480"/>
      <c r="P6" s="3438"/>
      <c r="Q6" s="3439"/>
      <c r="R6" s="3442"/>
      <c r="S6" s="3443"/>
      <c r="T6" s="3444"/>
      <c r="U6" s="3445"/>
      <c r="V6" s="3427"/>
      <c r="W6" s="3427"/>
      <c r="X6" s="1262"/>
      <c r="Y6" s="3444"/>
      <c r="Z6" s="3445"/>
      <c r="AA6" s="3430"/>
      <c r="AB6" s="3430"/>
      <c r="AC6" s="3430"/>
    </row>
    <row r="7" spans="1:29" s="101" customFormat="1" ht="15.75" thickBot="1">
      <c r="A7" s="350" t="s">
        <v>1679</v>
      </c>
      <c r="B7" s="351"/>
      <c r="C7" s="352">
        <f>'数据-取费表'!B2</f>
        <v>45639</v>
      </c>
      <c r="D7" s="353">
        <v>100</v>
      </c>
      <c r="E7" s="354">
        <v>45627</v>
      </c>
      <c r="F7" s="355">
        <f>SUMIF(46:46,YEAR(E7)&amp;"-"&amp;MONTH(E7),47:47)</f>
        <v>100</v>
      </c>
      <c r="G7" s="354">
        <v>45627</v>
      </c>
      <c r="H7" s="353">
        <f>SUMIF(46:46,YEAR(G7)&amp;"-"&amp;MONTH(G7),47:47)</f>
        <v>100</v>
      </c>
      <c r="I7" s="354">
        <v>45627</v>
      </c>
      <c r="J7" s="353">
        <f>SUMIF(46:46,YEAR(I7)&amp;"-"&amp;MONTH(I7),47:47)</f>
        <v>100</v>
      </c>
      <c r="K7" s="38"/>
      <c r="L7" s="2481"/>
      <c r="M7" s="2433"/>
      <c r="N7" s="2433"/>
      <c r="O7" s="2433"/>
      <c r="P7" s="3450" t="s">
        <v>1680</v>
      </c>
      <c r="Q7" s="3452"/>
      <c r="R7" s="661" t="s">
        <v>14</v>
      </c>
      <c r="S7" s="662">
        <f t="shared" ref="S7:S14" si="0">F7</f>
        <v>100</v>
      </c>
      <c r="T7" s="661" t="s">
        <v>14</v>
      </c>
      <c r="U7" s="662">
        <f t="shared" ref="U7:U14" si="1">H7</f>
        <v>100</v>
      </c>
      <c r="V7" s="661" t="s">
        <v>14</v>
      </c>
      <c r="W7" s="662">
        <f t="shared" ref="W7:W14" si="2">J7</f>
        <v>100</v>
      </c>
      <c r="X7" s="663"/>
      <c r="Y7" s="3450" t="s">
        <v>1680</v>
      </c>
      <c r="Z7" s="3451"/>
      <c r="AA7" s="50">
        <f>D7/F7</f>
        <v>1</v>
      </c>
      <c r="AB7" s="50">
        <f>D7/H7</f>
        <v>1</v>
      </c>
      <c r="AC7" s="50">
        <f>D7/J7</f>
        <v>1</v>
      </c>
    </row>
    <row r="8" spans="1:29" s="101" customFormat="1" ht="15.75" thickBot="1">
      <c r="A8" s="350" t="s">
        <v>1681</v>
      </c>
      <c r="B8" s="351"/>
      <c r="C8" s="356" t="s">
        <v>4290</v>
      </c>
      <c r="D8" s="353">
        <v>100</v>
      </c>
      <c r="E8" s="1743" t="s">
        <v>4254</v>
      </c>
      <c r="F8" s="355">
        <f>SUMIF(49:49,E8,50:50)-SUMIF(49:49,C8,50:50)+100</f>
        <v>100</v>
      </c>
      <c r="G8" s="1743" t="s">
        <v>4254</v>
      </c>
      <c r="H8" s="353">
        <f>SUMIF(49:49,G8,50:50)-SUMIF(49:49,C8,50:50)+100</f>
        <v>100</v>
      </c>
      <c r="I8" s="1743" t="s">
        <v>4254</v>
      </c>
      <c r="J8" s="353">
        <f>SUMIF(49:49,I8,50:50)-SUMIF(49:49,C8,50:50)+100</f>
        <v>100</v>
      </c>
      <c r="K8" s="38"/>
      <c r="L8" s="2481"/>
      <c r="M8" s="2433"/>
      <c r="N8" s="2433"/>
      <c r="O8" s="2433"/>
      <c r="P8" s="3450" t="s">
        <v>1683</v>
      </c>
      <c r="Q8" s="3451"/>
      <c r="R8" s="661" t="s">
        <v>14</v>
      </c>
      <c r="S8" s="662">
        <f t="shared" si="0"/>
        <v>100</v>
      </c>
      <c r="T8" s="661" t="s">
        <v>14</v>
      </c>
      <c r="U8" s="662">
        <f t="shared" si="1"/>
        <v>100</v>
      </c>
      <c r="V8" s="661" t="s">
        <v>14</v>
      </c>
      <c r="W8" s="662">
        <f t="shared" si="2"/>
        <v>100</v>
      </c>
      <c r="X8" s="663"/>
      <c r="Y8" s="3450" t="s">
        <v>1683</v>
      </c>
      <c r="Z8" s="3451"/>
      <c r="AA8" s="50">
        <f t="shared" ref="AA8:AA34" si="3">D8/F8</f>
        <v>1</v>
      </c>
      <c r="AB8" s="50">
        <f t="shared" ref="AB8:AB34" si="4">D8/H8</f>
        <v>1</v>
      </c>
      <c r="AC8" s="50">
        <f t="shared" ref="AC8:AC34" si="5">D8/J8</f>
        <v>1</v>
      </c>
    </row>
    <row r="9" spans="1:29" s="101" customFormat="1">
      <c r="A9" s="357" t="s">
        <v>1684</v>
      </c>
      <c r="B9" s="59" t="s">
        <v>1685</v>
      </c>
      <c r="C9" s="3174" t="s">
        <v>2636</v>
      </c>
      <c r="D9" s="58">
        <v>100</v>
      </c>
      <c r="E9" s="360" t="s">
        <v>4295</v>
      </c>
      <c r="F9" s="59">
        <f>SUMIF(51:51,E9,52:52)-SUMIF(51:51,C9,52:52)+100</f>
        <v>100</v>
      </c>
      <c r="G9" s="360" t="s">
        <v>4295</v>
      </c>
      <c r="H9" s="58">
        <f>SUMIF(51:51,G9,52:52)-SUMIF(51:51,C9,52:52)+100</f>
        <v>100</v>
      </c>
      <c r="I9" s="360" t="s">
        <v>4295</v>
      </c>
      <c r="J9" s="58">
        <f>SUMIF(51:51,I9,52:52)-SUMIF(51:51,C9,52:52)+100</f>
        <v>100</v>
      </c>
      <c r="K9" s="38"/>
      <c r="L9" s="2481"/>
      <c r="M9" s="2433"/>
      <c r="N9" s="2433"/>
      <c r="O9" s="2533"/>
      <c r="P9" s="3422" t="s">
        <v>1686</v>
      </c>
      <c r="Q9" s="528" t="str">
        <f t="shared" ref="Q9:Q14" si="6">B9</f>
        <v>用途</v>
      </c>
      <c r="R9" s="661" t="s">
        <v>14</v>
      </c>
      <c r="S9" s="662">
        <f t="shared" si="0"/>
        <v>100</v>
      </c>
      <c r="T9" s="661" t="s">
        <v>14</v>
      </c>
      <c r="U9" s="662">
        <f t="shared" si="1"/>
        <v>100</v>
      </c>
      <c r="V9" s="661" t="s">
        <v>14</v>
      </c>
      <c r="W9" s="662">
        <f t="shared" si="2"/>
        <v>100</v>
      </c>
      <c r="X9" s="663"/>
      <c r="Y9" s="3322" t="s">
        <v>1687</v>
      </c>
      <c r="Z9" s="50" t="str">
        <f t="shared" ref="Z9:Z14" si="7">Q9</f>
        <v>用途</v>
      </c>
      <c r="AA9" s="50">
        <f t="shared" si="3"/>
        <v>1</v>
      </c>
      <c r="AB9" s="50">
        <f t="shared" si="4"/>
        <v>1</v>
      </c>
      <c r="AC9" s="50">
        <f t="shared" si="5"/>
        <v>1</v>
      </c>
    </row>
    <row r="10" spans="1:29" s="364" customFormat="1" ht="27">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2"/>
      <c r="M10" s="2483"/>
      <c r="N10" s="2483"/>
      <c r="O10" s="2534"/>
      <c r="P10" s="3422"/>
      <c r="Q10" s="528" t="str">
        <f t="shared" si="6"/>
        <v>土地使用年限（年）</v>
      </c>
      <c r="R10" s="661" t="s">
        <v>14</v>
      </c>
      <c r="S10" s="662">
        <f t="shared" si="0"/>
        <v>100</v>
      </c>
      <c r="T10" s="661" t="s">
        <v>14</v>
      </c>
      <c r="U10" s="662">
        <f t="shared" si="1"/>
        <v>100</v>
      </c>
      <c r="V10" s="661" t="s">
        <v>14</v>
      </c>
      <c r="W10" s="662">
        <f t="shared" si="2"/>
        <v>100</v>
      </c>
      <c r="X10" s="663"/>
      <c r="Y10" s="3322"/>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4"/>
      <c r="M11" s="2480"/>
      <c r="N11" s="2480"/>
      <c r="O11" s="2535"/>
      <c r="P11" s="3422"/>
      <c r="Q11" s="528">
        <f t="shared" si="6"/>
        <v>111</v>
      </c>
      <c r="R11" s="661" t="s">
        <v>14</v>
      </c>
      <c r="S11" s="662">
        <f t="shared" si="0"/>
        <v>100</v>
      </c>
      <c r="T11" s="661" t="s">
        <v>14</v>
      </c>
      <c r="U11" s="662">
        <f t="shared" si="1"/>
        <v>100</v>
      </c>
      <c r="V11" s="661" t="s">
        <v>14</v>
      </c>
      <c r="W11" s="662">
        <f t="shared" si="2"/>
        <v>100</v>
      </c>
      <c r="X11" s="663"/>
      <c r="Y11" s="3322"/>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1"/>
      <c r="M12" s="2433"/>
      <c r="N12" s="2433"/>
      <c r="O12" s="2533"/>
      <c r="P12" s="3422"/>
      <c r="Q12" s="528">
        <f t="shared" si="6"/>
        <v>111</v>
      </c>
      <c r="R12" s="661" t="s">
        <v>14</v>
      </c>
      <c r="S12" s="662">
        <f t="shared" si="0"/>
        <v>100</v>
      </c>
      <c r="T12" s="661" t="s">
        <v>14</v>
      </c>
      <c r="U12" s="662">
        <f t="shared" si="1"/>
        <v>100</v>
      </c>
      <c r="V12" s="661" t="s">
        <v>14</v>
      </c>
      <c r="W12" s="662">
        <f t="shared" si="2"/>
        <v>100</v>
      </c>
      <c r="X12" s="663"/>
      <c r="Y12" s="3322"/>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19"/>
      <c r="H13" s="375">
        <f>SUMIF(59:59,G13,60:60)-SUMIF(59:59,C13,60:60)+100</f>
        <v>100</v>
      </c>
      <c r="I13" s="405"/>
      <c r="J13" s="372">
        <f>SUMIF(59:59,I13,60:60)-SUMIF(59:59,C13,60:60)+100</f>
        <v>100</v>
      </c>
      <c r="K13" s="537"/>
      <c r="L13" s="2485"/>
      <c r="M13" s="2480"/>
      <c r="N13" s="2480"/>
      <c r="O13" s="2535"/>
      <c r="P13" s="3422"/>
      <c r="Q13" s="528">
        <f t="shared" si="6"/>
        <v>111</v>
      </c>
      <c r="R13" s="661" t="s">
        <v>14</v>
      </c>
      <c r="S13" s="662">
        <f t="shared" si="0"/>
        <v>100</v>
      </c>
      <c r="T13" s="661" t="s">
        <v>14</v>
      </c>
      <c r="U13" s="662">
        <f t="shared" si="1"/>
        <v>100</v>
      </c>
      <c r="V13" s="661" t="s">
        <v>14</v>
      </c>
      <c r="W13" s="662">
        <f t="shared" si="2"/>
        <v>100</v>
      </c>
      <c r="X13" s="663"/>
      <c r="Y13" s="3322"/>
      <c r="Z13" s="50">
        <f t="shared" si="7"/>
        <v>111</v>
      </c>
      <c r="AA13" s="50">
        <f t="shared" si="3"/>
        <v>1</v>
      </c>
      <c r="AB13" s="50">
        <f t="shared" si="4"/>
        <v>1</v>
      </c>
      <c r="AC13" s="50">
        <f t="shared" si="5"/>
        <v>1</v>
      </c>
    </row>
    <row r="14" spans="1:29" ht="15">
      <c r="A14" s="377" t="s">
        <v>1690</v>
      </c>
      <c r="B14" s="57" t="s">
        <v>1833</v>
      </c>
      <c r="C14" s="1815" t="str">
        <f>IF(B1="工业",估价对象房地状况!G4,估价对象房地状况!C6)</f>
        <v>一般</v>
      </c>
      <c r="D14" s="378">
        <v>100</v>
      </c>
      <c r="E14" s="379"/>
      <c r="F14" s="380">
        <f>SUMIF(61:61,E15,62:62)-SUMIF(61:61,C15,62:62)+100</f>
        <v>100</v>
      </c>
      <c r="G14" s="381"/>
      <c r="H14" s="378">
        <f>SUMIF(61:61,G15,62:62)-SUMIF(61:61,C15,62:62)+100</f>
        <v>100</v>
      </c>
      <c r="I14" s="379"/>
      <c r="J14" s="378">
        <f>SUMIF(61:61,I15,62:62)-SUMIF(61:61,C15,62:62)+100</f>
        <v>100</v>
      </c>
      <c r="K14" s="538">
        <f>'比较法-住宅'!K17</f>
        <v>2</v>
      </c>
      <c r="L14" s="2485"/>
      <c r="M14" s="2480"/>
      <c r="N14" s="2480"/>
      <c r="O14" s="2535"/>
      <c r="P14" s="3423" t="s">
        <v>1691</v>
      </c>
      <c r="Q14" s="1260" t="str">
        <f t="shared" si="6"/>
        <v>交通便捷度</v>
      </c>
      <c r="R14" s="664" t="s">
        <v>14</v>
      </c>
      <c r="S14" s="665">
        <f t="shared" si="0"/>
        <v>100</v>
      </c>
      <c r="T14" s="664" t="s">
        <v>14</v>
      </c>
      <c r="U14" s="665">
        <f t="shared" si="1"/>
        <v>100</v>
      </c>
      <c r="V14" s="664" t="s">
        <v>14</v>
      </c>
      <c r="W14" s="665">
        <f t="shared" si="2"/>
        <v>100</v>
      </c>
      <c r="X14" s="1262"/>
      <c r="Y14" s="3423" t="s">
        <v>1691</v>
      </c>
      <c r="Z14" s="1261" t="str">
        <f t="shared" si="7"/>
        <v>交通便捷度</v>
      </c>
      <c r="AA14" s="1261">
        <f t="shared" si="3"/>
        <v>1</v>
      </c>
      <c r="AB14" s="1261">
        <f t="shared" si="4"/>
        <v>1</v>
      </c>
      <c r="AC14" s="1261">
        <f t="shared" si="5"/>
        <v>1</v>
      </c>
    </row>
    <row r="15" spans="1:29" ht="15">
      <c r="A15" s="365"/>
      <c r="B15" s="383"/>
      <c r="C15" s="384" t="s">
        <v>4242</v>
      </c>
      <c r="D15" s="385"/>
      <c r="E15" s="384" t="s">
        <v>4242</v>
      </c>
      <c r="F15" s="386"/>
      <c r="G15" s="384" t="s">
        <v>4242</v>
      </c>
      <c r="H15" s="387"/>
      <c r="I15" s="384" t="s">
        <v>4242</v>
      </c>
      <c r="J15" s="385"/>
      <c r="K15" s="539"/>
      <c r="L15" s="2485"/>
      <c r="M15" s="2480"/>
      <c r="N15" s="2480"/>
      <c r="O15" s="2535"/>
      <c r="P15" s="3424"/>
      <c r="Q15" s="1260"/>
      <c r="R15" s="664"/>
      <c r="S15" s="665"/>
      <c r="T15" s="664"/>
      <c r="U15" s="665"/>
      <c r="V15" s="664"/>
      <c r="W15" s="665"/>
      <c r="X15" s="1262"/>
      <c r="Y15" s="3424"/>
      <c r="Z15" s="1261"/>
      <c r="AA15" s="1261">
        <v>1</v>
      </c>
      <c r="AB15" s="1261">
        <v>1</v>
      </c>
      <c r="AC15" s="1261">
        <v>1</v>
      </c>
    </row>
    <row r="16" spans="1:29" ht="15">
      <c r="A16" s="365"/>
      <c r="B16" s="388" t="s">
        <v>1812</v>
      </c>
      <c r="C16" s="1750" t="str">
        <f>IF(B1="工业",估价对象房地状况!G5,估价对象房地状况!C7)</f>
        <v>一般</v>
      </c>
      <c r="D16" s="392">
        <v>100</v>
      </c>
      <c r="E16" s="394"/>
      <c r="F16" s="395">
        <f>SUMIF(63:63,E17,64:64)-SUMIF(63:63,C17,64:64)+100</f>
        <v>100</v>
      </c>
      <c r="G16" s="394"/>
      <c r="H16" s="392">
        <f>SUMIF(63:63,G17,64:64)-SUMIF(63:63,C17,64:64)+100</f>
        <v>100</v>
      </c>
      <c r="I16" s="394"/>
      <c r="J16" s="392">
        <f>SUMIF(63:63,I17,64:64)-SUMIF(63:63,C17,64:64)+100</f>
        <v>100</v>
      </c>
      <c r="K16" s="538">
        <f>'比较法-住宅'!K19</f>
        <v>2</v>
      </c>
      <c r="L16" s="2485"/>
      <c r="M16" s="2480"/>
      <c r="N16" s="2480"/>
      <c r="O16" s="2535"/>
      <c r="P16" s="3424"/>
      <c r="Q16" s="1260" t="str">
        <f>B16</f>
        <v>公共配套设施</v>
      </c>
      <c r="R16" s="664" t="s">
        <v>14</v>
      </c>
      <c r="S16" s="665">
        <f>F16</f>
        <v>100</v>
      </c>
      <c r="T16" s="664" t="s">
        <v>14</v>
      </c>
      <c r="U16" s="665">
        <f>H16</f>
        <v>100</v>
      </c>
      <c r="V16" s="664" t="s">
        <v>14</v>
      </c>
      <c r="W16" s="665">
        <f>J16</f>
        <v>100</v>
      </c>
      <c r="X16" s="1262"/>
      <c r="Y16" s="3424"/>
      <c r="Z16" s="1261" t="str">
        <f>Q16</f>
        <v>公共配套设施</v>
      </c>
      <c r="AA16" s="1261">
        <f t="shared" si="3"/>
        <v>1</v>
      </c>
      <c r="AB16" s="1261">
        <f t="shared" si="4"/>
        <v>1</v>
      </c>
      <c r="AC16" s="1261">
        <f t="shared" si="5"/>
        <v>1</v>
      </c>
    </row>
    <row r="17" spans="1:29" ht="15">
      <c r="A17" s="365"/>
      <c r="B17" s="393"/>
      <c r="C17" s="384" t="s">
        <v>4242</v>
      </c>
      <c r="D17" s="385"/>
      <c r="E17" s="1751" t="s">
        <v>4242</v>
      </c>
      <c r="F17" s="386"/>
      <c r="G17" s="1751" t="s">
        <v>4242</v>
      </c>
      <c r="H17" s="385"/>
      <c r="I17" s="1751" t="s">
        <v>4242</v>
      </c>
      <c r="J17" s="385"/>
      <c r="K17" s="539"/>
      <c r="L17" s="2485"/>
      <c r="M17" s="2480"/>
      <c r="N17" s="2480"/>
      <c r="O17" s="2535"/>
      <c r="P17" s="3424"/>
      <c r="Q17" s="1260"/>
      <c r="R17" s="664"/>
      <c r="S17" s="665"/>
      <c r="T17" s="664"/>
      <c r="U17" s="665"/>
      <c r="V17" s="664"/>
      <c r="W17" s="665"/>
      <c r="X17" s="1262"/>
      <c r="Y17" s="3424"/>
      <c r="Z17" s="1261"/>
      <c r="AA17" s="1261">
        <v>1</v>
      </c>
      <c r="AB17" s="1261">
        <v>1</v>
      </c>
      <c r="AC17" s="1261">
        <v>1</v>
      </c>
    </row>
    <row r="18" spans="1:29" ht="15">
      <c r="A18" s="365"/>
      <c r="B18" s="584" t="s">
        <v>1813</v>
      </c>
      <c r="C18" s="1750" t="str">
        <f>IF(B1="工业",估价对象房地状况!G6,估价对象房地状况!C8)</f>
        <v>七通</v>
      </c>
      <c r="D18" s="392">
        <v>100</v>
      </c>
      <c r="E18" s="389"/>
      <c r="F18" s="395">
        <f>SUMIF(65:65,E19,66:66)-SUMIF(65:65,C19,66:66)+100</f>
        <v>100</v>
      </c>
      <c r="G18" s="389"/>
      <c r="H18" s="392">
        <f>SUMIF(65:65,G19,66:66)-SUMIF(65:65,C19,66:66)+100</f>
        <v>100</v>
      </c>
      <c r="I18" s="389"/>
      <c r="J18" s="392">
        <f>SUMIF(65:65,I19,66:66)-SUMIF(65:65,C19,66:66)+100</f>
        <v>100</v>
      </c>
      <c r="K18" s="538">
        <v>1</v>
      </c>
      <c r="L18" s="2485"/>
      <c r="M18" s="2480"/>
      <c r="N18" s="2480"/>
      <c r="O18" s="2535"/>
      <c r="P18" s="3424"/>
      <c r="Q18" s="1260" t="str">
        <f>B18</f>
        <v>基础设施水平</v>
      </c>
      <c r="R18" s="664" t="s">
        <v>14</v>
      </c>
      <c r="S18" s="665">
        <f>F18</f>
        <v>100</v>
      </c>
      <c r="T18" s="664" t="s">
        <v>14</v>
      </c>
      <c r="U18" s="665">
        <f>H18</f>
        <v>100</v>
      </c>
      <c r="V18" s="664" t="s">
        <v>14</v>
      </c>
      <c r="W18" s="665">
        <f>J18</f>
        <v>100</v>
      </c>
      <c r="X18" s="1262"/>
      <c r="Y18" s="3424"/>
      <c r="Z18" s="1261" t="str">
        <f>Q18</f>
        <v>基础设施水平</v>
      </c>
      <c r="AA18" s="1261">
        <f t="shared" ref="AA18" si="8">D18/F18</f>
        <v>1</v>
      </c>
      <c r="AB18" s="1261">
        <f t="shared" ref="AB18" si="9">D18/H18</f>
        <v>1</v>
      </c>
      <c r="AC18" s="1261">
        <f t="shared" ref="AC18" si="10">D18/J18</f>
        <v>1</v>
      </c>
    </row>
    <row r="19" spans="1:29" ht="15">
      <c r="A19" s="365"/>
      <c r="B19" s="584"/>
      <c r="C19" s="1751" t="s">
        <v>4236</v>
      </c>
      <c r="D19" s="387"/>
      <c r="E19" s="1751" t="s">
        <v>4236</v>
      </c>
      <c r="F19" s="390"/>
      <c r="G19" s="1751" t="s">
        <v>4236</v>
      </c>
      <c r="H19" s="385"/>
      <c r="I19" s="1751" t="s">
        <v>4236</v>
      </c>
      <c r="J19" s="385"/>
      <c r="K19" s="1061"/>
      <c r="L19" s="2485"/>
      <c r="M19" s="2480"/>
      <c r="N19" s="2480"/>
      <c r="O19" s="2535"/>
      <c r="P19" s="3424"/>
      <c r="Q19" s="1260"/>
      <c r="R19" s="664"/>
      <c r="S19" s="665"/>
      <c r="T19" s="664"/>
      <c r="U19" s="665"/>
      <c r="V19" s="664"/>
      <c r="W19" s="665"/>
      <c r="X19" s="1262"/>
      <c r="Y19" s="3424"/>
      <c r="Z19" s="1261"/>
      <c r="AA19" s="1261">
        <v>1</v>
      </c>
      <c r="AB19" s="1261">
        <v>1</v>
      </c>
      <c r="AC19" s="1261">
        <v>1</v>
      </c>
    </row>
    <row r="20" spans="1:29" ht="15">
      <c r="A20" s="365"/>
      <c r="B20" s="388" t="s">
        <v>1834</v>
      </c>
      <c r="C20" s="1750" t="str">
        <f>IF(B1="工业",估价对象房地状况!G7,估价对象房地状况!C9)</f>
        <v>一般</v>
      </c>
      <c r="D20" s="392">
        <v>100</v>
      </c>
      <c r="E20" s="394"/>
      <c r="F20" s="395">
        <f>SUMIF(67:67,E21,68:68)-SUMIF(67:67,C21,68:68)+100</f>
        <v>100</v>
      </c>
      <c r="G20" s="396"/>
      <c r="H20" s="387">
        <f>SUMIF(67:67,G21,68:68)-SUMIF(67:67,C21,68:68)+100</f>
        <v>100</v>
      </c>
      <c r="I20" s="389"/>
      <c r="J20" s="387">
        <f>SUMIF(67:67,I21,68:68)-SUMIF(67:67,C21,68:68)+100</f>
        <v>100</v>
      </c>
      <c r="K20" s="538">
        <f>'比较法-住宅'!K23</f>
        <v>2</v>
      </c>
      <c r="L20" s="2485"/>
      <c r="M20" s="2480"/>
      <c r="N20" s="2480"/>
      <c r="O20" s="2535"/>
      <c r="P20" s="3424"/>
      <c r="Q20" s="1260" t="str">
        <f>B20</f>
        <v>自然及人文环境</v>
      </c>
      <c r="R20" s="664" t="s">
        <v>14</v>
      </c>
      <c r="S20" s="665">
        <f>F20</f>
        <v>100</v>
      </c>
      <c r="T20" s="664" t="s">
        <v>14</v>
      </c>
      <c r="U20" s="665">
        <f>H20</f>
        <v>100</v>
      </c>
      <c r="V20" s="664" t="s">
        <v>14</v>
      </c>
      <c r="W20" s="665">
        <f>J20</f>
        <v>100</v>
      </c>
      <c r="X20" s="1262"/>
      <c r="Y20" s="3424"/>
      <c r="Z20" s="1261" t="str">
        <f>Q20</f>
        <v>自然及人文环境</v>
      </c>
      <c r="AA20" s="1261">
        <f t="shared" si="3"/>
        <v>1</v>
      </c>
      <c r="AB20" s="1261">
        <f t="shared" si="4"/>
        <v>1</v>
      </c>
      <c r="AC20" s="1261">
        <f t="shared" si="5"/>
        <v>1</v>
      </c>
    </row>
    <row r="21" spans="1:29" ht="15">
      <c r="A21" s="365"/>
      <c r="B21" s="393"/>
      <c r="C21" s="384" t="s">
        <v>4242</v>
      </c>
      <c r="D21" s="385"/>
      <c r="E21" s="384" t="s">
        <v>4242</v>
      </c>
      <c r="F21" s="386"/>
      <c r="G21" s="384" t="s">
        <v>4242</v>
      </c>
      <c r="H21" s="385"/>
      <c r="I21" s="384" t="s">
        <v>4242</v>
      </c>
      <c r="J21" s="385"/>
      <c r="K21" s="539"/>
      <c r="L21" s="2485"/>
      <c r="M21" s="2480"/>
      <c r="N21" s="2480"/>
      <c r="O21" s="2535"/>
      <c r="P21" s="3424"/>
      <c r="Q21" s="1260"/>
      <c r="R21" s="664"/>
      <c r="S21" s="665"/>
      <c r="T21" s="664"/>
      <c r="U21" s="665"/>
      <c r="V21" s="664"/>
      <c r="W21" s="665"/>
      <c r="X21" s="1262"/>
      <c r="Y21" s="3424"/>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5"/>
      <c r="M22" s="2480"/>
      <c r="N22" s="2480"/>
      <c r="O22" s="2535"/>
      <c r="P22" s="3424"/>
      <c r="Q22" s="1260" t="str">
        <f>B22</f>
        <v>楼层</v>
      </c>
      <c r="R22" s="664" t="s">
        <v>14</v>
      </c>
      <c r="S22" s="665">
        <f>F22</f>
        <v>100</v>
      </c>
      <c r="T22" s="664" t="s">
        <v>14</v>
      </c>
      <c r="U22" s="665">
        <f>H22</f>
        <v>100</v>
      </c>
      <c r="V22" s="664" t="s">
        <v>14</v>
      </c>
      <c r="W22" s="665">
        <f>J22</f>
        <v>100</v>
      </c>
      <c r="X22" s="1262"/>
      <c r="Y22" s="3424"/>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5"/>
      <c r="M23" s="2480"/>
      <c r="N23" s="2480"/>
      <c r="O23" s="2535"/>
      <c r="P23" s="3424"/>
      <c r="Q23" s="1260">
        <f>B23</f>
        <v>111</v>
      </c>
      <c r="R23" s="664" t="s">
        <v>14</v>
      </c>
      <c r="S23" s="665">
        <f>F23</f>
        <v>100</v>
      </c>
      <c r="T23" s="664" t="s">
        <v>14</v>
      </c>
      <c r="U23" s="665">
        <f>H23</f>
        <v>100</v>
      </c>
      <c r="V23" s="664" t="s">
        <v>14</v>
      </c>
      <c r="W23" s="665">
        <f>J23</f>
        <v>100</v>
      </c>
      <c r="X23" s="1262"/>
      <c r="Y23" s="3424"/>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5"/>
      <c r="M24" s="2480"/>
      <c r="N24" s="2480"/>
      <c r="O24" s="2535"/>
      <c r="P24" s="3424"/>
      <c r="Q24" s="1260">
        <f t="shared" ref="Q24:Q34" si="11">B24</f>
        <v>111</v>
      </c>
      <c r="R24" s="664" t="s">
        <v>14</v>
      </c>
      <c r="S24" s="665">
        <f>F24</f>
        <v>100</v>
      </c>
      <c r="T24" s="664" t="s">
        <v>14</v>
      </c>
      <c r="U24" s="665">
        <f>H24</f>
        <v>100</v>
      </c>
      <c r="V24" s="664" t="s">
        <v>14</v>
      </c>
      <c r="W24" s="665">
        <f>J24</f>
        <v>100</v>
      </c>
      <c r="X24" s="1262"/>
      <c r="Y24" s="3424"/>
      <c r="Z24" s="1261">
        <f>Q24</f>
        <v>111</v>
      </c>
      <c r="AA24" s="1261">
        <f t="shared" si="3"/>
        <v>1</v>
      </c>
      <c r="AB24" s="1261">
        <f t="shared" si="4"/>
        <v>1</v>
      </c>
      <c r="AC24" s="1261">
        <f t="shared" si="5"/>
        <v>1</v>
      </c>
    </row>
    <row r="25" spans="1:29" s="101" customFormat="1" ht="15.75" thickBot="1">
      <c r="A25" s="368"/>
      <c r="B25" s="445">
        <v>111</v>
      </c>
      <c r="C25" s="1820"/>
      <c r="D25" s="555">
        <v>100</v>
      </c>
      <c r="E25" s="1820"/>
      <c r="F25" s="584">
        <f>SUMIF(75:75,E25,76:76)-SUMIF(75:75,C25,76:76)+100</f>
        <v>100</v>
      </c>
      <c r="G25" s="1820"/>
      <c r="H25" s="555">
        <f>SUMIF(75:75,G25,76:76)-SUMIF(75:75,C25,76:76)+100</f>
        <v>100</v>
      </c>
      <c r="I25" s="1820"/>
      <c r="J25" s="555">
        <f>SUMIF(75:75,I25,76:76)-SUMIF(75:75,C25,76:76)+100</f>
        <v>100</v>
      </c>
      <c r="K25" s="537"/>
      <c r="L25" s="2481"/>
      <c r="M25" s="2433"/>
      <c r="N25" s="2433"/>
      <c r="O25" s="2533"/>
      <c r="P25" s="3424"/>
      <c r="Q25" s="528">
        <f t="shared" si="11"/>
        <v>111</v>
      </c>
      <c r="R25" s="661" t="s">
        <v>14</v>
      </c>
      <c r="S25" s="662">
        <f>F25</f>
        <v>100</v>
      </c>
      <c r="T25" s="661" t="s">
        <v>14</v>
      </c>
      <c r="U25" s="662">
        <f>H25</f>
        <v>100</v>
      </c>
      <c r="V25" s="661" t="s">
        <v>14</v>
      </c>
      <c r="W25" s="662">
        <f>J25</f>
        <v>100</v>
      </c>
      <c r="X25" s="663"/>
      <c r="Y25" s="3424"/>
      <c r="Z25" s="50">
        <f>Q25</f>
        <v>111</v>
      </c>
      <c r="AA25" s="1261">
        <f>D25/F25</f>
        <v>1</v>
      </c>
      <c r="AB25" s="1261">
        <f>D25/H25</f>
        <v>1</v>
      </c>
      <c r="AC25" s="1261">
        <f>D25/J25</f>
        <v>1</v>
      </c>
    </row>
    <row r="26" spans="1:29" ht="28.5">
      <c r="A26" s="402" t="s">
        <v>1694</v>
      </c>
      <c r="B26" s="59" t="s">
        <v>1838</v>
      </c>
      <c r="C26" s="1760" t="s">
        <v>4258</v>
      </c>
      <c r="D26" s="403">
        <v>100</v>
      </c>
      <c r="E26" s="1760" t="s">
        <v>4258</v>
      </c>
      <c r="F26" s="585">
        <f>SUMIF(77:77,E26,78:78)-SUMIF(77:77,C26,78:78)+100</f>
        <v>100</v>
      </c>
      <c r="G26" s="1760" t="s">
        <v>4258</v>
      </c>
      <c r="H26" s="403">
        <f>SUMIF(77:77,G26,78:78)-SUMIF(77:77,C26,78:78)+100</f>
        <v>100</v>
      </c>
      <c r="I26" s="1760" t="s">
        <v>4258</v>
      </c>
      <c r="J26" s="403">
        <f>SUMIF(77:77,I26,78:78)-SUMIF(77:77,C26,78:78)+100</f>
        <v>100</v>
      </c>
      <c r="K26" s="405">
        <v>2</v>
      </c>
      <c r="L26" s="2485"/>
      <c r="M26" s="2480"/>
      <c r="N26" s="2480"/>
      <c r="O26" s="2535"/>
      <c r="P26" s="3425" t="s">
        <v>1696</v>
      </c>
      <c r="Q26" s="1260" t="str">
        <f t="shared" si="11"/>
        <v>公共部分装修</v>
      </c>
      <c r="R26" s="664" t="s">
        <v>14</v>
      </c>
      <c r="S26" s="665">
        <f t="shared" ref="S26:S34" si="12">F26</f>
        <v>100</v>
      </c>
      <c r="T26" s="664" t="s">
        <v>14</v>
      </c>
      <c r="U26" s="665">
        <f t="shared" ref="U26:U34" si="13">H26</f>
        <v>100</v>
      </c>
      <c r="V26" s="664" t="s">
        <v>14</v>
      </c>
      <c r="W26" s="665">
        <f t="shared" ref="W26:W34" si="14">J26</f>
        <v>100</v>
      </c>
      <c r="X26" s="1262"/>
      <c r="Y26" s="3426" t="s">
        <v>1696</v>
      </c>
      <c r="Z26" s="1261" t="str">
        <f t="shared" ref="Z26:Z34" si="15">Q26</f>
        <v>公共部分装修</v>
      </c>
      <c r="AA26" s="1261">
        <f t="shared" si="3"/>
        <v>1</v>
      </c>
      <c r="AB26" s="1261">
        <f t="shared" si="4"/>
        <v>1</v>
      </c>
      <c r="AC26" s="1261">
        <f t="shared" si="5"/>
        <v>1</v>
      </c>
    </row>
    <row r="27" spans="1:29" s="406" customFormat="1" ht="15">
      <c r="A27" s="404"/>
      <c r="B27" s="362" t="s">
        <v>1839</v>
      </c>
      <c r="C27" s="409">
        <v>1</v>
      </c>
      <c r="D27" s="117">
        <v>100</v>
      </c>
      <c r="E27" s="409">
        <v>1</v>
      </c>
      <c r="F27" s="398">
        <f>LOOKUP(E27,80:80,81:81)-LOOKUP(C27,80:80,81:81)+100</f>
        <v>100</v>
      </c>
      <c r="G27" s="411">
        <v>1</v>
      </c>
      <c r="H27" s="372">
        <f>LOOKUP(G27,80:80,81:81)-LOOKUP(C27,80:80,81:81)+100</f>
        <v>100</v>
      </c>
      <c r="I27" s="411">
        <v>1</v>
      </c>
      <c r="J27" s="372">
        <f>LOOKUP(I27,80:80,81:81)-LOOKUP(C27,80:80,81:81)+100</f>
        <v>100</v>
      </c>
      <c r="K27" s="536">
        <v>1</v>
      </c>
      <c r="L27" s="2484"/>
      <c r="M27" s="2486"/>
      <c r="N27" s="2486"/>
      <c r="O27" s="2536"/>
      <c r="P27" s="3426"/>
      <c r="Q27" s="529" t="str">
        <f t="shared" si="11"/>
        <v>成新率</v>
      </c>
      <c r="R27" s="666" t="s">
        <v>14</v>
      </c>
      <c r="S27" s="667">
        <f t="shared" si="12"/>
        <v>100</v>
      </c>
      <c r="T27" s="666" t="s">
        <v>14</v>
      </c>
      <c r="U27" s="667">
        <f t="shared" si="13"/>
        <v>100</v>
      </c>
      <c r="V27" s="666" t="s">
        <v>14</v>
      </c>
      <c r="W27" s="667">
        <f t="shared" si="14"/>
        <v>100</v>
      </c>
      <c r="X27" s="668"/>
      <c r="Y27" s="3426"/>
      <c r="Z27" s="669" t="str">
        <f t="shared" si="15"/>
        <v>成新率</v>
      </c>
      <c r="AA27" s="1261">
        <f t="shared" si="3"/>
        <v>1</v>
      </c>
      <c r="AB27" s="1261">
        <f t="shared" si="4"/>
        <v>1</v>
      </c>
      <c r="AC27" s="1261">
        <f t="shared" si="5"/>
        <v>1</v>
      </c>
    </row>
    <row r="28" spans="1:29" ht="15">
      <c r="A28" s="407"/>
      <c r="B28" s="362" t="s">
        <v>1840</v>
      </c>
      <c r="C28" s="397" t="s">
        <v>4259</v>
      </c>
      <c r="D28" s="372">
        <v>100</v>
      </c>
      <c r="E28" s="397" t="s">
        <v>4259</v>
      </c>
      <c r="F28" s="398">
        <f>SUMIF(82:82,E28,83:83)-SUMIF(82:82,C28,83:83)+100</f>
        <v>100</v>
      </c>
      <c r="G28" s="397" t="s">
        <v>4259</v>
      </c>
      <c r="H28" s="372">
        <f>SUMIF(82:82,G28,83:83)-SUMIF(82:82,C28,83:83)+100</f>
        <v>100</v>
      </c>
      <c r="I28" s="397" t="s">
        <v>4259</v>
      </c>
      <c r="J28" s="372">
        <f>SUMIF(82:82,I28,83:83)-SUMIF(82:82,C28,83:83)+100</f>
        <v>100</v>
      </c>
      <c r="K28" s="536">
        <v>2</v>
      </c>
      <c r="L28" s="2485"/>
      <c r="M28" s="2480"/>
      <c r="N28" s="2480"/>
      <c r="O28" s="2535"/>
      <c r="P28" s="3426"/>
      <c r="Q28" s="1260" t="str">
        <f t="shared" si="11"/>
        <v>物业等级</v>
      </c>
      <c r="R28" s="664" t="s">
        <v>14</v>
      </c>
      <c r="S28" s="665">
        <f t="shared" si="12"/>
        <v>100</v>
      </c>
      <c r="T28" s="664" t="s">
        <v>14</v>
      </c>
      <c r="U28" s="665">
        <f t="shared" si="13"/>
        <v>100</v>
      </c>
      <c r="V28" s="664" t="s">
        <v>14</v>
      </c>
      <c r="W28" s="665">
        <f t="shared" si="14"/>
        <v>100</v>
      </c>
      <c r="X28" s="1262"/>
      <c r="Y28" s="3426"/>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5"/>
      <c r="M29" s="2480"/>
      <c r="N29" s="2480"/>
      <c r="O29" s="2535"/>
      <c r="P29" s="3426"/>
      <c r="Q29" s="1260" t="str">
        <f t="shared" si="11"/>
        <v>有无电梯</v>
      </c>
      <c r="R29" s="664" t="s">
        <v>14</v>
      </c>
      <c r="S29" s="665">
        <f t="shared" si="12"/>
        <v>100</v>
      </c>
      <c r="T29" s="664" t="s">
        <v>14</v>
      </c>
      <c r="U29" s="665">
        <f t="shared" si="13"/>
        <v>100</v>
      </c>
      <c r="V29" s="664" t="s">
        <v>14</v>
      </c>
      <c r="W29" s="665">
        <f t="shared" si="14"/>
        <v>100</v>
      </c>
      <c r="X29" s="1262"/>
      <c r="Y29" s="3426"/>
      <c r="Z29" s="1261" t="str">
        <f t="shared" si="15"/>
        <v>有无电梯</v>
      </c>
      <c r="AA29" s="1261">
        <f t="shared" si="3"/>
        <v>1</v>
      </c>
      <c r="AB29" s="1261">
        <f t="shared" si="4"/>
        <v>1</v>
      </c>
      <c r="AC29" s="1261">
        <f t="shared" si="5"/>
        <v>1</v>
      </c>
    </row>
    <row r="30" spans="1:29" ht="15">
      <c r="A30" s="407"/>
      <c r="B30" s="362" t="s">
        <v>1861</v>
      </c>
      <c r="C30" s="405">
        <v>12</v>
      </c>
      <c r="D30" s="372">
        <v>100</v>
      </c>
      <c r="E30" s="405">
        <v>17.899999999999999</v>
      </c>
      <c r="F30" s="398">
        <f>LOOKUP(E30,87:87,88:88)-LOOKUP(C30,87:87,88:88)+100</f>
        <v>100</v>
      </c>
      <c r="G30" s="405">
        <v>25.02</v>
      </c>
      <c r="H30" s="372">
        <f>LOOKUP(G30,87:87,88:88)-LOOKUP(C30,87:87,88:88)+100</f>
        <v>100</v>
      </c>
      <c r="I30" s="405">
        <v>62.69</v>
      </c>
      <c r="J30" s="372">
        <f>LOOKUP(I30,87:87,88:88)-LOOKUP(C30,87:87,88:88)+100</f>
        <v>96</v>
      </c>
      <c r="K30" s="537"/>
      <c r="L30" s="2485"/>
      <c r="M30" s="2480"/>
      <c r="N30" s="2480"/>
      <c r="O30" s="2535"/>
      <c r="P30" s="3426"/>
      <c r="Q30" s="1260" t="str">
        <f t="shared" si="11"/>
        <v>建筑面积</v>
      </c>
      <c r="R30" s="664" t="s">
        <v>14</v>
      </c>
      <c r="S30" s="665">
        <f t="shared" si="12"/>
        <v>100</v>
      </c>
      <c r="T30" s="664" t="s">
        <v>14</v>
      </c>
      <c r="U30" s="665">
        <f t="shared" si="13"/>
        <v>100</v>
      </c>
      <c r="V30" s="664" t="s">
        <v>14</v>
      </c>
      <c r="W30" s="665">
        <f t="shared" si="14"/>
        <v>96</v>
      </c>
      <c r="X30" s="1262"/>
      <c r="Y30" s="3426"/>
      <c r="Z30" s="1261" t="str">
        <f t="shared" si="15"/>
        <v>建筑面积</v>
      </c>
      <c r="AA30" s="1261">
        <f t="shared" si="3"/>
        <v>1</v>
      </c>
      <c r="AB30" s="1261">
        <f t="shared" si="4"/>
        <v>1</v>
      </c>
      <c r="AC30" s="1261">
        <f t="shared" si="5"/>
        <v>1.0416666666666667</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1"/>
      <c r="M31" s="2433"/>
      <c r="N31" s="2433"/>
      <c r="O31" s="2533"/>
      <c r="P31" s="3426"/>
      <c r="Q31" s="528" t="str">
        <f t="shared" si="11"/>
        <v>是否封闭</v>
      </c>
      <c r="R31" s="661" t="s">
        <v>14</v>
      </c>
      <c r="S31" s="662">
        <f t="shared" si="12"/>
        <v>100</v>
      </c>
      <c r="T31" s="661" t="s">
        <v>14</v>
      </c>
      <c r="U31" s="662">
        <f t="shared" si="13"/>
        <v>100</v>
      </c>
      <c r="V31" s="661" t="s">
        <v>14</v>
      </c>
      <c r="W31" s="662">
        <f t="shared" si="14"/>
        <v>100</v>
      </c>
      <c r="X31" s="663"/>
      <c r="Y31" s="3426"/>
      <c r="Z31" s="50" t="str">
        <f t="shared" si="15"/>
        <v>是否封闭</v>
      </c>
      <c r="AA31" s="50">
        <f t="shared" si="3"/>
        <v>1</v>
      </c>
      <c r="AB31" s="50">
        <f t="shared" si="4"/>
        <v>1</v>
      </c>
      <c r="AC31" s="50">
        <f t="shared" si="5"/>
        <v>1</v>
      </c>
    </row>
    <row r="32" spans="1:29" ht="15">
      <c r="A32" s="407"/>
      <c r="B32" s="3198" t="s">
        <v>4294</v>
      </c>
      <c r="C32" s="3176" t="s">
        <v>4293</v>
      </c>
      <c r="D32" s="372">
        <v>100</v>
      </c>
      <c r="E32" s="3176" t="s">
        <v>4293</v>
      </c>
      <c r="F32" s="398">
        <f>SUMIF(91:91,E32,92:92)-SUMIF(91:91,C32,92:92)+100</f>
        <v>100</v>
      </c>
      <c r="G32" s="3177" t="s">
        <v>4292</v>
      </c>
      <c r="H32" s="372">
        <f>SUMIF(91:91,G32,92:92)-SUMIF(91:91,C32,92:92)+100</f>
        <v>103</v>
      </c>
      <c r="I32" s="3177" t="s">
        <v>4292</v>
      </c>
      <c r="J32" s="372">
        <f>SUMIF(91:91,I32,92:92)-SUMIF(91:91,C32,92:92)+100</f>
        <v>103</v>
      </c>
      <c r="K32" s="537"/>
      <c r="L32" s="2485"/>
      <c r="M32" s="2480"/>
      <c r="N32" s="2480"/>
      <c r="O32" s="2535"/>
      <c r="P32" s="3426" t="s">
        <v>1696</v>
      </c>
      <c r="Q32" s="1260" t="str">
        <f t="shared" si="11"/>
        <v>仓储类型</v>
      </c>
      <c r="R32" s="664" t="s">
        <v>14</v>
      </c>
      <c r="S32" s="665">
        <f t="shared" si="12"/>
        <v>100</v>
      </c>
      <c r="T32" s="664" t="s">
        <v>14</v>
      </c>
      <c r="U32" s="665">
        <f t="shared" si="13"/>
        <v>103</v>
      </c>
      <c r="V32" s="664" t="s">
        <v>14</v>
      </c>
      <c r="W32" s="665">
        <f t="shared" si="14"/>
        <v>103</v>
      </c>
      <c r="X32" s="1262"/>
      <c r="Y32" s="3426" t="s">
        <v>1696</v>
      </c>
      <c r="Z32" s="1261" t="str">
        <f t="shared" si="15"/>
        <v>仓储类型</v>
      </c>
      <c r="AA32" s="1261">
        <f t="shared" si="3"/>
        <v>1</v>
      </c>
      <c r="AB32" s="1261">
        <f t="shared" si="4"/>
        <v>0.970873786407767</v>
      </c>
      <c r="AC32" s="1261">
        <f t="shared" si="5"/>
        <v>0.970873786407767</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5"/>
      <c r="M33" s="2480"/>
      <c r="N33" s="2480"/>
      <c r="O33" s="2535"/>
      <c r="P33" s="3426"/>
      <c r="Q33" s="1260">
        <f t="shared" si="11"/>
        <v>111</v>
      </c>
      <c r="R33" s="664" t="s">
        <v>14</v>
      </c>
      <c r="S33" s="665">
        <f t="shared" si="12"/>
        <v>100</v>
      </c>
      <c r="T33" s="664" t="s">
        <v>14</v>
      </c>
      <c r="U33" s="665">
        <f t="shared" si="13"/>
        <v>100</v>
      </c>
      <c r="V33" s="664" t="s">
        <v>14</v>
      </c>
      <c r="W33" s="665">
        <f t="shared" si="14"/>
        <v>100</v>
      </c>
      <c r="X33" s="1262"/>
      <c r="Y33" s="3426"/>
      <c r="Z33" s="1261">
        <f t="shared" si="15"/>
        <v>111</v>
      </c>
      <c r="AA33" s="1261">
        <f t="shared" si="3"/>
        <v>1</v>
      </c>
      <c r="AB33" s="1261">
        <f t="shared" si="4"/>
        <v>1</v>
      </c>
      <c r="AC33" s="1261">
        <f t="shared" si="5"/>
        <v>1</v>
      </c>
    </row>
    <row r="34" spans="1:30" ht="15.75" thickBot="1">
      <c r="A34" s="413"/>
      <c r="B34" s="1745">
        <v>111</v>
      </c>
      <c r="C34" s="374"/>
      <c r="D34" s="375">
        <v>100</v>
      </c>
      <c r="E34" s="1819"/>
      <c r="F34" s="376">
        <f>SUMIF(95:95,E34,96:96)-SUMIF(95:95,C34,96:96)+100</f>
        <v>100</v>
      </c>
      <c r="G34" s="1819"/>
      <c r="H34" s="375">
        <f>SUMIF(95:95,G34,96:96)-SUMIF(95:95,C34,96:96)+100</f>
        <v>100</v>
      </c>
      <c r="I34" s="1819"/>
      <c r="J34" s="375">
        <f>SUMIF(95:95,I34,96:96)-SUMIF(95:95,C34,96:96)+100</f>
        <v>100</v>
      </c>
      <c r="K34" s="537"/>
      <c r="L34" s="2485"/>
      <c r="M34" s="2480"/>
      <c r="N34" s="2480"/>
      <c r="O34" s="2535"/>
      <c r="P34" s="3426"/>
      <c r="Q34" s="1260">
        <f t="shared" si="11"/>
        <v>111</v>
      </c>
      <c r="R34" s="664" t="s">
        <v>14</v>
      </c>
      <c r="S34" s="665">
        <f t="shared" si="12"/>
        <v>100</v>
      </c>
      <c r="T34" s="664" t="s">
        <v>14</v>
      </c>
      <c r="U34" s="665">
        <f t="shared" si="13"/>
        <v>100</v>
      </c>
      <c r="V34" s="664" t="s">
        <v>14</v>
      </c>
      <c r="W34" s="665">
        <f t="shared" si="14"/>
        <v>100</v>
      </c>
      <c r="X34" s="1262"/>
      <c r="Y34" s="3426"/>
      <c r="Z34" s="1261">
        <f t="shared" si="15"/>
        <v>111</v>
      </c>
      <c r="AA34" s="1261">
        <f t="shared" si="3"/>
        <v>1</v>
      </c>
      <c r="AB34" s="1261">
        <f t="shared" si="4"/>
        <v>1</v>
      </c>
      <c r="AC34" s="1261">
        <f t="shared" si="5"/>
        <v>1</v>
      </c>
    </row>
    <row r="35" spans="1:30" ht="15">
      <c r="A35" s="414" t="s">
        <v>1708</v>
      </c>
      <c r="B35" s="415"/>
      <c r="C35" s="1078" t="s">
        <v>0</v>
      </c>
      <c r="D35" s="416"/>
      <c r="E35" s="417">
        <v>14400</v>
      </c>
      <c r="F35" s="418"/>
      <c r="G35" s="419">
        <v>12941</v>
      </c>
      <c r="H35" s="420"/>
      <c r="I35" s="417">
        <v>13593</v>
      </c>
      <c r="J35" s="420"/>
      <c r="K35" s="671"/>
      <c r="L35" s="2487"/>
      <c r="M35" s="2480"/>
      <c r="N35" s="2480"/>
      <c r="O35" s="2480"/>
      <c r="P35" s="3422" t="str">
        <f>A35</f>
        <v>成交单价（元/平方米）</v>
      </c>
      <c r="Q35" s="3422"/>
      <c r="R35" s="3427">
        <f>E35</f>
        <v>14400</v>
      </c>
      <c r="S35" s="3427"/>
      <c r="T35" s="3427">
        <f>G35</f>
        <v>12941</v>
      </c>
      <c r="U35" s="3427"/>
      <c r="V35" s="3427">
        <f>I35</f>
        <v>13593</v>
      </c>
      <c r="W35" s="3427"/>
      <c r="X35" s="383"/>
      <c r="Y35" s="670"/>
      <c r="Z35" s="383"/>
      <c r="AA35" s="383"/>
      <c r="AB35" s="383"/>
      <c r="AC35" s="383"/>
    </row>
    <row r="36" spans="1:30" ht="15.75" thickBot="1">
      <c r="A36" s="421" t="s">
        <v>1793</v>
      </c>
      <c r="B36" s="422"/>
      <c r="C36" s="1079">
        <f>R37</f>
        <v>13570</v>
      </c>
      <c r="D36" s="2137" t="s">
        <v>2137</v>
      </c>
      <c r="E36" s="1080">
        <f>R36</f>
        <v>14400</v>
      </c>
      <c r="F36" s="2138"/>
      <c r="G36" s="1079">
        <f>T36</f>
        <v>12564</v>
      </c>
      <c r="H36" s="2138"/>
      <c r="I36" s="1080">
        <f>V36</f>
        <v>13747</v>
      </c>
      <c r="J36" s="2138"/>
      <c r="K36" s="2140">
        <f>F36+H36+J36</f>
        <v>0</v>
      </c>
      <c r="L36" s="2487"/>
      <c r="M36" s="2480"/>
      <c r="N36" s="2480"/>
      <c r="O36" s="2480"/>
      <c r="P36" s="3422" t="str">
        <f>A36</f>
        <v>比较价值（元/平方米）</v>
      </c>
      <c r="Q36" s="3422"/>
      <c r="R36" s="3427">
        <f>IF(F1="售价",ROUND(PRODUCT(R35,AA7:AA34),0),ROUND(PRODUCT(R35,AA7:AA34),1))</f>
        <v>14400</v>
      </c>
      <c r="S36" s="3427"/>
      <c r="T36" s="3427">
        <f>IF(F1="售价",ROUND(PRODUCT(T35,AB7:AB34),0),ROUND(PRODUCT(T35,AB7:AB34),1))</f>
        <v>12564</v>
      </c>
      <c r="U36" s="3427"/>
      <c r="V36" s="3427">
        <f>IF(F1="售价",ROUND(PRODUCT(V35,AC7:AC34),0),ROUND(PRODUCT(V35,AC7:AC34),1))</f>
        <v>13747</v>
      </c>
      <c r="W36" s="3427"/>
      <c r="X36" s="383"/>
      <c r="Y36" s="383"/>
      <c r="Z36" s="383"/>
      <c r="AA36" s="383"/>
      <c r="AB36" s="383"/>
      <c r="AC36" s="383"/>
    </row>
    <row r="37" spans="1:30" ht="15.75" thickBot="1">
      <c r="A37" s="425" t="s">
        <v>1794</v>
      </c>
      <c r="B37" s="426"/>
      <c r="C37" s="349">
        <f>R37</f>
        <v>13570</v>
      </c>
      <c r="D37" s="349"/>
      <c r="E37" s="349"/>
      <c r="F37" s="349"/>
      <c r="G37" s="349"/>
      <c r="H37" s="349"/>
      <c r="I37" s="349"/>
      <c r="J37" s="349"/>
      <c r="K37" s="672"/>
      <c r="L37" s="2487"/>
      <c r="M37" s="2480"/>
      <c r="N37" s="2480"/>
      <c r="O37" s="2480"/>
      <c r="P37" s="3416" t="str">
        <f>A37</f>
        <v>估价对象XX用房的比较价值（楼面单价，元/平方米）</v>
      </c>
      <c r="Q37" s="3417"/>
      <c r="R37" s="3511">
        <f>IF(F1="售价",ROUND(IF(D36="简单平均",AVERAGE(R36:W36),R36*F36+T36*H36+V36*J36),0),ROUND(IF(D36="简单平均",AVERAGE(R36:V36),R36*F36+T36*H36+V36*J36),1))</f>
        <v>13570</v>
      </c>
      <c r="S37" s="3511"/>
      <c r="T37" s="3511"/>
      <c r="U37" s="3511"/>
      <c r="V37" s="3511"/>
      <c r="W37" s="3511"/>
      <c r="X37" s="383"/>
      <c r="Y37" s="383"/>
      <c r="Z37" s="383"/>
      <c r="AA37" s="383"/>
      <c r="AB37" s="383"/>
      <c r="AC37" s="383"/>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1795</v>
      </c>
      <c r="D40" s="431"/>
      <c r="E40" s="432">
        <f>IF(E35&lt;E36,E36/E35-1,E35/E36-1)</f>
        <v>0</v>
      </c>
      <c r="F40" s="433" t="str">
        <f>IF(OR(E40&gt;=0.3,E40&lt;=-0.3),"超过30%","")</f>
        <v/>
      </c>
      <c r="G40" s="432">
        <f>IF(G35&lt;G36,G36/G35-1,G35/G36-1)</f>
        <v>3.0006367398917488E-2</v>
      </c>
      <c r="H40" s="433" t="str">
        <f>IF(OR(G40&gt;=0.3,G40&lt;=-0.3),"超过30%","")</f>
        <v/>
      </c>
      <c r="I40" s="432">
        <f>IF(I35&lt;I36,I36/I35-1,I35/I36-1)</f>
        <v>1.1329360700360391E-2</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1796</v>
      </c>
      <c r="D41" s="434"/>
      <c r="E41" s="432">
        <f>IF(E36&lt;G36,G36/E36-1,E36/G36-1)</f>
        <v>0.14613180515759305</v>
      </c>
      <c r="F41" s="433" t="str">
        <f>IF(OR(E41&gt;=0.2,E41&lt;=-0.2),"超过20%","")</f>
        <v/>
      </c>
      <c r="G41" s="432">
        <f>IF(G36&lt;I36,I36/G36-1,G36/I36-1)</f>
        <v>9.4157911493155E-2</v>
      </c>
      <c r="H41" s="433" t="str">
        <f>IF(OR(G41&gt;=0.2,G41&lt;=-0.2),"超过20%","")</f>
        <v/>
      </c>
      <c r="I41" s="432">
        <f>IF(I36&lt;E36,E36/I36-1,I36/E36-1)</f>
        <v>4.7501273005019273E-2</v>
      </c>
      <c r="J41" s="433" t="str">
        <f>IF(OR(I41&gt;=0.2,I41&lt;=-0.2),"超过20%","")</f>
        <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1797</v>
      </c>
      <c r="D42" s="434"/>
      <c r="E42" s="432">
        <f>IF(E35&lt;G35,G35/E35-1,E35/G35-1)</f>
        <v>0.11274244648790654</v>
      </c>
      <c r="F42" s="433" t="str">
        <f>IF(OR(E42&gt;=0.3,E42&lt;=-0.3),"超过30%","")</f>
        <v/>
      </c>
      <c r="G42" s="432">
        <f>IF(G35&lt;I35,I35/G35-1,G35/I35-1)</f>
        <v>5.0382505215980311E-2</v>
      </c>
      <c r="H42" s="433" t="str">
        <f>IF(OR(G42&gt;=0.3,G42&lt;=-0.3),"超过30%","")</f>
        <v/>
      </c>
      <c r="I42" s="432">
        <f>IF(I35&lt;E35,E35/I35-1,I35/E35-1)</f>
        <v>5.9368792760979838E-2</v>
      </c>
      <c r="J42" s="433" t="str">
        <f>IF(OR(I42&gt;=0.3,I42&lt;=-0.3),"超过30%","")</f>
        <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5" t="s">
        <v>1798</v>
      </c>
      <c r="B45" s="383"/>
      <c r="C45" s="656"/>
      <c r="D45" s="656"/>
      <c r="E45" s="656"/>
      <c r="F45" s="657"/>
      <c r="G45" s="657"/>
      <c r="H45" s="656"/>
      <c r="I45" s="656"/>
      <c r="J45" s="656"/>
      <c r="K45" s="658"/>
      <c r="L45" s="659"/>
      <c r="M45" s="656"/>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1679</v>
      </c>
      <c r="B46" s="439"/>
      <c r="C46" s="1100" t="str">
        <f>YEAR(C7)&amp;"-"&amp;MONTH(C7)</f>
        <v>2024-12</v>
      </c>
      <c r="D46" s="1101">
        <f>EDATE(C46,-1)</f>
        <v>45597</v>
      </c>
      <c r="E46" s="1101">
        <f t="shared" ref="E46:O46" si="16">EDATE(D46,-1)</f>
        <v>45566</v>
      </c>
      <c r="F46" s="1101">
        <f t="shared" si="16"/>
        <v>45536</v>
      </c>
      <c r="G46" s="1101">
        <f t="shared" si="16"/>
        <v>45505</v>
      </c>
      <c r="H46" s="1101">
        <f t="shared" si="16"/>
        <v>45474</v>
      </c>
      <c r="I46" s="1101">
        <f t="shared" si="16"/>
        <v>45444</v>
      </c>
      <c r="J46" s="1101">
        <f t="shared" si="16"/>
        <v>45413</v>
      </c>
      <c r="K46" s="1101">
        <f t="shared" si="16"/>
        <v>45383</v>
      </c>
      <c r="L46" s="1101">
        <f t="shared" si="16"/>
        <v>45352</v>
      </c>
      <c r="M46" s="1101">
        <f t="shared" si="16"/>
        <v>45323</v>
      </c>
      <c r="N46" s="1101">
        <f t="shared" si="16"/>
        <v>45292</v>
      </c>
      <c r="O46" s="1101">
        <f t="shared" si="16"/>
        <v>45261</v>
      </c>
      <c r="P46" s="2503"/>
      <c r="Q46" s="2503"/>
      <c r="R46" s="2503"/>
      <c r="S46" s="2503"/>
      <c r="T46" s="2503"/>
      <c r="U46" s="2503"/>
      <c r="V46" s="2503"/>
      <c r="W46" s="2503"/>
      <c r="X46" s="2503"/>
      <c r="Y46" s="2503"/>
      <c r="Z46" s="2503"/>
      <c r="AA46" s="2503"/>
      <c r="AB46" s="2503"/>
      <c r="AC46" s="2503"/>
      <c r="AD46" s="2503"/>
    </row>
    <row r="47" spans="1:30" s="101" customFormat="1" ht="15">
      <c r="A47" s="441"/>
      <c r="B47" s="442"/>
      <c r="C47" s="1099">
        <v>100</v>
      </c>
      <c r="D47" s="444"/>
      <c r="E47" s="444"/>
      <c r="F47" s="444"/>
      <c r="G47" s="444"/>
      <c r="H47" s="444"/>
      <c r="I47" s="444"/>
      <c r="J47" s="444"/>
      <c r="K47" s="444"/>
      <c r="L47" s="444"/>
      <c r="M47" s="445"/>
      <c r="N47" s="444"/>
      <c r="O47" s="446"/>
      <c r="P47" s="2501"/>
      <c r="Q47" s="2433"/>
      <c r="R47" s="2433"/>
      <c r="S47" s="2433"/>
      <c r="T47" s="2433"/>
      <c r="U47" s="2433"/>
      <c r="V47" s="2433"/>
      <c r="W47" s="2433"/>
      <c r="X47" s="2433"/>
      <c r="Y47" s="2433"/>
      <c r="Z47" s="2433"/>
      <c r="AA47" s="2433"/>
      <c r="AB47" s="2433"/>
      <c r="AC47" s="2433"/>
      <c r="AD47" s="2433"/>
    </row>
    <row r="48" spans="1:30" s="101" customFormat="1" ht="15.75" thickBot="1">
      <c r="A48" s="447" t="s">
        <v>1716</v>
      </c>
      <c r="B48" s="448"/>
      <c r="C48" s="449"/>
      <c r="D48" s="450"/>
      <c r="E48" s="450"/>
      <c r="F48" s="450"/>
      <c r="G48" s="450"/>
      <c r="H48" s="450"/>
      <c r="I48" s="450"/>
      <c r="J48" s="450"/>
      <c r="K48" s="450"/>
      <c r="L48" s="450"/>
      <c r="M48" s="451"/>
      <c r="N48" s="450"/>
      <c r="O48" s="452"/>
      <c r="P48" s="2501"/>
      <c r="Q48" s="2501"/>
      <c r="R48" s="2433"/>
      <c r="S48" s="2433"/>
      <c r="T48" s="2433"/>
      <c r="U48" s="2433"/>
      <c r="V48" s="2433"/>
      <c r="W48" s="2433"/>
      <c r="X48" s="2433"/>
      <c r="Y48" s="2433"/>
      <c r="Z48" s="2433"/>
      <c r="AA48" s="2433"/>
      <c r="AB48" s="2433"/>
      <c r="AC48" s="2433"/>
      <c r="AD48" s="2433"/>
    </row>
    <row r="49" spans="1:30" s="101" customFormat="1" ht="15">
      <c r="A49" s="453" t="s">
        <v>1681</v>
      </c>
      <c r="B49" s="442"/>
      <c r="C49" s="454" t="s">
        <v>1776</v>
      </c>
      <c r="D49" s="31"/>
      <c r="E49" s="31"/>
      <c r="F49" s="31"/>
      <c r="G49" s="31"/>
      <c r="H49" s="31"/>
      <c r="I49" s="31"/>
      <c r="J49" s="31"/>
      <c r="K49" s="31"/>
      <c r="L49" s="455"/>
      <c r="M49" s="456"/>
      <c r="N49" s="2513"/>
      <c r="O49" s="2513"/>
      <c r="P49" s="2537"/>
      <c r="Q49" s="2501"/>
      <c r="R49" s="2433"/>
      <c r="S49" s="2433"/>
      <c r="T49" s="2433"/>
      <c r="U49" s="2433"/>
      <c r="V49" s="2433"/>
      <c r="W49" s="2433"/>
      <c r="X49" s="2433"/>
      <c r="Y49" s="2433"/>
      <c r="Z49" s="2433"/>
      <c r="AA49" s="2433"/>
      <c r="AB49" s="2433"/>
      <c r="AC49" s="2433"/>
      <c r="AD49" s="2433"/>
    </row>
    <row r="50" spans="1:30" s="101" customFormat="1" ht="15.75" thickBot="1">
      <c r="A50" s="453"/>
      <c r="B50" s="442"/>
      <c r="C50" s="561">
        <v>100</v>
      </c>
      <c r="D50" s="444"/>
      <c r="E50" s="444"/>
      <c r="F50" s="444"/>
      <c r="G50" s="444"/>
      <c r="H50" s="444"/>
      <c r="I50" s="444"/>
      <c r="J50" s="444"/>
      <c r="K50" s="444"/>
      <c r="L50" s="444"/>
      <c r="M50" s="446"/>
      <c r="N50" s="2513"/>
      <c r="O50" s="2513"/>
      <c r="P50" s="2501"/>
      <c r="Q50" s="2501"/>
      <c r="R50" s="2433"/>
      <c r="S50" s="2433"/>
      <c r="T50" s="2433"/>
      <c r="U50" s="2433"/>
      <c r="V50" s="2433"/>
      <c r="W50" s="2433"/>
      <c r="X50" s="2433"/>
      <c r="Y50" s="2433"/>
      <c r="Z50" s="2433"/>
      <c r="AA50" s="2433"/>
      <c r="AB50" s="2433"/>
      <c r="AC50" s="2433"/>
      <c r="AD50" s="2433"/>
    </row>
    <row r="51" spans="1:30">
      <c r="A51" s="377" t="s">
        <v>1719</v>
      </c>
      <c r="B51" s="458" t="s">
        <v>1685</v>
      </c>
      <c r="C51" s="459" t="str">
        <f>C9</f>
        <v>地下仓储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5"/>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5"/>
      <c r="B53" s="467" t="s">
        <v>1688</v>
      </c>
      <c r="C53" s="511"/>
      <c r="D53" s="511"/>
      <c r="E53" s="511"/>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5"/>
      <c r="B54" s="472"/>
      <c r="C54" s="465"/>
      <c r="D54" s="465"/>
      <c r="E54" s="465"/>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5"/>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5"/>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6"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6"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6"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6"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5"/>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5"/>
      <c r="B63" s="467" t="s">
        <v>1863</v>
      </c>
      <c r="C63" s="507" t="s">
        <v>1721</v>
      </c>
      <c r="D63" s="507" t="s">
        <v>1722</v>
      </c>
      <c r="E63" s="507" t="s">
        <v>1723</v>
      </c>
      <c r="F63" s="507" t="s">
        <v>1724</v>
      </c>
      <c r="G63" s="507" t="s">
        <v>1725</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5"/>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5"/>
      <c r="B65" s="475" t="s">
        <v>1813</v>
      </c>
      <c r="C65" s="579" t="s">
        <v>1799</v>
      </c>
      <c r="D65" s="579" t="s">
        <v>1800</v>
      </c>
      <c r="E65" s="579" t="s">
        <v>1801</v>
      </c>
      <c r="F65" s="579" t="s">
        <v>1802</v>
      </c>
      <c r="G65" s="579" t="s">
        <v>1803</v>
      </c>
      <c r="H65" s="468"/>
      <c r="I65" s="468"/>
      <c r="J65" s="468"/>
      <c r="K65" s="468"/>
      <c r="L65" s="468"/>
      <c r="M65" s="1060"/>
      <c r="N65" s="2515"/>
      <c r="O65" s="2515"/>
      <c r="P65" s="2513"/>
      <c r="Q65" s="2501"/>
      <c r="R65" s="2480"/>
      <c r="S65" s="2480"/>
      <c r="T65" s="2480"/>
      <c r="U65" s="2480"/>
      <c r="V65" s="2480"/>
      <c r="W65" s="2480"/>
      <c r="X65" s="2480"/>
      <c r="Y65" s="2480"/>
      <c r="Z65" s="2480"/>
      <c r="AA65" s="2480"/>
      <c r="AB65" s="2480"/>
      <c r="AC65" s="2480"/>
      <c r="AD65" s="2480"/>
    </row>
    <row r="66" spans="1:30" ht="15.75" thickBot="1">
      <c r="A66" s="365"/>
      <c r="B66" s="475"/>
      <c r="C66" s="473">
        <v>100</v>
      </c>
      <c r="D66" s="473">
        <f>C66-$K18</f>
        <v>99</v>
      </c>
      <c r="E66" s="473">
        <f>D66-$K18</f>
        <v>98</v>
      </c>
      <c r="F66" s="473">
        <f>E66-$K18</f>
        <v>97</v>
      </c>
      <c r="G66" s="473">
        <f>F66-$K18</f>
        <v>96</v>
      </c>
      <c r="H66" s="579"/>
      <c r="I66" s="579"/>
      <c r="J66" s="579"/>
      <c r="K66" s="579"/>
      <c r="L66" s="579"/>
      <c r="M66" s="387"/>
      <c r="N66" s="2515"/>
      <c r="O66" s="2515"/>
      <c r="P66" s="2513"/>
      <c r="Q66" s="2501"/>
      <c r="R66" s="2480"/>
      <c r="S66" s="2480"/>
      <c r="T66" s="2480"/>
      <c r="U66" s="2480"/>
      <c r="V66" s="2480"/>
      <c r="W66" s="2480"/>
      <c r="X66" s="2480"/>
      <c r="Y66" s="2480"/>
      <c r="Z66" s="2480"/>
      <c r="AA66" s="2480"/>
      <c r="AB66" s="2480"/>
      <c r="AC66" s="2480"/>
      <c r="AD66" s="2480"/>
    </row>
    <row r="67" spans="1:30" ht="15.75" thickTop="1">
      <c r="A67" s="365"/>
      <c r="B67" s="467" t="s">
        <v>1733</v>
      </c>
      <c r="C67" s="507" t="s">
        <v>1721</v>
      </c>
      <c r="D67" s="507" t="s">
        <v>1722</v>
      </c>
      <c r="E67" s="507" t="s">
        <v>1723</v>
      </c>
      <c r="F67" s="507" t="s">
        <v>1724</v>
      </c>
      <c r="G67" s="507" t="s">
        <v>1725</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5"/>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5"/>
      <c r="B69" s="467" t="s">
        <v>1852</v>
      </c>
      <c r="C69" s="3167" t="s">
        <v>4291</v>
      </c>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5"/>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1" customFormat="1" ht="15.75" thickTop="1">
      <c r="A71" s="368"/>
      <c r="B71" s="467">
        <f>B23</f>
        <v>111</v>
      </c>
      <c r="C71" s="478"/>
      <c r="D71" s="478"/>
      <c r="E71" s="478"/>
      <c r="F71" s="478"/>
      <c r="G71" s="483"/>
      <c r="H71" s="483"/>
      <c r="I71" s="483"/>
      <c r="J71" s="483"/>
      <c r="K71" s="483"/>
      <c r="L71" s="508"/>
      <c r="M71" s="509"/>
      <c r="N71" s="2513"/>
      <c r="O71" s="2513"/>
      <c r="P71" s="2513"/>
      <c r="Q71" s="2501"/>
      <c r="R71" s="2433"/>
      <c r="S71" s="2433"/>
      <c r="T71" s="2433"/>
      <c r="U71" s="2433"/>
      <c r="V71" s="2433"/>
      <c r="W71" s="2433"/>
      <c r="X71" s="2433"/>
      <c r="Y71" s="2433"/>
      <c r="Z71" s="2433"/>
      <c r="AA71" s="2433"/>
      <c r="AB71" s="2433"/>
      <c r="AC71" s="2433"/>
      <c r="AD71" s="2433"/>
    </row>
    <row r="72" spans="1:30" s="101" customFormat="1" ht="15.75" thickBot="1">
      <c r="A72" s="368"/>
      <c r="B72" s="472"/>
      <c r="C72" s="489"/>
      <c r="D72" s="465"/>
      <c r="E72" s="465"/>
      <c r="F72" s="465"/>
      <c r="G72" s="465"/>
      <c r="H72" s="465"/>
      <c r="I72" s="465"/>
      <c r="J72" s="465"/>
      <c r="K72" s="465"/>
      <c r="L72" s="465"/>
      <c r="M72" s="466"/>
      <c r="N72" s="2515"/>
      <c r="O72" s="2515"/>
      <c r="P72" s="2513"/>
      <c r="Q72" s="2501"/>
      <c r="R72" s="2433"/>
      <c r="S72" s="2433"/>
      <c r="T72" s="2433"/>
      <c r="U72" s="2433"/>
      <c r="V72" s="2433"/>
      <c r="W72" s="2433"/>
      <c r="X72" s="2433"/>
      <c r="Y72" s="2433"/>
      <c r="Z72" s="2433"/>
      <c r="AA72" s="2433"/>
      <c r="AB72" s="2433"/>
      <c r="AC72" s="2433"/>
      <c r="AD72" s="2433"/>
    </row>
    <row r="73" spans="1:30" s="101" customFormat="1" ht="15.75" thickTop="1">
      <c r="A73" s="368"/>
      <c r="B73" s="467">
        <f>B24</f>
        <v>111</v>
      </c>
      <c r="C73" s="478"/>
      <c r="D73" s="478"/>
      <c r="E73" s="478"/>
      <c r="F73" s="478"/>
      <c r="G73" s="483"/>
      <c r="H73" s="483"/>
      <c r="I73" s="483"/>
      <c r="J73" s="483"/>
      <c r="K73" s="483"/>
      <c r="L73" s="483"/>
      <c r="M73" s="509"/>
      <c r="N73" s="2513"/>
      <c r="O73" s="2513"/>
      <c r="P73" s="2513"/>
      <c r="Q73" s="2501"/>
      <c r="R73" s="2433"/>
      <c r="S73" s="2433"/>
      <c r="T73" s="2433"/>
      <c r="U73" s="2433"/>
      <c r="V73" s="2433"/>
      <c r="W73" s="2433"/>
      <c r="X73" s="2433"/>
      <c r="Y73" s="2433"/>
      <c r="Z73" s="2433"/>
      <c r="AA73" s="2433"/>
      <c r="AB73" s="2433"/>
      <c r="AC73" s="2433"/>
      <c r="AD73" s="2433"/>
    </row>
    <row r="74" spans="1:30" s="101" customFormat="1" ht="15.75" thickBot="1">
      <c r="A74" s="368"/>
      <c r="B74" s="472"/>
      <c r="C74" s="489"/>
      <c r="D74" s="465"/>
      <c r="E74" s="465"/>
      <c r="F74" s="465"/>
      <c r="G74" s="465"/>
      <c r="H74" s="465"/>
      <c r="I74" s="465"/>
      <c r="J74" s="465"/>
      <c r="K74" s="465"/>
      <c r="L74" s="465"/>
      <c r="M74" s="466"/>
      <c r="N74" s="2515"/>
      <c r="O74" s="2515"/>
      <c r="P74" s="2513"/>
      <c r="Q74" s="2501"/>
      <c r="R74" s="2433"/>
      <c r="S74" s="2433"/>
      <c r="T74" s="2433"/>
      <c r="U74" s="2433"/>
      <c r="V74" s="2433"/>
      <c r="W74" s="2433"/>
      <c r="X74" s="2433"/>
      <c r="Y74" s="2433"/>
      <c r="Z74" s="2433"/>
      <c r="AA74" s="2433"/>
      <c r="AB74" s="2433"/>
      <c r="AC74" s="2433"/>
      <c r="AD74" s="2433"/>
    </row>
    <row r="75" spans="1:30" s="406"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6"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7" t="s">
        <v>1694</v>
      </c>
      <c r="B77" s="458" t="s">
        <v>1740</v>
      </c>
      <c r="C77" s="3167" t="s">
        <v>4276</v>
      </c>
      <c r="D77" s="483"/>
      <c r="E77" s="460"/>
      <c r="F77" s="460"/>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5"/>
      <c r="B78" s="472"/>
      <c r="C78" s="473">
        <v>100</v>
      </c>
      <c r="D78" s="473">
        <f t="shared" ref="D78:M78" si="17">C78-$K26</f>
        <v>98</v>
      </c>
      <c r="E78" s="473">
        <f t="shared" si="17"/>
        <v>96</v>
      </c>
      <c r="F78" s="473">
        <f t="shared" si="17"/>
        <v>94</v>
      </c>
      <c r="G78" s="473">
        <f t="shared" si="17"/>
        <v>92</v>
      </c>
      <c r="H78" s="473">
        <f t="shared" si="17"/>
        <v>90</v>
      </c>
      <c r="I78" s="473">
        <f t="shared" si="17"/>
        <v>88</v>
      </c>
      <c r="J78" s="473">
        <f t="shared" si="17"/>
        <v>86</v>
      </c>
      <c r="K78" s="473">
        <f t="shared" si="17"/>
        <v>84</v>
      </c>
      <c r="L78" s="473">
        <f t="shared" si="17"/>
        <v>82</v>
      </c>
      <c r="M78" s="474">
        <f t="shared" si="17"/>
        <v>80</v>
      </c>
      <c r="N78" s="2515"/>
      <c r="O78" s="2515"/>
      <c r="P78" s="2513"/>
      <c r="Q78" s="2501"/>
      <c r="R78" s="2480"/>
      <c r="S78" s="2480"/>
      <c r="T78" s="2480"/>
      <c r="U78" s="2480"/>
      <c r="V78" s="2480"/>
      <c r="W78" s="2480"/>
      <c r="X78" s="2480"/>
      <c r="Y78" s="2480"/>
      <c r="Z78" s="2480"/>
      <c r="AA78" s="2480"/>
      <c r="AB78" s="2480"/>
      <c r="AC78" s="2480"/>
      <c r="AD78" s="2480"/>
    </row>
    <row r="79" spans="1:30" ht="15.7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5"/>
      <c r="B80" s="475"/>
      <c r="C80" s="528">
        <v>0.5</v>
      </c>
      <c r="D80" s="528">
        <v>0.6</v>
      </c>
      <c r="E80" s="528">
        <v>0.7</v>
      </c>
      <c r="F80" s="528">
        <v>0.8</v>
      </c>
      <c r="G80" s="528">
        <v>0.9</v>
      </c>
      <c r="H80" s="528">
        <v>1.0001</v>
      </c>
      <c r="I80" s="579"/>
      <c r="J80" s="579"/>
      <c r="K80" s="586"/>
      <c r="L80" s="587"/>
      <c r="M80" s="588"/>
      <c r="N80" s="2513"/>
      <c r="O80" s="2513"/>
      <c r="P80" s="2513"/>
      <c r="Q80" s="2501"/>
      <c r="R80" s="2480"/>
      <c r="S80" s="2480"/>
      <c r="T80" s="2480"/>
      <c r="U80" s="2480"/>
      <c r="V80" s="2480"/>
      <c r="W80" s="2480"/>
      <c r="X80" s="2480"/>
      <c r="Y80" s="2480"/>
      <c r="Z80" s="2480"/>
      <c r="AA80" s="2480"/>
      <c r="AB80" s="2480"/>
      <c r="AC80" s="2480"/>
      <c r="AD80" s="2480"/>
    </row>
    <row r="81" spans="1:30" s="406" customFormat="1" ht="15.75" thickBot="1">
      <c r="A81" s="482"/>
      <c r="B81" s="472"/>
      <c r="C81" s="510">
        <v>100</v>
      </c>
      <c r="D81" s="473">
        <f t="shared" ref="D81:M81" si="18">C81+$K27</f>
        <v>101</v>
      </c>
      <c r="E81" s="473">
        <f t="shared" si="18"/>
        <v>102</v>
      </c>
      <c r="F81" s="473">
        <f t="shared" si="18"/>
        <v>103</v>
      </c>
      <c r="G81" s="473">
        <f t="shared" si="18"/>
        <v>104</v>
      </c>
      <c r="H81" s="473">
        <f t="shared" si="18"/>
        <v>105</v>
      </c>
      <c r="I81" s="473">
        <f t="shared" si="18"/>
        <v>106</v>
      </c>
      <c r="J81" s="473">
        <f t="shared" si="18"/>
        <v>107</v>
      </c>
      <c r="K81" s="473">
        <f t="shared" si="18"/>
        <v>108</v>
      </c>
      <c r="L81" s="473">
        <f t="shared" si="18"/>
        <v>109</v>
      </c>
      <c r="M81" s="473">
        <f t="shared" si="18"/>
        <v>110</v>
      </c>
      <c r="N81" s="2515"/>
      <c r="O81" s="2515"/>
      <c r="P81" s="2516"/>
      <c r="Q81" s="2508"/>
      <c r="R81" s="2486"/>
      <c r="S81" s="2486"/>
      <c r="T81" s="2486"/>
      <c r="U81" s="2486"/>
      <c r="V81" s="2486"/>
      <c r="W81" s="2486"/>
      <c r="X81" s="2486"/>
      <c r="Y81" s="2486"/>
      <c r="Z81" s="2486"/>
      <c r="AA81" s="2486"/>
      <c r="AB81" s="2486"/>
      <c r="AC81" s="2486"/>
      <c r="AD81" s="2486"/>
    </row>
    <row r="82" spans="1:30" ht="15" thickTop="1">
      <c r="A82" s="407"/>
      <c r="B82" s="475" t="s">
        <v>1856</v>
      </c>
      <c r="C82" s="3167" t="s">
        <v>4280</v>
      </c>
      <c r="D82" s="483"/>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5"/>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5"/>
      <c r="O83" s="2515"/>
      <c r="P83" s="2513"/>
      <c r="Q83" s="2501"/>
      <c r="R83" s="2480"/>
      <c r="S83" s="2480"/>
      <c r="T83" s="2480"/>
      <c r="U83" s="2480"/>
      <c r="V83" s="2480"/>
      <c r="W83" s="2480"/>
      <c r="X83" s="2480"/>
      <c r="Y83" s="2480"/>
      <c r="Z83" s="2480"/>
      <c r="AA83" s="2480"/>
      <c r="AB83" s="2480"/>
      <c r="AC83" s="2480"/>
      <c r="AD83" s="2480"/>
    </row>
    <row r="84" spans="1:30" ht="15" thickTop="1">
      <c r="A84" s="407"/>
      <c r="B84" s="467" t="s">
        <v>1864</v>
      </c>
      <c r="C84" s="483"/>
      <c r="D84" s="483"/>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7"/>
      <c r="B86" s="475" t="s">
        <v>1865</v>
      </c>
      <c r="C86" s="507" t="str">
        <f t="shared" ref="C86:L86" si="21">C87&amp;"(含)"&amp;"-"&amp;D87</f>
        <v>0(含)-30</v>
      </c>
      <c r="D86" s="507" t="str">
        <f t="shared" si="21"/>
        <v>30(含)-60</v>
      </c>
      <c r="E86" s="507" t="str">
        <f t="shared" si="21"/>
        <v>60(含)-90</v>
      </c>
      <c r="F86" s="507" t="str">
        <f t="shared" si="21"/>
        <v>90(含)-120</v>
      </c>
      <c r="G86" s="507" t="str">
        <f t="shared" si="21"/>
        <v>120(含)-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7"/>
      <c r="B87" s="475"/>
      <c r="C87" s="6">
        <v>0</v>
      </c>
      <c r="D87" s="6">
        <v>30</v>
      </c>
      <c r="E87" s="6">
        <v>60</v>
      </c>
      <c r="F87" s="6">
        <v>90</v>
      </c>
      <c r="G87" s="6">
        <v>120</v>
      </c>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5"/>
      <c r="B88" s="472"/>
      <c r="C88" s="489">
        <v>100</v>
      </c>
      <c r="D88" s="465">
        <f>C88-2</f>
        <v>98</v>
      </c>
      <c r="E88" s="465">
        <f t="shared" ref="E88:G88" si="22">D88-2</f>
        <v>96</v>
      </c>
      <c r="F88" s="465">
        <f t="shared" si="22"/>
        <v>94</v>
      </c>
      <c r="G88" s="465">
        <f t="shared" si="22"/>
        <v>92</v>
      </c>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6" customFormat="1" ht="15" thickTop="1">
      <c r="A89" s="404"/>
      <c r="B89" s="467" t="s">
        <v>1866</v>
      </c>
      <c r="C89" s="483"/>
      <c r="D89" s="483"/>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6"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7"/>
      <c r="B91" s="467" t="str">
        <f>B32</f>
        <v>仓储类型</v>
      </c>
      <c r="C91" s="3175" t="s">
        <v>4292</v>
      </c>
      <c r="D91" s="3175" t="s">
        <v>4293</v>
      </c>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5"/>
      <c r="B92" s="472"/>
      <c r="C92" s="489">
        <v>100</v>
      </c>
      <c r="D92" s="465">
        <v>97</v>
      </c>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7"/>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5"/>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7"/>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5"/>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9"/>
      <c r="B98" s="879"/>
      <c r="C98" s="879"/>
      <c r="D98" s="879"/>
      <c r="E98" s="879"/>
      <c r="F98" s="879"/>
      <c r="G98" s="879"/>
      <c r="H98" s="879"/>
      <c r="I98" s="879"/>
      <c r="J98" s="879"/>
      <c r="K98" s="880"/>
      <c r="L98" s="881"/>
      <c r="M98" s="879"/>
      <c r="N98" s="2480"/>
      <c r="O98" s="2480"/>
      <c r="P98" s="2480"/>
      <c r="Q98" s="2480"/>
      <c r="R98" s="2480"/>
      <c r="S98" s="2480"/>
      <c r="T98" s="2480"/>
      <c r="U98" s="2480"/>
      <c r="V98" s="2480"/>
      <c r="W98" s="2480"/>
      <c r="X98" s="2480"/>
      <c r="Y98" s="2480"/>
      <c r="Z98" s="2480"/>
      <c r="AA98" s="2480"/>
      <c r="AB98" s="2480"/>
      <c r="AC98" s="2480"/>
      <c r="AD98" s="2480"/>
    </row>
    <row r="99" spans="1:30">
      <c r="A99" s="879"/>
      <c r="B99" s="879"/>
      <c r="C99" s="879"/>
      <c r="D99" s="879"/>
      <c r="E99" s="879"/>
      <c r="F99" s="879"/>
      <c r="G99" s="879"/>
      <c r="H99" s="879"/>
      <c r="I99" s="879"/>
      <c r="J99" s="879"/>
      <c r="K99" s="880"/>
      <c r="L99" s="881"/>
      <c r="M99" s="879"/>
      <c r="N99" s="2480"/>
      <c r="O99" s="2480"/>
      <c r="P99" s="2480"/>
      <c r="Q99" s="2480"/>
      <c r="R99" s="2480"/>
      <c r="S99" s="2480"/>
      <c r="T99" s="2480"/>
      <c r="U99" s="2480"/>
      <c r="V99" s="2480"/>
      <c r="W99" s="2480"/>
      <c r="X99" s="2480"/>
      <c r="Y99" s="2480"/>
      <c r="Z99" s="2480"/>
      <c r="AA99" s="2480"/>
      <c r="AB99" s="2480"/>
      <c r="AC99" s="2480"/>
      <c r="AD99" s="2480"/>
    </row>
    <row r="100" spans="1:30">
      <c r="A100" s="879"/>
      <c r="B100" s="879"/>
      <c r="C100" s="879"/>
      <c r="D100" s="879"/>
      <c r="E100" s="879"/>
      <c r="F100" s="879"/>
      <c r="G100" s="879"/>
      <c r="H100" s="879"/>
      <c r="I100" s="879"/>
      <c r="J100" s="879"/>
      <c r="K100" s="880"/>
      <c r="L100" s="881"/>
      <c r="M100" s="879"/>
      <c r="N100" s="2480"/>
      <c r="O100" s="2480"/>
      <c r="P100" s="2480"/>
      <c r="Q100" s="2480"/>
      <c r="R100" s="2480"/>
      <c r="S100" s="2480"/>
      <c r="T100" s="2480"/>
      <c r="U100" s="2480"/>
      <c r="V100" s="2480"/>
      <c r="W100" s="2480"/>
      <c r="X100" s="2480"/>
      <c r="Y100" s="2480"/>
      <c r="Z100" s="2480"/>
      <c r="AA100" s="2480"/>
      <c r="AB100" s="2480"/>
      <c r="AC100" s="2480"/>
      <c r="AD100" s="2480"/>
    </row>
    <row r="101" spans="1:30">
      <c r="A101" s="879"/>
      <c r="B101" s="879"/>
      <c r="C101" s="879"/>
      <c r="D101" s="879"/>
      <c r="E101" s="879"/>
      <c r="F101" s="879"/>
      <c r="G101" s="879"/>
      <c r="H101" s="879"/>
      <c r="I101" s="879"/>
      <c r="J101" s="879"/>
      <c r="K101" s="880"/>
      <c r="L101" s="881"/>
      <c r="M101" s="879"/>
      <c r="N101" s="2480"/>
      <c r="O101" s="2480"/>
      <c r="P101" s="2480"/>
      <c r="Q101" s="2480"/>
      <c r="R101" s="2480"/>
      <c r="S101" s="2480"/>
      <c r="T101" s="2480"/>
      <c r="U101" s="2480"/>
      <c r="V101" s="2480"/>
      <c r="W101" s="2480"/>
      <c r="X101" s="2480"/>
      <c r="Y101" s="2480"/>
      <c r="Z101" s="2480"/>
      <c r="AA101" s="2480"/>
      <c r="AB101" s="2480"/>
      <c r="AC101" s="2480"/>
      <c r="AD101" s="2480"/>
    </row>
    <row r="102" spans="1:30">
      <c r="A102" s="879"/>
      <c r="B102" s="879"/>
      <c r="C102" s="879"/>
      <c r="D102" s="879"/>
      <c r="E102" s="879"/>
      <c r="F102" s="879"/>
      <c r="G102" s="879"/>
      <c r="H102" s="879"/>
      <c r="I102" s="879"/>
      <c r="J102" s="879"/>
      <c r="K102" s="880"/>
      <c r="L102" s="881"/>
      <c r="M102" s="879"/>
      <c r="N102" s="2480"/>
      <c r="O102" s="2480"/>
      <c r="P102" s="2480"/>
      <c r="Q102" s="2480"/>
      <c r="R102" s="2480"/>
      <c r="S102" s="2480"/>
      <c r="T102" s="2480"/>
      <c r="U102" s="2480"/>
      <c r="V102" s="2480"/>
      <c r="W102" s="2480"/>
      <c r="X102" s="2480"/>
      <c r="Y102" s="2480"/>
      <c r="Z102" s="2480"/>
      <c r="AA102" s="2480"/>
      <c r="AB102" s="2480"/>
      <c r="AC102" s="2480"/>
      <c r="AD102" s="2480"/>
    </row>
    <row r="103" spans="1:30">
      <c r="A103" s="879"/>
      <c r="B103" s="879"/>
      <c r="C103" s="879"/>
      <c r="D103" s="879"/>
      <c r="E103" s="879"/>
      <c r="F103" s="879"/>
      <c r="G103" s="879"/>
      <c r="H103" s="879"/>
      <c r="I103" s="879"/>
      <c r="J103" s="879"/>
      <c r="K103" s="880"/>
      <c r="L103" s="881"/>
      <c r="M103" s="879"/>
      <c r="N103" s="879"/>
      <c r="O103" s="879"/>
      <c r="P103" s="2480"/>
      <c r="Q103" s="2480"/>
      <c r="R103" s="2480"/>
      <c r="S103" s="2480"/>
      <c r="T103" s="2480"/>
      <c r="U103" s="2480"/>
      <c r="V103" s="2480"/>
      <c r="W103" s="2480"/>
      <c r="X103" s="2480"/>
      <c r="Y103" s="2480"/>
      <c r="Z103" s="2480"/>
      <c r="AA103" s="2480"/>
      <c r="AB103" s="2480"/>
      <c r="AC103" s="2480"/>
      <c r="AD103" s="2480"/>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10" zoomScaleNormal="60" zoomScaleSheetLayoutView="100" workbookViewId="0">
      <selection activeCell="D3" sqref="D3"/>
    </sheetView>
  </sheetViews>
  <sheetFormatPr defaultColWidth="9" defaultRowHeight="14.25"/>
  <cols>
    <col min="1" max="1" width="10.5" style="345" customWidth="1"/>
    <col min="2" max="2" width="15.75" style="345" customWidth="1"/>
    <col min="3" max="3" width="14.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0"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1831</v>
      </c>
      <c r="B1" s="1137" t="s">
        <v>3330</v>
      </c>
      <c r="C1" s="1138" t="s">
        <v>1662</v>
      </c>
      <c r="D1" s="1139" t="s">
        <v>4296</v>
      </c>
      <c r="E1" s="3124" t="s">
        <v>4287</v>
      </c>
      <c r="F1" s="1731" t="s">
        <v>4288</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13040</v>
      </c>
      <c r="C2" s="1733" t="s">
        <v>43</v>
      </c>
      <c r="D2" s="851" t="e">
        <f ca="1">IF(E1="项目模式",SUMIF(INDIRECT("'"&amp;F2&amp;"'"&amp;"!A:A"),"承租人权益价值",INDIRECT("'"&amp;F2&amp;"'"&amp;"!c:c")),SUMIF(INDIRECT("'"&amp;F2&amp;"'"&amp;"!A:A"),"承租人权益价值（单套）",INDIRECT("'"&amp;F2&amp;"'"&amp;"!c:c")))</f>
        <v>#REF!</v>
      </c>
      <c r="E2" s="1734" t="s">
        <v>1463</v>
      </c>
      <c r="F2" s="1735"/>
      <c r="G2" s="852"/>
      <c r="H2" s="852"/>
      <c r="I2" s="852"/>
      <c r="J2" s="852"/>
      <c r="K2" s="854"/>
      <c r="L2" s="2496"/>
      <c r="M2" s="2497"/>
      <c r="N2" s="2497"/>
      <c r="O2" s="2497"/>
      <c r="P2" s="1083"/>
      <c r="Q2" s="339"/>
      <c r="R2" s="339"/>
      <c r="S2" s="339"/>
      <c r="T2" s="339"/>
      <c r="U2" s="339"/>
      <c r="V2" s="339"/>
      <c r="W2" s="339"/>
      <c r="X2" s="339"/>
      <c r="Y2" s="339"/>
      <c r="Z2" s="339"/>
      <c r="AA2" s="339"/>
      <c r="AB2" s="339"/>
      <c r="AC2" s="660"/>
    </row>
    <row r="3" spans="1:29" s="340" customFormat="1" ht="28.5" customHeight="1" thickBot="1">
      <c r="A3" s="193" t="s">
        <v>1464</v>
      </c>
      <c r="B3" s="534">
        <f>IF(AND(C2="——",B37="元/平方米"),C39,ROUND(B2*10000/D3,0))</f>
        <v>4981</v>
      </c>
      <c r="C3" s="342" t="s">
        <v>1768</v>
      </c>
      <c r="D3" s="341">
        <f>SUMIF('数据-汇总表'!$C19:$C33,D1,'数据-汇总表'!$E19:$E33)</f>
        <v>26180.310000000281</v>
      </c>
      <c r="E3" s="342" t="s">
        <v>1832</v>
      </c>
      <c r="F3" s="341">
        <f>SUMIF('数据-取费表'!A5:A15,D1,'数据-取费表'!AH5:AH15)</f>
        <v>0</v>
      </c>
      <c r="G3" s="852"/>
      <c r="H3" s="852"/>
      <c r="I3" s="852"/>
      <c r="J3" s="852"/>
      <c r="K3" s="854"/>
      <c r="L3" s="2496"/>
      <c r="M3" s="2497">
        <f>IF(C2="——",IF(B37="元/平方米",ROUND(C39*D3/10000,0),ROUND(F3*C39/10000,0)),IF(B37="元/平方米",ROUND(C39*D3/10000,0),ROUND(F3*C39/10000,0))-D2)</f>
        <v>13040</v>
      </c>
      <c r="N3" s="2497"/>
      <c r="O3" s="2497"/>
      <c r="P3" s="1083"/>
      <c r="Q3" s="339"/>
      <c r="R3" s="339"/>
      <c r="S3" s="339"/>
      <c r="T3" s="339"/>
      <c r="U3" s="339"/>
      <c r="V3" s="339"/>
      <c r="W3" s="339"/>
      <c r="X3" s="339"/>
      <c r="Y3" s="339"/>
      <c r="Z3" s="339"/>
      <c r="AA3" s="339"/>
      <c r="AB3" s="673"/>
      <c r="AC3" s="660"/>
    </row>
    <row r="4" spans="1:29" ht="15">
      <c r="A4" s="343" t="s">
        <v>1769</v>
      </c>
      <c r="B4" s="344"/>
      <c r="C4" s="3419" t="s">
        <v>1770</v>
      </c>
      <c r="D4" s="3431"/>
      <c r="E4" s="3432" t="s">
        <v>1771</v>
      </c>
      <c r="F4" s="3433"/>
      <c r="G4" s="3419" t="s">
        <v>1772</v>
      </c>
      <c r="H4" s="3431"/>
      <c r="I4" s="3419" t="s">
        <v>1773</v>
      </c>
      <c r="J4" s="3431"/>
      <c r="K4" s="535" t="s">
        <v>1774</v>
      </c>
      <c r="L4" s="2479"/>
      <c r="M4" s="2480"/>
      <c r="N4" s="2480"/>
      <c r="O4" s="2480"/>
      <c r="P4" s="3434" t="s">
        <v>1775</v>
      </c>
      <c r="Q4" s="3435"/>
      <c r="R4" s="3440" t="s">
        <v>1771</v>
      </c>
      <c r="S4" s="3441"/>
      <c r="T4" s="3440" t="s">
        <v>1772</v>
      </c>
      <c r="U4" s="3441"/>
      <c r="V4" s="3427" t="s">
        <v>1773</v>
      </c>
      <c r="W4" s="3427"/>
      <c r="X4" s="1262"/>
      <c r="Y4" s="3440" t="s">
        <v>1775</v>
      </c>
      <c r="Z4" s="3441"/>
      <c r="AA4" s="3428" t="s">
        <v>1771</v>
      </c>
      <c r="AB4" s="3429" t="s">
        <v>1772</v>
      </c>
      <c r="AC4" s="3428" t="s">
        <v>1773</v>
      </c>
    </row>
    <row r="5" spans="1:29" ht="15">
      <c r="A5" s="346"/>
      <c r="B5" s="347"/>
      <c r="C5" s="3448" t="s">
        <v>1673</v>
      </c>
      <c r="D5" s="3449"/>
      <c r="E5" s="3512" t="s">
        <v>4289</v>
      </c>
      <c r="F5" s="3456"/>
      <c r="G5" s="3494" t="s">
        <v>4300</v>
      </c>
      <c r="H5" s="3449"/>
      <c r="I5" s="3494" t="s">
        <v>4302</v>
      </c>
      <c r="J5" s="3449"/>
      <c r="K5" s="535"/>
      <c r="L5" s="2479"/>
      <c r="M5" s="2480">
        <v>796</v>
      </c>
      <c r="N5" s="2480"/>
      <c r="O5" s="2480"/>
      <c r="P5" s="3436"/>
      <c r="Q5" s="3437"/>
      <c r="R5" s="3442"/>
      <c r="S5" s="3443"/>
      <c r="T5" s="3442"/>
      <c r="U5" s="3443"/>
      <c r="V5" s="3427"/>
      <c r="W5" s="3427"/>
      <c r="X5" s="1262"/>
      <c r="Y5" s="3442"/>
      <c r="Z5" s="3443"/>
      <c r="AA5" s="3429"/>
      <c r="AB5" s="3429"/>
      <c r="AC5" s="3429"/>
    </row>
    <row r="6" spans="1:29" ht="15.75" thickBot="1">
      <c r="A6" s="348"/>
      <c r="B6" s="349"/>
      <c r="C6" s="3446" t="s">
        <v>1677</v>
      </c>
      <c r="D6" s="3447"/>
      <c r="E6" s="3453" t="s">
        <v>1677</v>
      </c>
      <c r="F6" s="3454"/>
      <c r="G6" s="3446" t="s">
        <v>1677</v>
      </c>
      <c r="H6" s="3447"/>
      <c r="I6" s="3446" t="s">
        <v>1677</v>
      </c>
      <c r="J6" s="3447"/>
      <c r="K6" s="535" t="s">
        <v>1678</v>
      </c>
      <c r="L6" s="2479"/>
      <c r="M6" s="2480">
        <f>B2/M5</f>
        <v>16.381909547738694</v>
      </c>
      <c r="N6" s="2480"/>
      <c r="O6" s="2480"/>
      <c r="P6" s="3438"/>
      <c r="Q6" s="3439"/>
      <c r="R6" s="3442"/>
      <c r="S6" s="3443"/>
      <c r="T6" s="3444"/>
      <c r="U6" s="3445"/>
      <c r="V6" s="3427"/>
      <c r="W6" s="3427"/>
      <c r="X6" s="1262"/>
      <c r="Y6" s="3444"/>
      <c r="Z6" s="3445"/>
      <c r="AA6" s="3430"/>
      <c r="AB6" s="3430"/>
      <c r="AC6" s="3430"/>
    </row>
    <row r="7" spans="1:29" s="101" customFormat="1" ht="15.75" thickBot="1">
      <c r="A7" s="350" t="s">
        <v>1679</v>
      </c>
      <c r="B7" s="351"/>
      <c r="C7" s="352">
        <f>'数据-取费表'!B2</f>
        <v>45639</v>
      </c>
      <c r="D7" s="353">
        <v>100</v>
      </c>
      <c r="E7" s="354">
        <v>45627</v>
      </c>
      <c r="F7" s="355">
        <f>SUMIF(48:48,YEAR(E7)&amp;"-"&amp;MONTH(E7),49:49)</f>
        <v>100</v>
      </c>
      <c r="G7" s="354">
        <v>45627</v>
      </c>
      <c r="H7" s="353">
        <f>SUMIF(48:48,YEAR(G7)&amp;"-"&amp;MONTH(G7),49:49)</f>
        <v>100</v>
      </c>
      <c r="I7" s="354">
        <v>45413</v>
      </c>
      <c r="J7" s="353">
        <f>SUMIF(48:48,YEAR(I7)&amp;"-"&amp;MONTH(I7),49:49)</f>
        <v>100</v>
      </c>
      <c r="K7" s="38"/>
      <c r="L7" s="2481"/>
      <c r="M7" s="2433"/>
      <c r="N7" s="2433"/>
      <c r="O7" s="2433"/>
      <c r="P7" s="3450" t="s">
        <v>1680</v>
      </c>
      <c r="Q7" s="3452"/>
      <c r="R7" s="661" t="s">
        <v>14</v>
      </c>
      <c r="S7" s="662">
        <f t="shared" ref="S7:S14" si="0">F7</f>
        <v>100</v>
      </c>
      <c r="T7" s="661" t="s">
        <v>14</v>
      </c>
      <c r="U7" s="662">
        <f t="shared" ref="U7:U14" si="1">H7</f>
        <v>100</v>
      </c>
      <c r="V7" s="661" t="s">
        <v>14</v>
      </c>
      <c r="W7" s="662">
        <f t="shared" ref="W7:W14" si="2">J7</f>
        <v>100</v>
      </c>
      <c r="X7" s="663"/>
      <c r="Y7" s="3450" t="s">
        <v>1680</v>
      </c>
      <c r="Z7" s="3451"/>
      <c r="AA7" s="50">
        <f>D7/F7</f>
        <v>1</v>
      </c>
      <c r="AB7" s="50">
        <f>D7/H7</f>
        <v>1</v>
      </c>
      <c r="AC7" s="50">
        <f>D7/J7</f>
        <v>1</v>
      </c>
    </row>
    <row r="8" spans="1:29" s="101" customFormat="1" ht="15.75" thickBot="1">
      <c r="A8" s="350" t="s">
        <v>1681</v>
      </c>
      <c r="B8" s="351"/>
      <c r="C8" s="356" t="s">
        <v>4254</v>
      </c>
      <c r="D8" s="353">
        <v>100</v>
      </c>
      <c r="E8" s="356" t="s">
        <v>4254</v>
      </c>
      <c r="F8" s="355">
        <f>SUMIF(51:51,E8,52:52)-SUMIF(51:51,C8,52:52)+100</f>
        <v>100</v>
      </c>
      <c r="G8" s="356" t="s">
        <v>4254</v>
      </c>
      <c r="H8" s="353">
        <f>SUMIF(51:51,G8,52:52)-SUMIF(51:51,C8,52:52)+100</f>
        <v>100</v>
      </c>
      <c r="I8" s="356" t="s">
        <v>4254</v>
      </c>
      <c r="J8" s="353">
        <f>SUMIF(51:51,I8,52:52)-SUMIF(51:51,C8,52:52)+100</f>
        <v>100</v>
      </c>
      <c r="K8" s="38"/>
      <c r="L8" s="2481"/>
      <c r="M8" s="2433"/>
      <c r="N8" s="2433"/>
      <c r="O8" s="2433"/>
      <c r="P8" s="3450" t="s">
        <v>1683</v>
      </c>
      <c r="Q8" s="3451"/>
      <c r="R8" s="661" t="s">
        <v>14</v>
      </c>
      <c r="S8" s="662">
        <f t="shared" si="0"/>
        <v>100</v>
      </c>
      <c r="T8" s="661" t="s">
        <v>14</v>
      </c>
      <c r="U8" s="662">
        <f t="shared" si="1"/>
        <v>100</v>
      </c>
      <c r="V8" s="661" t="s">
        <v>14</v>
      </c>
      <c r="W8" s="662">
        <f t="shared" si="2"/>
        <v>100</v>
      </c>
      <c r="X8" s="663"/>
      <c r="Y8" s="3450" t="s">
        <v>1683</v>
      </c>
      <c r="Z8" s="3451"/>
      <c r="AA8" s="50">
        <f t="shared" ref="AA8:AA36" si="3">D8/F8</f>
        <v>1</v>
      </c>
      <c r="AB8" s="50">
        <f t="shared" ref="AB8:AB36" si="4">D8/H8</f>
        <v>1</v>
      </c>
      <c r="AC8" s="50">
        <f t="shared" ref="AC8:AC36" si="5">D8/J8</f>
        <v>1</v>
      </c>
    </row>
    <row r="9" spans="1:29" s="101" customFormat="1">
      <c r="A9" s="56" t="s">
        <v>1684</v>
      </c>
      <c r="B9" s="562" t="s">
        <v>1685</v>
      </c>
      <c r="C9" s="3174" t="s">
        <v>4301</v>
      </c>
      <c r="D9" s="58">
        <v>100</v>
      </c>
      <c r="E9" s="360" t="s">
        <v>3330</v>
      </c>
      <c r="F9" s="58">
        <f>SUMIF(53:53,E9,54:54)-SUMIF(53:53,C9,54:54)+100</f>
        <v>100</v>
      </c>
      <c r="G9" s="360" t="s">
        <v>3330</v>
      </c>
      <c r="H9" s="58">
        <f>SUMIF(53:53,G9,54:54)-SUMIF(53:53,C9,54:54)+100</f>
        <v>100</v>
      </c>
      <c r="I9" s="360" t="s">
        <v>3330</v>
      </c>
      <c r="J9" s="58">
        <f>SUMIF(53:53,I9,54:54)-SUMIF(53:53,C9,54:54)+100</f>
        <v>100</v>
      </c>
      <c r="K9" s="38"/>
      <c r="L9" s="2481"/>
      <c r="M9" s="2433"/>
      <c r="N9" s="2433"/>
      <c r="O9" s="2433"/>
      <c r="P9" s="3422" t="s">
        <v>1686</v>
      </c>
      <c r="Q9" s="528" t="str">
        <f t="shared" ref="Q9:Q14" si="6">B9</f>
        <v>用途</v>
      </c>
      <c r="R9" s="661" t="s">
        <v>14</v>
      </c>
      <c r="S9" s="662">
        <f t="shared" si="0"/>
        <v>100</v>
      </c>
      <c r="T9" s="661" t="s">
        <v>14</v>
      </c>
      <c r="U9" s="662">
        <f t="shared" si="1"/>
        <v>100</v>
      </c>
      <c r="V9" s="661" t="s">
        <v>14</v>
      </c>
      <c r="W9" s="662">
        <f t="shared" si="2"/>
        <v>100</v>
      </c>
      <c r="X9" s="663"/>
      <c r="Y9" s="3322" t="s">
        <v>1687</v>
      </c>
      <c r="Z9" s="50" t="str">
        <f t="shared" ref="Z9:Z14" si="7">Q9</f>
        <v>用途</v>
      </c>
      <c r="AA9" s="50">
        <f t="shared" si="3"/>
        <v>1</v>
      </c>
      <c r="AB9" s="50">
        <f t="shared" si="4"/>
        <v>1</v>
      </c>
      <c r="AC9" s="50">
        <f t="shared" si="5"/>
        <v>1</v>
      </c>
    </row>
    <row r="10" spans="1:29" s="364" customFormat="1" ht="27">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2"/>
      <c r="M10" s="2483"/>
      <c r="N10" s="2483"/>
      <c r="O10" s="2483"/>
      <c r="P10" s="3422"/>
      <c r="Q10" s="528" t="str">
        <f t="shared" si="6"/>
        <v>土地使用年限（年）</v>
      </c>
      <c r="R10" s="661" t="s">
        <v>14</v>
      </c>
      <c r="S10" s="662">
        <f t="shared" si="0"/>
        <v>100</v>
      </c>
      <c r="T10" s="661" t="s">
        <v>14</v>
      </c>
      <c r="U10" s="662">
        <f t="shared" si="1"/>
        <v>100</v>
      </c>
      <c r="V10" s="661" t="s">
        <v>14</v>
      </c>
      <c r="W10" s="662">
        <f t="shared" si="2"/>
        <v>100</v>
      </c>
      <c r="X10" s="663"/>
      <c r="Y10" s="3322"/>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4"/>
      <c r="M11" s="2480"/>
      <c r="N11" s="2480"/>
      <c r="O11" s="2480"/>
      <c r="P11" s="3422"/>
      <c r="Q11" s="528">
        <f t="shared" si="6"/>
        <v>111</v>
      </c>
      <c r="R11" s="661" t="s">
        <v>14</v>
      </c>
      <c r="S11" s="662">
        <f t="shared" si="0"/>
        <v>100</v>
      </c>
      <c r="T11" s="661" t="s">
        <v>14</v>
      </c>
      <c r="U11" s="662">
        <f t="shared" si="1"/>
        <v>100</v>
      </c>
      <c r="V11" s="661" t="s">
        <v>14</v>
      </c>
      <c r="W11" s="662">
        <f t="shared" si="2"/>
        <v>100</v>
      </c>
      <c r="X11" s="663"/>
      <c r="Y11" s="3322"/>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1"/>
      <c r="M12" s="2433"/>
      <c r="N12" s="2433"/>
      <c r="O12" s="2433"/>
      <c r="P12" s="3422"/>
      <c r="Q12" s="528">
        <f t="shared" si="6"/>
        <v>111</v>
      </c>
      <c r="R12" s="661" t="s">
        <v>14</v>
      </c>
      <c r="S12" s="662">
        <f t="shared" si="0"/>
        <v>100</v>
      </c>
      <c r="T12" s="661" t="s">
        <v>14</v>
      </c>
      <c r="U12" s="662">
        <f t="shared" si="1"/>
        <v>100</v>
      </c>
      <c r="V12" s="661" t="s">
        <v>14</v>
      </c>
      <c r="W12" s="662">
        <f t="shared" si="2"/>
        <v>100</v>
      </c>
      <c r="X12" s="663"/>
      <c r="Y12" s="3322"/>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5"/>
      <c r="M13" s="2480"/>
      <c r="N13" s="2480"/>
      <c r="O13" s="2480"/>
      <c r="P13" s="3422"/>
      <c r="Q13" s="528">
        <f t="shared" si="6"/>
        <v>111</v>
      </c>
      <c r="R13" s="661" t="s">
        <v>14</v>
      </c>
      <c r="S13" s="662">
        <f t="shared" si="0"/>
        <v>100</v>
      </c>
      <c r="T13" s="661" t="s">
        <v>14</v>
      </c>
      <c r="U13" s="662">
        <f t="shared" si="1"/>
        <v>100</v>
      </c>
      <c r="V13" s="661" t="s">
        <v>14</v>
      </c>
      <c r="W13" s="662">
        <f t="shared" si="2"/>
        <v>100</v>
      </c>
      <c r="X13" s="663"/>
      <c r="Y13" s="3322"/>
      <c r="Z13" s="50">
        <f t="shared" si="7"/>
        <v>111</v>
      </c>
      <c r="AA13" s="50">
        <f t="shared" si="3"/>
        <v>1</v>
      </c>
      <c r="AB13" s="50">
        <f t="shared" si="4"/>
        <v>1</v>
      </c>
      <c r="AC13" s="50">
        <f t="shared" si="5"/>
        <v>1</v>
      </c>
    </row>
    <row r="14" spans="1:29" ht="15">
      <c r="A14" s="343" t="s">
        <v>1690</v>
      </c>
      <c r="B14" s="552" t="s">
        <v>1833</v>
      </c>
      <c r="C14" s="1815" t="str">
        <f>IF(B1="工业",估价对象房地状况!G4,估价对象房地状况!C6)</f>
        <v>一般</v>
      </c>
      <c r="D14" s="378">
        <v>100</v>
      </c>
      <c r="E14" s="379"/>
      <c r="F14" s="380">
        <f>SUMIF(63:63,E15,64:64)-SUMIF(63:63,C15,64:64)+100</f>
        <v>100</v>
      </c>
      <c r="G14" s="381"/>
      <c r="H14" s="378">
        <f>SUMIF(63:63,G15,64:64)-SUMIF(63:63,C15,64:64)+100</f>
        <v>100</v>
      </c>
      <c r="I14" s="379"/>
      <c r="J14" s="378">
        <f>SUMIF(63:63,I15,64:64)-SUMIF(63:63,C15,64:64)+100</f>
        <v>100</v>
      </c>
      <c r="K14" s="538">
        <f>'比较法-住宅'!K17</f>
        <v>2</v>
      </c>
      <c r="L14" s="2485"/>
      <c r="M14" s="2480"/>
      <c r="N14" s="2480"/>
      <c r="O14" s="2480"/>
      <c r="P14" s="3423" t="s">
        <v>1691</v>
      </c>
      <c r="Q14" s="1260" t="str">
        <f t="shared" si="6"/>
        <v>交通便捷度</v>
      </c>
      <c r="R14" s="664" t="s">
        <v>14</v>
      </c>
      <c r="S14" s="665">
        <f t="shared" si="0"/>
        <v>100</v>
      </c>
      <c r="T14" s="664" t="s">
        <v>14</v>
      </c>
      <c r="U14" s="665">
        <f t="shared" si="1"/>
        <v>100</v>
      </c>
      <c r="V14" s="664" t="s">
        <v>14</v>
      </c>
      <c r="W14" s="665">
        <f t="shared" si="2"/>
        <v>100</v>
      </c>
      <c r="X14" s="1262"/>
      <c r="Y14" s="3423" t="s">
        <v>1691</v>
      </c>
      <c r="Z14" s="1261" t="str">
        <f t="shared" si="7"/>
        <v>交通便捷度</v>
      </c>
      <c r="AA14" s="1261">
        <f t="shared" si="3"/>
        <v>1</v>
      </c>
      <c r="AB14" s="1261">
        <f t="shared" si="4"/>
        <v>1</v>
      </c>
      <c r="AC14" s="1261">
        <f t="shared" si="5"/>
        <v>1</v>
      </c>
    </row>
    <row r="15" spans="1:29" ht="15">
      <c r="A15" s="346"/>
      <c r="B15" s="569"/>
      <c r="C15" s="384" t="s">
        <v>4242</v>
      </c>
      <c r="D15" s="385"/>
      <c r="E15" s="384" t="s">
        <v>4242</v>
      </c>
      <c r="F15" s="386"/>
      <c r="G15" s="384" t="s">
        <v>4242</v>
      </c>
      <c r="H15" s="387"/>
      <c r="I15" s="384" t="s">
        <v>4242</v>
      </c>
      <c r="J15" s="385"/>
      <c r="K15" s="539"/>
      <c r="L15" s="2485"/>
      <c r="M15" s="2480"/>
      <c r="N15" s="2480"/>
      <c r="O15" s="2480"/>
      <c r="P15" s="3424"/>
      <c r="Q15" s="1260"/>
      <c r="R15" s="664"/>
      <c r="S15" s="665"/>
      <c r="T15" s="664"/>
      <c r="U15" s="665"/>
      <c r="V15" s="664"/>
      <c r="W15" s="665"/>
      <c r="X15" s="1262"/>
      <c r="Y15" s="3424"/>
      <c r="Z15" s="1261"/>
      <c r="AA15" s="1261">
        <v>1</v>
      </c>
      <c r="AB15" s="1261">
        <v>1</v>
      </c>
      <c r="AC15" s="1261">
        <v>1</v>
      </c>
    </row>
    <row r="16" spans="1:29" ht="15">
      <c r="A16" s="346"/>
      <c r="B16" s="554" t="s">
        <v>1812</v>
      </c>
      <c r="C16" s="1750" t="str">
        <f>IF(B1="工业",估价对象房地状况!G5,估价对象房地状况!C7)</f>
        <v>一般</v>
      </c>
      <c r="D16" s="392">
        <v>100</v>
      </c>
      <c r="E16" s="394"/>
      <c r="F16" s="395">
        <f>SUMIF(65:65,E17,66:66)-SUMIF(65:65,C17,66:66)+100</f>
        <v>100</v>
      </c>
      <c r="G16" s="394"/>
      <c r="H16" s="392">
        <f>SUMIF(65:65,G17,66:66)-SUMIF(65:65,C17,66:66)+100</f>
        <v>100</v>
      </c>
      <c r="I16" s="394"/>
      <c r="J16" s="392">
        <f>SUMIF(65:65,I17,66:66)-SUMIF(65:65,C17,66:66)+100</f>
        <v>100</v>
      </c>
      <c r="K16" s="538">
        <f>'比较法-住宅'!K19</f>
        <v>2</v>
      </c>
      <c r="L16" s="2485"/>
      <c r="M16" s="2480"/>
      <c r="N16" s="2480"/>
      <c r="O16" s="2480"/>
      <c r="P16" s="3424"/>
      <c r="Q16" s="1260" t="str">
        <f>B16</f>
        <v>公共配套设施</v>
      </c>
      <c r="R16" s="664" t="s">
        <v>14</v>
      </c>
      <c r="S16" s="665">
        <f>F16</f>
        <v>100</v>
      </c>
      <c r="T16" s="664" t="s">
        <v>14</v>
      </c>
      <c r="U16" s="665">
        <f>H16</f>
        <v>100</v>
      </c>
      <c r="V16" s="664" t="s">
        <v>14</v>
      </c>
      <c r="W16" s="665">
        <f>J16</f>
        <v>100</v>
      </c>
      <c r="X16" s="1262"/>
      <c r="Y16" s="3424"/>
      <c r="Z16" s="1261" t="str">
        <f>Q16</f>
        <v>公共配套设施</v>
      </c>
      <c r="AA16" s="1261">
        <f t="shared" si="3"/>
        <v>1</v>
      </c>
      <c r="AB16" s="1261">
        <f t="shared" si="4"/>
        <v>1</v>
      </c>
      <c r="AC16" s="1261">
        <f t="shared" si="5"/>
        <v>1</v>
      </c>
    </row>
    <row r="17" spans="1:29" ht="15">
      <c r="A17" s="346"/>
      <c r="B17" s="399"/>
      <c r="C17" s="1751" t="s">
        <v>4242</v>
      </c>
      <c r="D17" s="385"/>
      <c r="E17" s="384" t="s">
        <v>4242</v>
      </c>
      <c r="F17" s="386"/>
      <c r="G17" s="384" t="s">
        <v>4242</v>
      </c>
      <c r="H17" s="385"/>
      <c r="I17" s="384" t="s">
        <v>4242</v>
      </c>
      <c r="J17" s="385"/>
      <c r="K17" s="539"/>
      <c r="L17" s="2485"/>
      <c r="M17" s="2480"/>
      <c r="N17" s="2480"/>
      <c r="O17" s="2480"/>
      <c r="P17" s="3424"/>
      <c r="Q17" s="1260"/>
      <c r="R17" s="664"/>
      <c r="S17" s="665"/>
      <c r="T17" s="664"/>
      <c r="U17" s="665"/>
      <c r="V17" s="664"/>
      <c r="W17" s="665"/>
      <c r="X17" s="1262"/>
      <c r="Y17" s="3424"/>
      <c r="Z17" s="1261"/>
      <c r="AA17" s="1261">
        <v>1</v>
      </c>
      <c r="AB17" s="1261">
        <v>1</v>
      </c>
      <c r="AC17" s="1261">
        <v>1</v>
      </c>
    </row>
    <row r="18" spans="1:29" ht="15">
      <c r="A18" s="346"/>
      <c r="B18" s="555" t="s">
        <v>1813</v>
      </c>
      <c r="C18" s="1750" t="str">
        <f>IF(B1="工业",估价对象房地状况!G6,估价对象房地状况!C8)</f>
        <v>七通</v>
      </c>
      <c r="D18" s="387">
        <v>100</v>
      </c>
      <c r="E18" s="389"/>
      <c r="F18" s="395">
        <f>SUMIF(67:67,E19,68:68)-SUMIF(67:67,C19,68:68)+100</f>
        <v>100</v>
      </c>
      <c r="G18" s="389"/>
      <c r="H18" s="392">
        <f>SUMIF(67:67,G19,68:68)-SUMIF(67:67,C19,68:68)+100</f>
        <v>100</v>
      </c>
      <c r="I18" s="389"/>
      <c r="J18" s="392">
        <f>SUMIF(67:67,I19,68:68)-SUMIF(67:67,C19,68:68)+100</f>
        <v>100</v>
      </c>
      <c r="K18" s="538">
        <v>1</v>
      </c>
      <c r="L18" s="2485"/>
      <c r="M18" s="2480"/>
      <c r="N18" s="2480"/>
      <c r="O18" s="2480"/>
      <c r="P18" s="3424"/>
      <c r="Q18" s="1260" t="str">
        <f>B18</f>
        <v>基础设施水平</v>
      </c>
      <c r="R18" s="664" t="s">
        <v>14</v>
      </c>
      <c r="S18" s="665">
        <f>F18</f>
        <v>100</v>
      </c>
      <c r="T18" s="664" t="s">
        <v>14</v>
      </c>
      <c r="U18" s="665">
        <f>H18</f>
        <v>100</v>
      </c>
      <c r="V18" s="664" t="s">
        <v>14</v>
      </c>
      <c r="W18" s="665">
        <f>J18</f>
        <v>100</v>
      </c>
      <c r="X18" s="1262"/>
      <c r="Y18" s="3424"/>
      <c r="Z18" s="1261" t="str">
        <f>Q18</f>
        <v>基础设施水平</v>
      </c>
      <c r="AA18" s="1261">
        <f t="shared" ref="AA18" si="8">D18/F18</f>
        <v>1</v>
      </c>
      <c r="AB18" s="1261">
        <f t="shared" ref="AB18" si="9">D18/H18</f>
        <v>1</v>
      </c>
      <c r="AC18" s="1261">
        <f t="shared" ref="AC18" si="10">D18/J18</f>
        <v>1</v>
      </c>
    </row>
    <row r="19" spans="1:29" ht="15">
      <c r="A19" s="346"/>
      <c r="B19" s="555"/>
      <c r="C19" s="1751" t="s">
        <v>4236</v>
      </c>
      <c r="D19" s="387"/>
      <c r="E19" s="1751" t="s">
        <v>4236</v>
      </c>
      <c r="F19" s="390"/>
      <c r="G19" s="1751" t="s">
        <v>4236</v>
      </c>
      <c r="H19" s="385"/>
      <c r="I19" s="1751" t="s">
        <v>4236</v>
      </c>
      <c r="J19" s="385"/>
      <c r="K19" s="1061"/>
      <c r="L19" s="2485"/>
      <c r="M19" s="2480"/>
      <c r="N19" s="2480"/>
      <c r="O19" s="2480"/>
      <c r="P19" s="3424"/>
      <c r="Q19" s="1260"/>
      <c r="R19" s="664"/>
      <c r="S19" s="665"/>
      <c r="T19" s="664"/>
      <c r="U19" s="665"/>
      <c r="V19" s="664"/>
      <c r="W19" s="665"/>
      <c r="X19" s="1262"/>
      <c r="Y19" s="3424"/>
      <c r="Z19" s="1261"/>
      <c r="AA19" s="1261">
        <v>1</v>
      </c>
      <c r="AB19" s="1261">
        <v>1</v>
      </c>
      <c r="AC19" s="1261">
        <v>1</v>
      </c>
    </row>
    <row r="20" spans="1:29" ht="15">
      <c r="A20" s="346"/>
      <c r="B20" s="554" t="s">
        <v>1834</v>
      </c>
      <c r="C20" s="1750" t="str">
        <f>IF(B1="工业",估价对象房地状况!G7,估价对象房地状况!C9)</f>
        <v>一般</v>
      </c>
      <c r="D20" s="392">
        <v>100</v>
      </c>
      <c r="E20" s="394"/>
      <c r="F20" s="395">
        <f>SUMIF(69:69,E21,70:70)-SUMIF(69:69,C21,70:70)+100</f>
        <v>100</v>
      </c>
      <c r="G20" s="396"/>
      <c r="H20" s="387">
        <f>SUMIF(69:69,G21,70:70)-SUMIF(69:69,C21,70:70)+100</f>
        <v>100</v>
      </c>
      <c r="I20" s="389"/>
      <c r="J20" s="387">
        <f>SUMIF(69:69,I21,70:70)-SUMIF(69:69,C21,70:70)+100</f>
        <v>100</v>
      </c>
      <c r="K20" s="538">
        <f>'比较法-住宅'!K23</f>
        <v>2</v>
      </c>
      <c r="L20" s="2485"/>
      <c r="M20" s="2480"/>
      <c r="N20" s="2480"/>
      <c r="O20" s="2480"/>
      <c r="P20" s="3424"/>
      <c r="Q20" s="1260" t="str">
        <f>B20</f>
        <v>自然及人文环境</v>
      </c>
      <c r="R20" s="664" t="s">
        <v>14</v>
      </c>
      <c r="S20" s="665">
        <f>F20</f>
        <v>100</v>
      </c>
      <c r="T20" s="664" t="s">
        <v>14</v>
      </c>
      <c r="U20" s="665">
        <f>H20</f>
        <v>100</v>
      </c>
      <c r="V20" s="664" t="s">
        <v>14</v>
      </c>
      <c r="W20" s="665">
        <f>J20</f>
        <v>100</v>
      </c>
      <c r="X20" s="1262"/>
      <c r="Y20" s="3424"/>
      <c r="Z20" s="1261" t="str">
        <f>Q20</f>
        <v>自然及人文环境</v>
      </c>
      <c r="AA20" s="1261">
        <f t="shared" si="3"/>
        <v>1</v>
      </c>
      <c r="AB20" s="1261">
        <f t="shared" si="4"/>
        <v>1</v>
      </c>
      <c r="AC20" s="1261">
        <f t="shared" si="5"/>
        <v>1</v>
      </c>
    </row>
    <row r="21" spans="1:29" ht="15">
      <c r="A21" s="346"/>
      <c r="B21" s="399"/>
      <c r="C21" s="384" t="s">
        <v>4242</v>
      </c>
      <c r="D21" s="385"/>
      <c r="E21" s="384" t="s">
        <v>4242</v>
      </c>
      <c r="F21" s="386"/>
      <c r="G21" s="384" t="s">
        <v>4242</v>
      </c>
      <c r="H21" s="385"/>
      <c r="I21" s="384" t="s">
        <v>4242</v>
      </c>
      <c r="J21" s="385"/>
      <c r="K21" s="539"/>
      <c r="L21" s="2485"/>
      <c r="M21" s="2480"/>
      <c r="N21" s="2480"/>
      <c r="O21" s="2480"/>
      <c r="P21" s="3424"/>
      <c r="Q21" s="1260"/>
      <c r="R21" s="664"/>
      <c r="S21" s="665"/>
      <c r="T21" s="664"/>
      <c r="U21" s="665"/>
      <c r="V21" s="664"/>
      <c r="W21" s="665"/>
      <c r="X21" s="1262"/>
      <c r="Y21" s="3424"/>
      <c r="Z21" s="1261"/>
      <c r="AA21" s="1261">
        <v>1</v>
      </c>
      <c r="AB21" s="1261">
        <v>1</v>
      </c>
      <c r="AC21" s="1261">
        <v>1</v>
      </c>
    </row>
    <row r="22" spans="1:29" ht="15">
      <c r="A22" s="346"/>
      <c r="B22" s="554" t="s">
        <v>1835</v>
      </c>
      <c r="C22" s="540" t="s">
        <v>4015</v>
      </c>
      <c r="D22" s="387">
        <v>100</v>
      </c>
      <c r="E22" s="540" t="s">
        <v>4015</v>
      </c>
      <c r="F22" s="398">
        <f>SUMIF(71:71,E22,72:72)-SUMIF(71:71,C22,72:72)+100</f>
        <v>100</v>
      </c>
      <c r="G22" s="540" t="s">
        <v>4015</v>
      </c>
      <c r="H22" s="372">
        <f>SUMIF(71:71,G22,72:72)-SUMIF(71:71,C22,72:72)+100</f>
        <v>100</v>
      </c>
      <c r="I22" s="540" t="s">
        <v>4015</v>
      </c>
      <c r="J22" s="372">
        <f>SUMIF(71:71,I22,72:72)-SUMIF(71:71,C22,72:72)+100</f>
        <v>100</v>
      </c>
      <c r="K22" s="536"/>
      <c r="L22" s="2485"/>
      <c r="M22" s="2480"/>
      <c r="N22" s="2480"/>
      <c r="O22" s="2480"/>
      <c r="P22" s="3424"/>
      <c r="Q22" s="1260" t="str">
        <f>B22</f>
        <v>楼层</v>
      </c>
      <c r="R22" s="664" t="s">
        <v>14</v>
      </c>
      <c r="S22" s="665">
        <f>F22</f>
        <v>100</v>
      </c>
      <c r="T22" s="664" t="s">
        <v>14</v>
      </c>
      <c r="U22" s="665">
        <f>H22</f>
        <v>100</v>
      </c>
      <c r="V22" s="664" t="s">
        <v>14</v>
      </c>
      <c r="W22" s="665">
        <f>J22</f>
        <v>100</v>
      </c>
      <c r="X22" s="1262"/>
      <c r="Y22" s="3424"/>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5"/>
      <c r="M23" s="2480"/>
      <c r="N23" s="2480"/>
      <c r="O23" s="2480"/>
      <c r="P23" s="3424"/>
      <c r="Q23" s="1260">
        <f>B23</f>
        <v>111</v>
      </c>
      <c r="R23" s="664" t="s">
        <v>14</v>
      </c>
      <c r="S23" s="665">
        <f>F23</f>
        <v>100</v>
      </c>
      <c r="T23" s="664" t="s">
        <v>14</v>
      </c>
      <c r="U23" s="665">
        <f>H23</f>
        <v>100</v>
      </c>
      <c r="V23" s="664" t="s">
        <v>14</v>
      </c>
      <c r="W23" s="665">
        <f>J23</f>
        <v>100</v>
      </c>
      <c r="X23" s="1262"/>
      <c r="Y23" s="3424"/>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5"/>
      <c r="M24" s="2480"/>
      <c r="N24" s="2480"/>
      <c r="O24" s="2480"/>
      <c r="P24" s="3424"/>
      <c r="Q24" s="1260">
        <f t="shared" ref="Q24:Q36" si="11">B24</f>
        <v>111</v>
      </c>
      <c r="R24" s="664" t="s">
        <v>14</v>
      </c>
      <c r="S24" s="665">
        <f>F24</f>
        <v>100</v>
      </c>
      <c r="T24" s="664" t="s">
        <v>14</v>
      </c>
      <c r="U24" s="665">
        <f>H24</f>
        <v>100</v>
      </c>
      <c r="V24" s="664" t="s">
        <v>14</v>
      </c>
      <c r="W24" s="665">
        <f>J24</f>
        <v>100</v>
      </c>
      <c r="X24" s="1262"/>
      <c r="Y24" s="3424"/>
      <c r="Z24" s="1261">
        <f>Q24</f>
        <v>111</v>
      </c>
      <c r="AA24" s="1261">
        <f t="shared" si="3"/>
        <v>1</v>
      </c>
      <c r="AB24" s="1261">
        <f t="shared" si="4"/>
        <v>1</v>
      </c>
      <c r="AC24" s="1261">
        <f t="shared" si="5"/>
        <v>1</v>
      </c>
    </row>
    <row r="25" spans="1:29" s="101"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1"/>
      <c r="M25" s="2433"/>
      <c r="N25" s="2433"/>
      <c r="O25" s="2433"/>
      <c r="P25" s="3424"/>
      <c r="Q25" s="528">
        <f t="shared" si="11"/>
        <v>111</v>
      </c>
      <c r="R25" s="661" t="s">
        <v>14</v>
      </c>
      <c r="S25" s="662">
        <f>F25</f>
        <v>100</v>
      </c>
      <c r="T25" s="661" t="s">
        <v>14</v>
      </c>
      <c r="U25" s="662">
        <f>H25</f>
        <v>100</v>
      </c>
      <c r="V25" s="661" t="s">
        <v>14</v>
      </c>
      <c r="W25" s="662">
        <f>J25</f>
        <v>100</v>
      </c>
      <c r="X25" s="663"/>
      <c r="Y25" s="3424"/>
      <c r="Z25" s="50">
        <f>Q25</f>
        <v>111</v>
      </c>
      <c r="AA25" s="1261">
        <f>D25/F25</f>
        <v>1</v>
      </c>
      <c r="AB25" s="1261">
        <f>D25/H25</f>
        <v>1</v>
      </c>
      <c r="AC25" s="1261">
        <f>D25/J25</f>
        <v>1</v>
      </c>
    </row>
    <row r="26" spans="1:29" ht="28.5">
      <c r="A26" s="572" t="s">
        <v>1694</v>
      </c>
      <c r="B26" s="58" t="s">
        <v>1836</v>
      </c>
      <c r="C26" s="1816" t="str">
        <f>B1</f>
        <v>车库</v>
      </c>
      <c r="D26" s="385">
        <v>100</v>
      </c>
      <c r="E26" s="384" t="s">
        <v>3330</v>
      </c>
      <c r="F26" s="386">
        <f>SUMIF(79:79,E26,80:80)-SUMIF(79:79,C26,80:80)+100</f>
        <v>100</v>
      </c>
      <c r="G26" s="384" t="s">
        <v>3330</v>
      </c>
      <c r="H26" s="385">
        <f>SUMIF(79:79,G26,80:80)-SUMIF(79:79,C26,80:80)+100</f>
        <v>100</v>
      </c>
      <c r="I26" s="384" t="s">
        <v>3330</v>
      </c>
      <c r="J26" s="385">
        <f>SUMIF(79:79,I26,80:80)-SUMIF(79:79,C26,80:80)+100</f>
        <v>100</v>
      </c>
      <c r="K26" s="536">
        <v>2</v>
      </c>
      <c r="L26" s="2485"/>
      <c r="M26" s="2480"/>
      <c r="N26" s="2480"/>
      <c r="O26" s="2480"/>
      <c r="P26" s="3425" t="s">
        <v>1696</v>
      </c>
      <c r="Q26" s="1260" t="str">
        <f t="shared" si="11"/>
        <v>配套类型</v>
      </c>
      <c r="R26" s="664" t="s">
        <v>14</v>
      </c>
      <c r="S26" s="665">
        <f t="shared" ref="S26:S36" si="12">F26</f>
        <v>100</v>
      </c>
      <c r="T26" s="664" t="s">
        <v>14</v>
      </c>
      <c r="U26" s="665">
        <f t="shared" ref="U26:U36" si="13">H26</f>
        <v>100</v>
      </c>
      <c r="V26" s="664" t="s">
        <v>14</v>
      </c>
      <c r="W26" s="665">
        <f t="shared" ref="W26:W36" si="14">J26</f>
        <v>100</v>
      </c>
      <c r="X26" s="1262"/>
      <c r="Y26" s="3426" t="s">
        <v>1696</v>
      </c>
      <c r="Z26" s="1261" t="str">
        <f t="shared" ref="Z26:Z36" si="15">Q26</f>
        <v>配套类型</v>
      </c>
      <c r="AA26" s="1261">
        <f t="shared" si="3"/>
        <v>1</v>
      </c>
      <c r="AB26" s="1261">
        <f t="shared" si="4"/>
        <v>1</v>
      </c>
      <c r="AC26" s="1261">
        <f t="shared" si="5"/>
        <v>1</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4"/>
      <c r="M27" s="2486"/>
      <c r="N27" s="2486"/>
      <c r="O27" s="2486"/>
      <c r="P27" s="3426"/>
      <c r="Q27" s="529" t="str">
        <f t="shared" si="11"/>
        <v>项目停车位配比</v>
      </c>
      <c r="R27" s="666" t="s">
        <v>14</v>
      </c>
      <c r="S27" s="667">
        <f t="shared" si="12"/>
        <v>100</v>
      </c>
      <c r="T27" s="666" t="s">
        <v>14</v>
      </c>
      <c r="U27" s="667">
        <f t="shared" si="13"/>
        <v>100</v>
      </c>
      <c r="V27" s="666" t="s">
        <v>14</v>
      </c>
      <c r="W27" s="667">
        <f t="shared" si="14"/>
        <v>100</v>
      </c>
      <c r="X27" s="668"/>
      <c r="Y27" s="3426"/>
      <c r="Z27" s="669"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5"/>
      <c r="M28" s="2480"/>
      <c r="N28" s="2480"/>
      <c r="O28" s="2480"/>
      <c r="P28" s="3426"/>
      <c r="Q28" s="1260" t="str">
        <f t="shared" si="11"/>
        <v>公共部分装修</v>
      </c>
      <c r="R28" s="664" t="s">
        <v>14</v>
      </c>
      <c r="S28" s="665">
        <f t="shared" si="12"/>
        <v>100</v>
      </c>
      <c r="T28" s="664" t="s">
        <v>14</v>
      </c>
      <c r="U28" s="665">
        <f t="shared" si="13"/>
        <v>100</v>
      </c>
      <c r="V28" s="664" t="s">
        <v>14</v>
      </c>
      <c r="W28" s="665">
        <f t="shared" si="14"/>
        <v>100</v>
      </c>
      <c r="X28" s="1262"/>
      <c r="Y28" s="3426"/>
      <c r="Z28" s="1261" t="str">
        <f t="shared" si="15"/>
        <v>公共部分装修</v>
      </c>
      <c r="AA28" s="1261">
        <f t="shared" si="3"/>
        <v>1</v>
      </c>
      <c r="AB28" s="1261">
        <f t="shared" si="4"/>
        <v>1</v>
      </c>
      <c r="AC28" s="1261">
        <f t="shared" si="5"/>
        <v>1</v>
      </c>
    </row>
    <row r="29" spans="1:29" ht="15">
      <c r="A29" s="575"/>
      <c r="B29" s="117" t="s">
        <v>1839</v>
      </c>
      <c r="C29" s="409">
        <v>1</v>
      </c>
      <c r="D29" s="372">
        <v>100</v>
      </c>
      <c r="E29" s="409">
        <v>1</v>
      </c>
      <c r="F29" s="398">
        <f>LOOKUP(E29,86:86,87:87)-LOOKUP(C29,86:86,87:87)+100</f>
        <v>100</v>
      </c>
      <c r="G29" s="409">
        <v>1</v>
      </c>
      <c r="H29" s="398">
        <f>LOOKUP(G29,86:86,87:87)-LOOKUP(C29,86:86,87:87)+100</f>
        <v>100</v>
      </c>
      <c r="I29" s="409">
        <v>1</v>
      </c>
      <c r="J29" s="372">
        <f>LOOKUP(I29,86:86,87:87)-LOOKUP(C29,86:86,87:87)+100</f>
        <v>100</v>
      </c>
      <c r="K29" s="536">
        <v>1</v>
      </c>
      <c r="L29" s="2485"/>
      <c r="M29" s="2480"/>
      <c r="N29" s="2480"/>
      <c r="O29" s="2480"/>
      <c r="P29" s="3426"/>
      <c r="Q29" s="1260" t="str">
        <f t="shared" si="11"/>
        <v>成新率</v>
      </c>
      <c r="R29" s="664" t="s">
        <v>14</v>
      </c>
      <c r="S29" s="665">
        <f t="shared" si="12"/>
        <v>100</v>
      </c>
      <c r="T29" s="664" t="s">
        <v>14</v>
      </c>
      <c r="U29" s="665">
        <f t="shared" si="13"/>
        <v>100</v>
      </c>
      <c r="V29" s="664" t="s">
        <v>14</v>
      </c>
      <c r="W29" s="665">
        <f t="shared" si="14"/>
        <v>100</v>
      </c>
      <c r="X29" s="1262"/>
      <c r="Y29" s="3426"/>
      <c r="Z29" s="1261" t="str">
        <f t="shared" si="15"/>
        <v>成新率</v>
      </c>
      <c r="AA29" s="1261">
        <f t="shared" si="3"/>
        <v>1</v>
      </c>
      <c r="AB29" s="1261">
        <f t="shared" si="4"/>
        <v>1</v>
      </c>
      <c r="AC29" s="1261">
        <f t="shared" si="5"/>
        <v>1</v>
      </c>
    </row>
    <row r="30" spans="1:29" ht="15">
      <c r="A30" s="575"/>
      <c r="B30" s="117" t="s">
        <v>1840</v>
      </c>
      <c r="C30" s="576" t="s">
        <v>4259</v>
      </c>
      <c r="D30" s="372">
        <v>100</v>
      </c>
      <c r="E30" s="576" t="s">
        <v>4259</v>
      </c>
      <c r="F30" s="398">
        <f>SUMIF(88:88,E30,89:89)-SUMIF(88:88,C30,89:89)+100</f>
        <v>100</v>
      </c>
      <c r="G30" s="576" t="s">
        <v>4259</v>
      </c>
      <c r="H30" s="372">
        <f>SUMIF(88:88,E30,89:89)-SUMIF(88:88,C30,89:89)+100</f>
        <v>100</v>
      </c>
      <c r="I30" s="576" t="s">
        <v>4259</v>
      </c>
      <c r="J30" s="372">
        <f>SUMIF(88:88,E30,89:89)-SUMIF(88:88,C30,89:89)+100</f>
        <v>100</v>
      </c>
      <c r="K30" s="536">
        <v>2</v>
      </c>
      <c r="L30" s="2485"/>
      <c r="M30" s="2480"/>
      <c r="N30" s="2480"/>
      <c r="O30" s="2480"/>
      <c r="P30" s="3426"/>
      <c r="Q30" s="1260" t="str">
        <f t="shared" si="11"/>
        <v>物业等级</v>
      </c>
      <c r="R30" s="664" t="s">
        <v>14</v>
      </c>
      <c r="S30" s="665">
        <f t="shared" si="12"/>
        <v>100</v>
      </c>
      <c r="T30" s="664" t="s">
        <v>14</v>
      </c>
      <c r="U30" s="665">
        <f t="shared" si="13"/>
        <v>100</v>
      </c>
      <c r="V30" s="664" t="s">
        <v>14</v>
      </c>
      <c r="W30" s="665">
        <f t="shared" si="14"/>
        <v>100</v>
      </c>
      <c r="X30" s="1262"/>
      <c r="Y30" s="3426"/>
      <c r="Z30" s="1261" t="str">
        <f t="shared" si="15"/>
        <v>物业等级</v>
      </c>
      <c r="AA30" s="1261">
        <f t="shared" si="3"/>
        <v>1</v>
      </c>
      <c r="AB30" s="1261">
        <f t="shared" si="4"/>
        <v>1</v>
      </c>
      <c r="AC30" s="1261">
        <f t="shared" si="5"/>
        <v>1</v>
      </c>
    </row>
    <row r="31" spans="1:29" s="101" customFormat="1" ht="15">
      <c r="A31" s="577"/>
      <c r="B31" s="117" t="s">
        <v>1841</v>
      </c>
      <c r="C31" s="3178">
        <f>面积!C679</f>
        <v>32.61</v>
      </c>
      <c r="D31" s="117">
        <v>100</v>
      </c>
      <c r="E31" s="405">
        <v>32.659999999999997</v>
      </c>
      <c r="F31" s="398">
        <f>LOOKUP(E31,91:91,92:92)-LOOKUP(C31,91:91,92:92)+100</f>
        <v>100</v>
      </c>
      <c r="G31" s="405">
        <v>29.21</v>
      </c>
      <c r="H31" s="372">
        <f>LOOKUP(G31,91:91,92:92)-LOOKUP(C31,91:91,92:92)+100</f>
        <v>100</v>
      </c>
      <c r="I31" s="405">
        <v>35.36</v>
      </c>
      <c r="J31" s="372">
        <f>LOOKUP(I31,91:91,92:92)-LOOKUP(C31,91:91,92:92)+100</f>
        <v>100</v>
      </c>
      <c r="K31" s="536">
        <v>1</v>
      </c>
      <c r="L31" s="2481"/>
      <c r="M31" s="2433"/>
      <c r="N31" s="2433"/>
      <c r="O31" s="2433"/>
      <c r="P31" s="3426"/>
      <c r="Q31" s="528" t="str">
        <f t="shared" si="11"/>
        <v>停车位面积</v>
      </c>
      <c r="R31" s="661" t="s">
        <v>14</v>
      </c>
      <c r="S31" s="662">
        <f t="shared" si="12"/>
        <v>100</v>
      </c>
      <c r="T31" s="661" t="s">
        <v>14</v>
      </c>
      <c r="U31" s="662">
        <f t="shared" si="13"/>
        <v>100</v>
      </c>
      <c r="V31" s="661" t="s">
        <v>14</v>
      </c>
      <c r="W31" s="662">
        <f t="shared" si="14"/>
        <v>100</v>
      </c>
      <c r="X31" s="663"/>
      <c r="Y31" s="3426"/>
      <c r="Z31" s="50" t="str">
        <f t="shared" si="15"/>
        <v>停车位面积</v>
      </c>
      <c r="AA31" s="50">
        <f t="shared" si="3"/>
        <v>1</v>
      </c>
      <c r="AB31" s="50">
        <f t="shared" si="4"/>
        <v>1</v>
      </c>
      <c r="AC31" s="50">
        <f t="shared" si="5"/>
        <v>1</v>
      </c>
    </row>
    <row r="32" spans="1:29" ht="15">
      <c r="A32" s="575"/>
      <c r="B32" s="117" t="s">
        <v>1842</v>
      </c>
      <c r="C32" s="397" t="s">
        <v>4299</v>
      </c>
      <c r="D32" s="372">
        <v>100</v>
      </c>
      <c r="E32" s="397" t="s">
        <v>4299</v>
      </c>
      <c r="F32" s="398">
        <f>SUMIF(93:93,E32,94:94)-SUMIF(93:93,C32,94:94)+100</f>
        <v>100</v>
      </c>
      <c r="G32" s="397" t="s">
        <v>4299</v>
      </c>
      <c r="H32" s="372">
        <f>SUMIF(93:93,G32,94:94)-SUMIF(93:93,C32,94:94)+100</f>
        <v>100</v>
      </c>
      <c r="I32" s="397" t="s">
        <v>4299</v>
      </c>
      <c r="J32" s="372">
        <f>SUMIF(93:93,I32,94:94)-SUMIF(93:93,C32,94:94)+100</f>
        <v>100</v>
      </c>
      <c r="K32" s="536">
        <v>2</v>
      </c>
      <c r="L32" s="2485"/>
      <c r="M32" s="2480"/>
      <c r="N32" s="2480"/>
      <c r="O32" s="2480"/>
      <c r="P32" s="3426" t="s">
        <v>1696</v>
      </c>
      <c r="Q32" s="1260" t="str">
        <f t="shared" si="11"/>
        <v>车位类型</v>
      </c>
      <c r="R32" s="664" t="s">
        <v>14</v>
      </c>
      <c r="S32" s="665">
        <f t="shared" si="12"/>
        <v>100</v>
      </c>
      <c r="T32" s="664" t="s">
        <v>14</v>
      </c>
      <c r="U32" s="665">
        <f t="shared" si="13"/>
        <v>100</v>
      </c>
      <c r="V32" s="664" t="s">
        <v>14</v>
      </c>
      <c r="W32" s="665">
        <f t="shared" si="14"/>
        <v>100</v>
      </c>
      <c r="X32" s="1262"/>
      <c r="Y32" s="3426"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5"/>
      <c r="M33" s="2480"/>
      <c r="N33" s="2480"/>
      <c r="O33" s="2480"/>
      <c r="P33" s="3426"/>
      <c r="Q33" s="1260" t="str">
        <f t="shared" si="11"/>
        <v>是否直接入户</v>
      </c>
      <c r="R33" s="664" t="s">
        <v>14</v>
      </c>
      <c r="S33" s="665">
        <f t="shared" si="12"/>
        <v>100</v>
      </c>
      <c r="T33" s="664" t="s">
        <v>14</v>
      </c>
      <c r="U33" s="665">
        <f t="shared" si="13"/>
        <v>100</v>
      </c>
      <c r="V33" s="664" t="s">
        <v>14</v>
      </c>
      <c r="W33" s="665">
        <f t="shared" si="14"/>
        <v>100</v>
      </c>
      <c r="X33" s="1262"/>
      <c r="Y33" s="3426"/>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5"/>
      <c r="M34" s="2480"/>
      <c r="N34" s="2480"/>
      <c r="O34" s="2480"/>
      <c r="P34" s="3426"/>
      <c r="Q34" s="1260">
        <f t="shared" si="11"/>
        <v>111</v>
      </c>
      <c r="R34" s="664" t="s">
        <v>14</v>
      </c>
      <c r="S34" s="665">
        <f t="shared" si="12"/>
        <v>100</v>
      </c>
      <c r="T34" s="664" t="s">
        <v>14</v>
      </c>
      <c r="U34" s="665">
        <f t="shared" si="13"/>
        <v>100</v>
      </c>
      <c r="V34" s="664" t="s">
        <v>14</v>
      </c>
      <c r="W34" s="665">
        <f t="shared" si="14"/>
        <v>100</v>
      </c>
      <c r="X34" s="1262"/>
      <c r="Y34" s="3426"/>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4"/>
      <c r="M35" s="2486"/>
      <c r="N35" s="2486"/>
      <c r="O35" s="2486"/>
      <c r="P35" s="3426"/>
      <c r="Q35" s="529">
        <f t="shared" si="11"/>
        <v>111</v>
      </c>
      <c r="R35" s="666" t="s">
        <v>14</v>
      </c>
      <c r="S35" s="667">
        <f t="shared" si="12"/>
        <v>100</v>
      </c>
      <c r="T35" s="666" t="s">
        <v>14</v>
      </c>
      <c r="U35" s="667">
        <f t="shared" si="13"/>
        <v>100</v>
      </c>
      <c r="V35" s="666" t="s">
        <v>14</v>
      </c>
      <c r="W35" s="667">
        <f t="shared" si="14"/>
        <v>100</v>
      </c>
      <c r="X35" s="668"/>
      <c r="Y35" s="3426"/>
      <c r="Z35" s="669">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5"/>
      <c r="M36" s="2480"/>
      <c r="N36" s="2480"/>
      <c r="O36" s="2480"/>
      <c r="P36" s="3426"/>
      <c r="Q36" s="1260">
        <f t="shared" si="11"/>
        <v>111</v>
      </c>
      <c r="R36" s="664" t="s">
        <v>14</v>
      </c>
      <c r="S36" s="665">
        <f t="shared" si="12"/>
        <v>100</v>
      </c>
      <c r="T36" s="664" t="s">
        <v>14</v>
      </c>
      <c r="U36" s="665">
        <f t="shared" si="13"/>
        <v>100</v>
      </c>
      <c r="V36" s="664" t="s">
        <v>14</v>
      </c>
      <c r="W36" s="665">
        <f t="shared" si="14"/>
        <v>100</v>
      </c>
      <c r="X36" s="1262"/>
      <c r="Y36" s="3426"/>
      <c r="Z36" s="1261">
        <f t="shared" si="15"/>
        <v>111</v>
      </c>
      <c r="AA36" s="1261">
        <f t="shared" si="3"/>
        <v>1</v>
      </c>
      <c r="AB36" s="1261">
        <f t="shared" si="4"/>
        <v>1</v>
      </c>
      <c r="AC36" s="1261">
        <f t="shared" si="5"/>
        <v>1</v>
      </c>
    </row>
    <row r="37" spans="1:29" ht="15">
      <c r="A37" s="414" t="s">
        <v>1844</v>
      </c>
      <c r="B37" s="1817" t="s">
        <v>3351</v>
      </c>
      <c r="C37" s="1078" t="s">
        <v>0</v>
      </c>
      <c r="D37" s="416"/>
      <c r="E37" s="417">
        <v>5095</v>
      </c>
      <c r="F37" s="418"/>
      <c r="G37" s="419">
        <v>4804</v>
      </c>
      <c r="H37" s="420"/>
      <c r="I37" s="417">
        <v>5043</v>
      </c>
      <c r="J37" s="420"/>
      <c r="K37" s="543"/>
      <c r="L37" s="2487"/>
      <c r="M37" s="2480"/>
      <c r="N37" s="2480"/>
      <c r="O37" s="2480"/>
      <c r="P37" s="3422" t="str">
        <f>A37</f>
        <v>成交单价</v>
      </c>
      <c r="Q37" s="3422"/>
      <c r="R37" s="3427">
        <f>E37</f>
        <v>5095</v>
      </c>
      <c r="S37" s="3427"/>
      <c r="T37" s="3427">
        <f>G37</f>
        <v>4804</v>
      </c>
      <c r="U37" s="3427"/>
      <c r="V37" s="3427">
        <f>I37</f>
        <v>5043</v>
      </c>
      <c r="W37" s="3427"/>
      <c r="X37" s="383"/>
      <c r="Y37" s="670"/>
      <c r="Z37" s="383"/>
      <c r="AA37" s="383"/>
      <c r="AB37" s="383"/>
      <c r="AC37" s="383"/>
    </row>
    <row r="38" spans="1:29" ht="15.75" thickBot="1">
      <c r="A38" s="421" t="s">
        <v>1845</v>
      </c>
      <c r="B38" s="422" t="str">
        <f>B37</f>
        <v>元/平方米</v>
      </c>
      <c r="C38" s="1079">
        <f>R39</f>
        <v>4981</v>
      </c>
      <c r="D38" s="2137" t="s">
        <v>2137</v>
      </c>
      <c r="E38" s="1080">
        <f>R38</f>
        <v>5095</v>
      </c>
      <c r="F38" s="2138"/>
      <c r="G38" s="1079">
        <f>T38</f>
        <v>4804</v>
      </c>
      <c r="H38" s="2138"/>
      <c r="I38" s="1080">
        <f>V38</f>
        <v>5043</v>
      </c>
      <c r="J38" s="2138"/>
      <c r="K38" s="2140">
        <f>F38+H38+J38</f>
        <v>0</v>
      </c>
      <c r="L38" s="2487"/>
      <c r="M38" s="2480"/>
      <c r="N38" s="2480"/>
      <c r="O38" s="2480"/>
      <c r="P38" s="3422" t="str">
        <f>A38</f>
        <v>比较价值（元/平方米）</v>
      </c>
      <c r="Q38" s="3422"/>
      <c r="R38" s="3427">
        <f>IF(F1="售价",ROUND(PRODUCT(R37,AA7:AA36),0),ROUND(PRODUCT(R37,AA7:AA36),1))</f>
        <v>5095</v>
      </c>
      <c r="S38" s="3427"/>
      <c r="T38" s="3427">
        <f>IF(F1="售价",ROUND(PRODUCT(T37,AB7:AB36),0),ROUND(PRODUCT(T37,AB7:AB36),1))</f>
        <v>4804</v>
      </c>
      <c r="U38" s="3427"/>
      <c r="V38" s="3427">
        <f>IF(F1="售价",ROUND(PRODUCT(V37,AC7:AC36),0),ROUND(PRODUCT(V37,AC7:AC36),1))</f>
        <v>5043</v>
      </c>
      <c r="W38" s="3427"/>
      <c r="X38" s="383"/>
      <c r="Y38" s="383"/>
      <c r="Z38" s="383"/>
      <c r="AA38" s="383"/>
      <c r="AB38" s="383"/>
      <c r="AC38" s="383"/>
    </row>
    <row r="39" spans="1:29" ht="15.75" thickBot="1">
      <c r="A39" s="425" t="s">
        <v>1846</v>
      </c>
      <c r="B39" s="426"/>
      <c r="C39" s="349">
        <f>R39</f>
        <v>4981</v>
      </c>
      <c r="D39" s="349"/>
      <c r="E39" s="349"/>
      <c r="F39" s="349"/>
      <c r="G39" s="349"/>
      <c r="H39" s="349"/>
      <c r="I39" s="349"/>
      <c r="J39" s="349"/>
      <c r="K39" s="544"/>
      <c r="L39" s="2487"/>
      <c r="M39" s="2480"/>
      <c r="N39" s="2480"/>
      <c r="O39" s="2480"/>
      <c r="P39" s="3416" t="str">
        <f>A39</f>
        <v>估价对象XX用房的比较价值（楼面单价，元/平方米）</v>
      </c>
      <c r="Q39" s="3417"/>
      <c r="R39" s="3511">
        <f>IF(F1="售价",ROUND(IF(D38="简单平均",AVERAGE(R38:W38),R38*F38+T38*H38+V38*J38),0),ROUND(IF(D38="简单平均",AVERAGE(R38:V38),R38*F38+T38*H38+V38*J38),1))</f>
        <v>4981</v>
      </c>
      <c r="S39" s="3511"/>
      <c r="T39" s="3511"/>
      <c r="U39" s="3511"/>
      <c r="V39" s="3511"/>
      <c r="W39" s="3511"/>
      <c r="X39" s="383"/>
      <c r="Y39" s="383"/>
      <c r="Z39" s="383"/>
      <c r="AA39" s="383"/>
      <c r="AB39" s="383"/>
      <c r="AC39" s="383"/>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1847</v>
      </c>
      <c r="D42" s="431"/>
      <c r="E42" s="432">
        <f>IF(E37&lt;E38,E38/E37-1,E37/E38-1)</f>
        <v>0</v>
      </c>
      <c r="F42" s="433" t="str">
        <f>IF(OR(E42&gt;=0.3,E42&lt;=-0.3),"超过30%","")</f>
        <v/>
      </c>
      <c r="G42" s="432">
        <f>IF(G37&lt;G38,G38/G37-1,G37/G38-1)</f>
        <v>0</v>
      </c>
      <c r="H42" s="433" t="str">
        <f>IF(OR(G42&gt;=0.3,G42&lt;=-0.3),"超过30%","")</f>
        <v/>
      </c>
      <c r="I42" s="432">
        <f>IF(I37&lt;I38,I38/I37-1,I37/I38-1)</f>
        <v>0</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1848</v>
      </c>
      <c r="D43" s="434"/>
      <c r="E43" s="432">
        <f>IF(E38&lt;G38,G38/E38-1,E38/G38-1)</f>
        <v>6.0574521232306333E-2</v>
      </c>
      <c r="F43" s="433" t="str">
        <f>IF(OR(E43&gt;=0.2,E43&lt;=-0.2),"超过20%","")</f>
        <v/>
      </c>
      <c r="G43" s="432">
        <f>IF(G38&lt;I38,I38/G38-1,G38/I38-1)</f>
        <v>4.975020815986686E-2</v>
      </c>
      <c r="H43" s="433" t="str">
        <f>IF(OR(G43&gt;=0.2,G43&lt;=-0.2),"超过20%","")</f>
        <v/>
      </c>
      <c r="I43" s="432">
        <f>IF(I38&lt;E38,E38/I38-1,I38/E38-1)</f>
        <v>1.0311322625421449E-2</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1849</v>
      </c>
      <c r="D44" s="434"/>
      <c r="E44" s="432">
        <f>IF(E37&lt;G37,G37/E37-1,E37/G37-1)</f>
        <v>6.0574521232306333E-2</v>
      </c>
      <c r="F44" s="433" t="str">
        <f>IF(OR(E44&gt;=0.3,E44&lt;=-0.3),"超过30%","")</f>
        <v/>
      </c>
      <c r="G44" s="432">
        <f>IF(G37&lt;I37,I37/G37-1,G37/I37-1)</f>
        <v>4.975020815986686E-2</v>
      </c>
      <c r="H44" s="433" t="str">
        <f>IF(OR(G44&gt;=0.3,G44&lt;=-0.3),"超过30%","")</f>
        <v/>
      </c>
      <c r="I44" s="432">
        <f>IF(I37&lt;E37,E37/I37-1,I37/E37-1)</f>
        <v>1.0311322625421449E-2</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4" t="s">
        <v>1850</v>
      </c>
      <c r="B47" s="858"/>
      <c r="C47" s="883"/>
      <c r="D47" s="883"/>
      <c r="E47" s="883"/>
      <c r="F47" s="1085"/>
      <c r="G47" s="1085"/>
      <c r="H47" s="883"/>
      <c r="I47" s="883"/>
      <c r="J47" s="883"/>
      <c r="K47" s="884"/>
      <c r="L47" s="885"/>
      <c r="M47" s="883"/>
      <c r="N47" s="2530"/>
      <c r="O47" s="2530"/>
      <c r="P47" s="2519"/>
      <c r="Q47" s="2501"/>
      <c r="R47" s="2480"/>
      <c r="S47" s="2480"/>
      <c r="T47" s="2480"/>
      <c r="U47" s="2480"/>
      <c r="V47" s="2480"/>
      <c r="W47" s="2480"/>
      <c r="X47" s="2480"/>
      <c r="Y47" s="2480"/>
      <c r="Z47" s="2480"/>
      <c r="AA47" s="2480"/>
      <c r="AB47" s="2480"/>
      <c r="AC47" s="2480"/>
    </row>
    <row r="48" spans="1:29" s="440" customFormat="1" ht="15">
      <c r="A48" s="438" t="s">
        <v>1851</v>
      </c>
      <c r="B48" s="439"/>
      <c r="C48" s="1100" t="str">
        <f>YEAR(C7)&amp;"-"&amp;MONTH(C7)</f>
        <v>2024-12</v>
      </c>
      <c r="D48" s="1101">
        <f>EDATE(C48,-1)</f>
        <v>45597</v>
      </c>
      <c r="E48" s="1101">
        <f t="shared" ref="E48:O48" si="16">EDATE(D48,-1)</f>
        <v>45566</v>
      </c>
      <c r="F48" s="1101">
        <f t="shared" si="16"/>
        <v>45536</v>
      </c>
      <c r="G48" s="1101">
        <f t="shared" si="16"/>
        <v>45505</v>
      </c>
      <c r="H48" s="1101">
        <f t="shared" si="16"/>
        <v>45474</v>
      </c>
      <c r="I48" s="1101">
        <f t="shared" si="16"/>
        <v>45444</v>
      </c>
      <c r="J48" s="1101">
        <f t="shared" si="16"/>
        <v>45413</v>
      </c>
      <c r="K48" s="1101">
        <f t="shared" si="16"/>
        <v>45383</v>
      </c>
      <c r="L48" s="1101">
        <f t="shared" si="16"/>
        <v>45352</v>
      </c>
      <c r="M48" s="1101">
        <f t="shared" si="16"/>
        <v>45323</v>
      </c>
      <c r="N48" s="1101">
        <f t="shared" si="16"/>
        <v>45292</v>
      </c>
      <c r="O48" s="1101">
        <f t="shared" si="16"/>
        <v>45261</v>
      </c>
      <c r="P48" s="2520"/>
      <c r="Q48" s="2503"/>
      <c r="R48" s="2503"/>
      <c r="S48" s="2503"/>
      <c r="T48" s="2503"/>
      <c r="U48" s="2503"/>
      <c r="V48" s="2503"/>
      <c r="W48" s="2503"/>
      <c r="X48" s="2503"/>
      <c r="Y48" s="2503"/>
      <c r="Z48" s="2503"/>
      <c r="AA48" s="2503"/>
      <c r="AB48" s="2503"/>
      <c r="AC48" s="2503"/>
    </row>
    <row r="49" spans="1:29" s="101" customFormat="1" ht="15">
      <c r="A49" s="441"/>
      <c r="B49" s="442"/>
      <c r="C49" s="1094">
        <v>100</v>
      </c>
      <c r="D49" s="444">
        <v>100</v>
      </c>
      <c r="E49" s="444">
        <v>100</v>
      </c>
      <c r="F49" s="444">
        <v>100</v>
      </c>
      <c r="G49" s="444">
        <v>100</v>
      </c>
      <c r="H49" s="444">
        <v>100</v>
      </c>
      <c r="I49" s="444">
        <v>100</v>
      </c>
      <c r="J49" s="444">
        <v>100</v>
      </c>
      <c r="K49" s="444">
        <v>100</v>
      </c>
      <c r="L49" s="444"/>
      <c r="M49" s="445"/>
      <c r="N49" s="444"/>
      <c r="O49" s="445"/>
      <c r="P49" s="2521"/>
      <c r="Q49" s="2433"/>
      <c r="R49" s="2433"/>
      <c r="S49" s="2433"/>
      <c r="T49" s="2433"/>
      <c r="U49" s="2433"/>
      <c r="V49" s="2433"/>
      <c r="W49" s="2433"/>
      <c r="X49" s="2433"/>
      <c r="Y49" s="2433"/>
      <c r="Z49" s="2433"/>
      <c r="AA49" s="2433"/>
      <c r="AB49" s="2433"/>
      <c r="AC49" s="2433"/>
    </row>
    <row r="50" spans="1:29" s="101" customFormat="1" ht="15.75" thickBot="1">
      <c r="A50" s="447" t="s">
        <v>1716</v>
      </c>
      <c r="B50" s="448"/>
      <c r="C50" s="449"/>
      <c r="D50" s="450"/>
      <c r="E50" s="450"/>
      <c r="F50" s="450"/>
      <c r="G50" s="450"/>
      <c r="H50" s="450"/>
      <c r="I50" s="450"/>
      <c r="J50" s="450"/>
      <c r="K50" s="450"/>
      <c r="L50" s="450"/>
      <c r="M50" s="451"/>
      <c r="N50" s="450"/>
      <c r="O50" s="451"/>
      <c r="P50" s="2521"/>
      <c r="Q50" s="2501"/>
      <c r="R50" s="2433"/>
      <c r="S50" s="2433"/>
      <c r="T50" s="2433"/>
      <c r="U50" s="2433"/>
      <c r="V50" s="2433"/>
      <c r="W50" s="2433"/>
      <c r="X50" s="2433"/>
      <c r="Y50" s="2433"/>
      <c r="Z50" s="2433"/>
      <c r="AA50" s="2433"/>
      <c r="AB50" s="2433"/>
      <c r="AC50" s="2433"/>
    </row>
    <row r="51" spans="1:29" s="101" customFormat="1" ht="15">
      <c r="A51" s="453" t="s">
        <v>1681</v>
      </c>
      <c r="B51" s="442"/>
      <c r="C51" s="454" t="s">
        <v>1776</v>
      </c>
      <c r="D51" s="31"/>
      <c r="E51" s="31"/>
      <c r="F51" s="31"/>
      <c r="G51" s="31"/>
      <c r="H51" s="31"/>
      <c r="I51" s="31"/>
      <c r="J51" s="31"/>
      <c r="K51" s="31"/>
      <c r="L51" s="455"/>
      <c r="M51" s="456"/>
      <c r="N51" s="2513"/>
      <c r="O51" s="2513"/>
      <c r="P51" s="2522"/>
      <c r="Q51" s="2501"/>
      <c r="R51" s="2433"/>
      <c r="S51" s="2433"/>
      <c r="T51" s="2433"/>
      <c r="U51" s="2433"/>
      <c r="V51" s="2433"/>
      <c r="W51" s="2433"/>
      <c r="X51" s="2433"/>
      <c r="Y51" s="2433"/>
      <c r="Z51" s="2433"/>
      <c r="AA51" s="2433"/>
      <c r="AB51" s="2433"/>
      <c r="AC51" s="2433"/>
    </row>
    <row r="52" spans="1:29" s="101" customFormat="1" ht="15.75" thickBot="1">
      <c r="A52" s="453"/>
      <c r="B52" s="442"/>
      <c r="C52" s="561">
        <v>100</v>
      </c>
      <c r="D52" s="444"/>
      <c r="E52" s="444"/>
      <c r="F52" s="444"/>
      <c r="G52" s="444"/>
      <c r="H52" s="444"/>
      <c r="I52" s="444"/>
      <c r="J52" s="444"/>
      <c r="K52" s="444"/>
      <c r="L52" s="444"/>
      <c r="M52" s="446"/>
      <c r="N52" s="2513"/>
      <c r="O52" s="2513"/>
      <c r="P52" s="2521"/>
      <c r="Q52" s="2501"/>
      <c r="R52" s="2433"/>
      <c r="S52" s="2433"/>
      <c r="T52" s="2433"/>
      <c r="U52" s="2433"/>
      <c r="V52" s="2433"/>
      <c r="W52" s="2433"/>
      <c r="X52" s="2433"/>
      <c r="Y52" s="2433"/>
      <c r="Z52" s="2433"/>
      <c r="AA52" s="2433"/>
      <c r="AB52" s="2433"/>
      <c r="AC52" s="2433"/>
    </row>
    <row r="53" spans="1:29">
      <c r="A53" s="377" t="s">
        <v>1719</v>
      </c>
      <c r="B53" s="458" t="s">
        <v>1685</v>
      </c>
      <c r="C53" s="459" t="str">
        <f>C9</f>
        <v>车库</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5"/>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5"/>
      <c r="B55" s="467" t="s">
        <v>1688</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5"/>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5"/>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5"/>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6"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6"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6"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6"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5"/>
      <c r="B64" s="472"/>
      <c r="C64" s="473">
        <v>100</v>
      </c>
      <c r="D64" s="473">
        <f>C64-$K14</f>
        <v>98</v>
      </c>
      <c r="E64" s="473">
        <f>D64-$K14</f>
        <v>96</v>
      </c>
      <c r="F64" s="473">
        <f>E64-$K14</f>
        <v>94</v>
      </c>
      <c r="G64" s="473">
        <f>F64-$K14</f>
        <v>92</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5"/>
      <c r="B65" s="467" t="s">
        <v>1727</v>
      </c>
      <c r="C65" s="507" t="s">
        <v>1721</v>
      </c>
      <c r="D65" s="507" t="s">
        <v>1722</v>
      </c>
      <c r="E65" s="507" t="s">
        <v>1723</v>
      </c>
      <c r="F65" s="507" t="s">
        <v>1724</v>
      </c>
      <c r="G65" s="507" t="s">
        <v>1725</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5"/>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5"/>
      <c r="B67" s="475" t="s">
        <v>1813</v>
      </c>
      <c r="C67" s="579" t="s">
        <v>1799</v>
      </c>
      <c r="D67" s="579" t="s">
        <v>1800</v>
      </c>
      <c r="E67" s="579" t="s">
        <v>1801</v>
      </c>
      <c r="F67" s="579" t="s">
        <v>1802</v>
      </c>
      <c r="G67" s="579" t="s">
        <v>1803</v>
      </c>
      <c r="H67" s="468"/>
      <c r="I67" s="468"/>
      <c r="J67" s="468"/>
      <c r="K67" s="468"/>
      <c r="L67" s="468"/>
      <c r="M67" s="1060"/>
      <c r="N67" s="2515"/>
      <c r="O67" s="2515"/>
      <c r="P67" s="2523"/>
      <c r="Q67" s="2501"/>
      <c r="R67" s="2480"/>
      <c r="S67" s="2480"/>
      <c r="T67" s="2480"/>
      <c r="U67" s="2480"/>
      <c r="V67" s="2480"/>
      <c r="W67" s="2480"/>
      <c r="X67" s="2480"/>
      <c r="Y67" s="2480"/>
      <c r="Z67" s="2480"/>
      <c r="AA67" s="2480"/>
      <c r="AB67" s="2480"/>
      <c r="AC67" s="2480"/>
    </row>
    <row r="68" spans="1:29" ht="15.75" thickBot="1">
      <c r="A68" s="365"/>
      <c r="B68" s="475"/>
      <c r="C68" s="473">
        <v>100</v>
      </c>
      <c r="D68" s="473">
        <f>C68-$K18</f>
        <v>99</v>
      </c>
      <c r="E68" s="473">
        <f>D68-$K18</f>
        <v>98</v>
      </c>
      <c r="F68" s="473">
        <f>E68-$K18</f>
        <v>97</v>
      </c>
      <c r="G68" s="473">
        <f>F68-$K18</f>
        <v>96</v>
      </c>
      <c r="H68" s="579"/>
      <c r="I68" s="579"/>
      <c r="J68" s="579"/>
      <c r="K68" s="579"/>
      <c r="L68" s="579"/>
      <c r="M68" s="387"/>
      <c r="N68" s="2515"/>
      <c r="O68" s="2515"/>
      <c r="P68" s="2523"/>
      <c r="Q68" s="2501"/>
      <c r="R68" s="2480"/>
      <c r="S68" s="2480"/>
      <c r="T68" s="2480"/>
      <c r="U68" s="2480"/>
      <c r="V68" s="2480"/>
      <c r="W68" s="2480"/>
      <c r="X68" s="2480"/>
      <c r="Y68" s="2480"/>
      <c r="Z68" s="2480"/>
      <c r="AA68" s="2480"/>
      <c r="AB68" s="2480"/>
      <c r="AC68" s="2480"/>
    </row>
    <row r="69" spans="1:29" ht="15.75" thickTop="1">
      <c r="A69" s="365"/>
      <c r="B69" s="467" t="s">
        <v>1733</v>
      </c>
      <c r="C69" s="507" t="s">
        <v>1721</v>
      </c>
      <c r="D69" s="507" t="s">
        <v>1722</v>
      </c>
      <c r="E69" s="507" t="s">
        <v>1723</v>
      </c>
      <c r="F69" s="507" t="s">
        <v>1724</v>
      </c>
      <c r="G69" s="507" t="s">
        <v>1725</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5"/>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5"/>
      <c r="B71" s="467" t="s">
        <v>1852</v>
      </c>
      <c r="C71" s="3167" t="s">
        <v>4291</v>
      </c>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1" customFormat="1" ht="15.75" thickTop="1">
      <c r="A73" s="368"/>
      <c r="B73" s="467">
        <f>B23</f>
        <v>111</v>
      </c>
      <c r="C73" s="478"/>
      <c r="D73" s="478"/>
      <c r="E73" s="478"/>
      <c r="F73" s="478"/>
      <c r="G73" s="483"/>
      <c r="H73" s="483"/>
      <c r="I73" s="483"/>
      <c r="J73" s="483"/>
      <c r="K73" s="483"/>
      <c r="L73" s="508"/>
      <c r="M73" s="509"/>
      <c r="N73" s="2513"/>
      <c r="O73" s="2513"/>
      <c r="P73" s="2523"/>
      <c r="Q73" s="2501"/>
      <c r="R73" s="2433"/>
      <c r="S73" s="2433"/>
      <c r="T73" s="2433"/>
      <c r="U73" s="2433"/>
      <c r="V73" s="2433"/>
      <c r="W73" s="2433"/>
      <c r="X73" s="2433"/>
      <c r="Y73" s="2433"/>
      <c r="Z73" s="2433"/>
      <c r="AA73" s="2433"/>
      <c r="AB73" s="2433"/>
      <c r="AC73" s="2433"/>
    </row>
    <row r="74" spans="1:29" s="101" customFormat="1" ht="15.75" thickBot="1">
      <c r="A74" s="368"/>
      <c r="B74" s="472"/>
      <c r="C74" s="489"/>
      <c r="D74" s="465"/>
      <c r="E74" s="465"/>
      <c r="F74" s="465"/>
      <c r="G74" s="465"/>
      <c r="H74" s="465"/>
      <c r="I74" s="465"/>
      <c r="J74" s="465"/>
      <c r="K74" s="465"/>
      <c r="L74" s="465"/>
      <c r="M74" s="466"/>
      <c r="N74" s="2515"/>
      <c r="O74" s="2515"/>
      <c r="P74" s="2523"/>
      <c r="Q74" s="2501"/>
      <c r="R74" s="2433"/>
      <c r="S74" s="2433"/>
      <c r="T74" s="2433"/>
      <c r="U74" s="2433"/>
      <c r="V74" s="2433"/>
      <c r="W74" s="2433"/>
      <c r="X74" s="2433"/>
      <c r="Y74" s="2433"/>
      <c r="Z74" s="2433"/>
      <c r="AA74" s="2433"/>
      <c r="AB74" s="2433"/>
      <c r="AC74" s="2433"/>
    </row>
    <row r="75" spans="1:29" s="101" customFormat="1" ht="15.75" thickTop="1">
      <c r="A75" s="368"/>
      <c r="B75" s="467">
        <f>B24</f>
        <v>111</v>
      </c>
      <c r="C75" s="478"/>
      <c r="D75" s="478"/>
      <c r="E75" s="478"/>
      <c r="F75" s="478"/>
      <c r="G75" s="483"/>
      <c r="H75" s="483"/>
      <c r="I75" s="483"/>
      <c r="J75" s="483"/>
      <c r="K75" s="483"/>
      <c r="L75" s="483"/>
      <c r="M75" s="509"/>
      <c r="N75" s="2513"/>
      <c r="O75" s="2513"/>
      <c r="P75" s="2523"/>
      <c r="Q75" s="2501"/>
      <c r="R75" s="2433"/>
      <c r="S75" s="2433"/>
      <c r="T75" s="2433"/>
      <c r="U75" s="2433"/>
      <c r="V75" s="2433"/>
      <c r="W75" s="2433"/>
      <c r="X75" s="2433"/>
      <c r="Y75" s="2433"/>
      <c r="Z75" s="2433"/>
      <c r="AA75" s="2433"/>
      <c r="AB75" s="2433"/>
      <c r="AC75" s="2433"/>
    </row>
    <row r="76" spans="1:29" s="101" customFormat="1" ht="15.75" thickBot="1">
      <c r="A76" s="368"/>
      <c r="B76" s="472"/>
      <c r="C76" s="489"/>
      <c r="D76" s="465"/>
      <c r="E76" s="465"/>
      <c r="F76" s="465"/>
      <c r="G76" s="465"/>
      <c r="H76" s="465"/>
      <c r="I76" s="465"/>
      <c r="J76" s="465"/>
      <c r="K76" s="465"/>
      <c r="L76" s="465"/>
      <c r="M76" s="466"/>
      <c r="N76" s="2515"/>
      <c r="O76" s="2515"/>
      <c r="P76" s="2523"/>
      <c r="Q76" s="2501"/>
      <c r="R76" s="2433"/>
      <c r="S76" s="2433"/>
      <c r="T76" s="2433"/>
      <c r="U76" s="2433"/>
      <c r="V76" s="2433"/>
      <c r="W76" s="2433"/>
      <c r="X76" s="2433"/>
      <c r="Y76" s="2433"/>
      <c r="Z76" s="2433"/>
      <c r="AA76" s="2433"/>
      <c r="AB76" s="2433"/>
      <c r="AC76" s="2433"/>
    </row>
    <row r="77" spans="1:29" s="406"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6"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7" t="s">
        <v>1694</v>
      </c>
      <c r="B79" s="458" t="s">
        <v>1853</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5"/>
      <c r="B80" s="472"/>
      <c r="C80" s="473">
        <v>100</v>
      </c>
      <c r="D80" s="473">
        <f t="shared" ref="D80:M80" si="17">C80-$K26</f>
        <v>98</v>
      </c>
      <c r="E80" s="473">
        <f t="shared" si="17"/>
        <v>96</v>
      </c>
      <c r="F80" s="473">
        <f t="shared" si="17"/>
        <v>94</v>
      </c>
      <c r="G80" s="473">
        <f t="shared" si="17"/>
        <v>92</v>
      </c>
      <c r="H80" s="473">
        <f t="shared" si="17"/>
        <v>90</v>
      </c>
      <c r="I80" s="473">
        <f t="shared" si="17"/>
        <v>88</v>
      </c>
      <c r="J80" s="473">
        <f t="shared" si="17"/>
        <v>86</v>
      </c>
      <c r="K80" s="473">
        <f t="shared" si="17"/>
        <v>84</v>
      </c>
      <c r="L80" s="473">
        <f t="shared" si="17"/>
        <v>82</v>
      </c>
      <c r="M80" s="474">
        <f t="shared" si="17"/>
        <v>80</v>
      </c>
      <c r="N80" s="2515"/>
      <c r="O80" s="2515"/>
      <c r="P80" s="2523"/>
      <c r="Q80" s="2501"/>
      <c r="R80" s="2480"/>
      <c r="S80" s="2480"/>
      <c r="T80" s="2480"/>
      <c r="U80" s="2480"/>
      <c r="V80" s="2480"/>
      <c r="W80" s="2480"/>
      <c r="X80" s="2480"/>
      <c r="Y80" s="2480"/>
      <c r="Z80" s="2480"/>
      <c r="AA80" s="2480"/>
      <c r="AB80" s="2480"/>
      <c r="AC80" s="2480"/>
    </row>
    <row r="81" spans="1:29" ht="15.75" thickTop="1">
      <c r="A81" s="365"/>
      <c r="B81" s="467" t="s">
        <v>1854</v>
      </c>
      <c r="C81" s="6"/>
      <c r="D81" s="6"/>
      <c r="E81" s="6"/>
      <c r="F81" s="6"/>
      <c r="G81" s="6"/>
      <c r="H81" s="580"/>
      <c r="I81" s="580"/>
      <c r="J81" s="580"/>
      <c r="K81" s="581"/>
      <c r="L81" s="582"/>
      <c r="M81" s="583"/>
      <c r="N81" s="2513"/>
      <c r="O81" s="2513"/>
      <c r="P81" s="2523"/>
      <c r="Q81" s="2501"/>
      <c r="R81" s="2480"/>
      <c r="S81" s="2480"/>
      <c r="T81" s="2480"/>
      <c r="U81" s="2480"/>
      <c r="V81" s="2480"/>
      <c r="W81" s="2480"/>
      <c r="X81" s="2480"/>
      <c r="Y81" s="2480"/>
      <c r="Z81" s="2480"/>
      <c r="AA81" s="2480"/>
      <c r="AB81" s="2480"/>
      <c r="AC81" s="2480"/>
    </row>
    <row r="82" spans="1:29" s="406" customFormat="1" ht="15.75" thickBot="1">
      <c r="A82" s="482"/>
      <c r="B82" s="472"/>
      <c r="C82" s="489"/>
      <c r="D82" s="465"/>
      <c r="E82" s="465"/>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7"/>
      <c r="B83" s="467" t="s">
        <v>1740</v>
      </c>
      <c r="C83" s="3167" t="s">
        <v>4297</v>
      </c>
      <c r="D83" s="3167"/>
      <c r="E83" s="3167"/>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7"/>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5"/>
      <c r="B87" s="472"/>
      <c r="C87" s="510">
        <v>100</v>
      </c>
      <c r="D87" s="473">
        <f>C87+$K$29</f>
        <v>101</v>
      </c>
      <c r="E87" s="473">
        <f t="shared" ref="E87:M87" si="19">D87+$K$29</f>
        <v>102</v>
      </c>
      <c r="F87" s="473">
        <f t="shared" si="19"/>
        <v>103</v>
      </c>
      <c r="G87" s="473">
        <f t="shared" si="19"/>
        <v>104</v>
      </c>
      <c r="H87" s="473">
        <f t="shared" si="19"/>
        <v>105</v>
      </c>
      <c r="I87" s="473">
        <f t="shared" si="19"/>
        <v>106</v>
      </c>
      <c r="J87" s="473">
        <f t="shared" si="19"/>
        <v>107</v>
      </c>
      <c r="K87" s="473">
        <f t="shared" si="19"/>
        <v>108</v>
      </c>
      <c r="L87" s="473">
        <f t="shared" si="19"/>
        <v>109</v>
      </c>
      <c r="M87" s="473">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7"/>
      <c r="B88" s="475" t="s">
        <v>1856</v>
      </c>
      <c r="C88" s="460"/>
      <c r="D88" s="460"/>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5"/>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5"/>
      <c r="O89" s="2515"/>
      <c r="P89" s="2523"/>
      <c r="Q89" s="2501"/>
      <c r="R89" s="2480"/>
      <c r="S89" s="2480"/>
      <c r="T89" s="2480"/>
      <c r="U89" s="2480"/>
      <c r="V89" s="2480"/>
      <c r="W89" s="2480"/>
      <c r="X89" s="2480"/>
      <c r="Y89" s="2480"/>
      <c r="Z89" s="2480"/>
      <c r="AA89" s="2480"/>
      <c r="AB89" s="2480"/>
      <c r="AC89" s="2480"/>
    </row>
    <row r="90" spans="1:29" s="406" customFormat="1" ht="15" thickTop="1">
      <c r="A90" s="404"/>
      <c r="B90" s="467" t="s">
        <v>1857</v>
      </c>
      <c r="C90" s="507" t="str">
        <f>C91&amp;"(含)"&amp;"-"&amp;D91</f>
        <v>0(含)-40</v>
      </c>
      <c r="D90" s="507" t="str">
        <f t="shared" ref="D90:L90" si="21">D91&amp;"(含)"&amp;"-"&amp;E91</f>
        <v>40(含)-60</v>
      </c>
      <c r="E90" s="507" t="str">
        <f t="shared" si="21"/>
        <v>60(含)-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6" customFormat="1">
      <c r="A91" s="404"/>
      <c r="B91" s="475"/>
      <c r="C91" s="6">
        <v>0</v>
      </c>
      <c r="D91" s="6">
        <v>40</v>
      </c>
      <c r="E91" s="6">
        <v>60</v>
      </c>
      <c r="F91" s="6"/>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6" customFormat="1" ht="15.75" thickBot="1">
      <c r="A92" s="482"/>
      <c r="B92" s="472"/>
      <c r="C92" s="489">
        <v>100</v>
      </c>
      <c r="D92" s="465">
        <v>120</v>
      </c>
      <c r="E92" s="465">
        <v>130</v>
      </c>
      <c r="F92" s="465"/>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7"/>
      <c r="B93" s="467" t="s">
        <v>1858</v>
      </c>
      <c r="C93" s="3167" t="s">
        <v>4297</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5"/>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5"/>
      <c r="O94" s="2515"/>
      <c r="P94" s="2523"/>
      <c r="Q94" s="2501"/>
      <c r="R94" s="2480"/>
      <c r="S94" s="2480"/>
      <c r="T94" s="2480"/>
      <c r="U94" s="2480"/>
      <c r="V94" s="2480"/>
      <c r="W94" s="2480"/>
      <c r="X94" s="2480"/>
      <c r="Y94" s="2480"/>
      <c r="Z94" s="2480"/>
      <c r="AA94" s="2480"/>
      <c r="AB94" s="2480"/>
      <c r="AC94" s="2480"/>
    </row>
    <row r="95" spans="1:29" ht="15" thickTop="1">
      <c r="A95" s="407"/>
      <c r="B95" s="467" t="s">
        <v>1859</v>
      </c>
      <c r="C95" s="3166" t="s">
        <v>4298</v>
      </c>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7"/>
      <c r="B97" s="558">
        <f>B34</f>
        <v>111</v>
      </c>
      <c r="C97" s="478"/>
      <c r="D97" s="478"/>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5"/>
      <c r="B98" s="472"/>
      <c r="C98" s="489"/>
      <c r="D98" s="465"/>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6" customFormat="1" ht="15" thickTop="1">
      <c r="A99" s="404"/>
      <c r="B99" s="467">
        <f>B35</f>
        <v>111</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6"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7"/>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5"/>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1867</v>
      </c>
      <c r="B1" s="338"/>
      <c r="C1" s="339" t="s">
        <v>1918</v>
      </c>
      <c r="D1" s="648"/>
      <c r="E1" s="648"/>
      <c r="F1" s="647" t="s">
        <v>1767</v>
      </c>
      <c r="G1" s="648"/>
      <c r="H1" s="648"/>
      <c r="I1" s="648"/>
      <c r="J1" s="648"/>
      <c r="K1" s="649"/>
      <c r="L1" s="650"/>
      <c r="M1" s="651"/>
      <c r="N1" s="651"/>
      <c r="O1" s="651"/>
      <c r="P1" s="339"/>
      <c r="Q1" s="339"/>
      <c r="R1" s="339"/>
      <c r="S1" s="339"/>
      <c r="T1" s="339"/>
      <c r="U1" s="339"/>
      <c r="V1" s="339"/>
      <c r="W1" s="339"/>
      <c r="X1" s="339"/>
      <c r="Y1" s="339"/>
      <c r="Z1" s="339"/>
      <c r="AA1" s="339"/>
      <c r="AB1" s="339"/>
      <c r="AC1" s="660"/>
    </row>
    <row r="2" spans="1:29" s="340" customFormat="1" ht="28.5" customHeight="1">
      <c r="A2" s="191" t="s">
        <v>1462</v>
      </c>
      <c r="B2" s="589" t="e">
        <f>F61</f>
        <v>#DIV/0!</v>
      </c>
      <c r="C2" s="852"/>
      <c r="D2" s="852"/>
      <c r="E2" s="852"/>
      <c r="F2" s="853"/>
      <c r="G2" s="852"/>
      <c r="H2" s="852"/>
      <c r="I2" s="852"/>
      <c r="J2" s="852"/>
      <c r="K2" s="854"/>
      <c r="L2" s="2496"/>
      <c r="M2" s="2497"/>
      <c r="N2" s="2497"/>
      <c r="O2" s="2497"/>
      <c r="P2" s="339"/>
      <c r="Q2" s="339"/>
      <c r="R2" s="339"/>
      <c r="S2" s="339"/>
      <c r="T2" s="339"/>
      <c r="U2" s="339"/>
      <c r="V2" s="339"/>
      <c r="W2" s="339"/>
      <c r="X2" s="339"/>
      <c r="Y2" s="339"/>
      <c r="Z2" s="339"/>
      <c r="AA2" s="339"/>
      <c r="AB2" s="339"/>
      <c r="AC2" s="660"/>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6"/>
      <c r="M3" s="2497"/>
      <c r="N3" s="2497"/>
      <c r="O3" s="2497"/>
      <c r="P3" s="339"/>
      <c r="Q3" s="339"/>
      <c r="R3" s="339"/>
      <c r="S3" s="339"/>
      <c r="T3" s="339"/>
      <c r="U3" s="339"/>
      <c r="V3" s="339"/>
      <c r="W3" s="339"/>
      <c r="X3" s="339"/>
      <c r="Y3" s="339"/>
      <c r="Z3" s="339"/>
      <c r="AA3" s="339"/>
      <c r="AB3" s="673"/>
      <c r="AC3" s="660"/>
    </row>
    <row r="4" spans="1:29" ht="15">
      <c r="A4" s="343" t="s">
        <v>1769</v>
      </c>
      <c r="B4" s="344"/>
      <c r="C4" s="3419" t="s">
        <v>1770</v>
      </c>
      <c r="D4" s="3431"/>
      <c r="E4" s="3432" t="s">
        <v>1771</v>
      </c>
      <c r="F4" s="3433"/>
      <c r="G4" s="3419" t="s">
        <v>1772</v>
      </c>
      <c r="H4" s="3431"/>
      <c r="I4" s="3419" t="s">
        <v>1773</v>
      </c>
      <c r="J4" s="3431"/>
      <c r="K4" s="535" t="s">
        <v>1774</v>
      </c>
      <c r="L4" s="2479"/>
      <c r="M4" s="2480"/>
      <c r="N4" s="2480"/>
      <c r="O4" s="2480"/>
      <c r="P4" s="3434" t="s">
        <v>1775</v>
      </c>
      <c r="Q4" s="3435"/>
      <c r="R4" s="3440" t="s">
        <v>1771</v>
      </c>
      <c r="S4" s="3441"/>
      <c r="T4" s="3440" t="s">
        <v>1772</v>
      </c>
      <c r="U4" s="3441"/>
      <c r="V4" s="3427" t="s">
        <v>1773</v>
      </c>
      <c r="W4" s="3427"/>
      <c r="X4" s="1262"/>
      <c r="Y4" s="3440" t="s">
        <v>1775</v>
      </c>
      <c r="Z4" s="3441"/>
      <c r="AA4" s="3428" t="s">
        <v>1771</v>
      </c>
      <c r="AB4" s="3429" t="s">
        <v>1772</v>
      </c>
      <c r="AC4" s="3428" t="s">
        <v>1773</v>
      </c>
    </row>
    <row r="5" spans="1:29" ht="15">
      <c r="A5" s="346"/>
      <c r="B5" s="347"/>
      <c r="C5" s="3448" t="s">
        <v>1673</v>
      </c>
      <c r="D5" s="3449"/>
      <c r="E5" s="3455" t="s">
        <v>1674</v>
      </c>
      <c r="F5" s="3456"/>
      <c r="G5" s="3448" t="s">
        <v>1675</v>
      </c>
      <c r="H5" s="3449"/>
      <c r="I5" s="3448" t="s">
        <v>1676</v>
      </c>
      <c r="J5" s="3449"/>
      <c r="K5" s="535"/>
      <c r="L5" s="2479"/>
      <c r="M5" s="2480"/>
      <c r="N5" s="2480"/>
      <c r="O5" s="2480"/>
      <c r="P5" s="3436"/>
      <c r="Q5" s="3437"/>
      <c r="R5" s="3442"/>
      <c r="S5" s="3443"/>
      <c r="T5" s="3442"/>
      <c r="U5" s="3443"/>
      <c r="V5" s="3427"/>
      <c r="W5" s="3427"/>
      <c r="X5" s="1262"/>
      <c r="Y5" s="3442"/>
      <c r="Z5" s="3443"/>
      <c r="AA5" s="3429"/>
      <c r="AB5" s="3429"/>
      <c r="AC5" s="3429"/>
    </row>
    <row r="6" spans="1:29" ht="15.75" thickBot="1">
      <c r="A6" s="348"/>
      <c r="B6" s="349"/>
      <c r="C6" s="3513" t="s">
        <v>1919</v>
      </c>
      <c r="D6" s="3514"/>
      <c r="E6" s="3515" t="s">
        <v>1919</v>
      </c>
      <c r="F6" s="3516"/>
      <c r="G6" s="3513" t="s">
        <v>1919</v>
      </c>
      <c r="H6" s="3514"/>
      <c r="I6" s="3513" t="s">
        <v>1919</v>
      </c>
      <c r="J6" s="3514"/>
      <c r="K6" s="535" t="s">
        <v>1678</v>
      </c>
      <c r="L6" s="2479"/>
      <c r="M6" s="2480"/>
      <c r="N6" s="2480"/>
      <c r="O6" s="2480"/>
      <c r="P6" s="3438"/>
      <c r="Q6" s="3439"/>
      <c r="R6" s="3442"/>
      <c r="S6" s="3443"/>
      <c r="T6" s="3444"/>
      <c r="U6" s="3445"/>
      <c r="V6" s="3427"/>
      <c r="W6" s="3427"/>
      <c r="X6" s="1262"/>
      <c r="Y6" s="3444"/>
      <c r="Z6" s="3445"/>
      <c r="AA6" s="3430"/>
      <c r="AB6" s="3430"/>
      <c r="AC6" s="3430"/>
    </row>
    <row r="7" spans="1:29" s="101" customFormat="1" ht="15.75" thickBot="1">
      <c r="A7" s="350" t="s">
        <v>1679</v>
      </c>
      <c r="B7" s="351"/>
      <c r="C7" s="352">
        <f>'数据-取费表'!B2</f>
        <v>45639</v>
      </c>
      <c r="D7" s="353">
        <v>100</v>
      </c>
      <c r="E7" s="354"/>
      <c r="F7" s="355">
        <f>SUMIF(65:65,YEAR(E7)&amp;"-"&amp;INT((MONTH(E7)+2)/3),66:66)</f>
        <v>0</v>
      </c>
      <c r="G7" s="1818"/>
      <c r="H7" s="353">
        <f>SUMIF(65:65,YEAR(G7)&amp;"-"&amp;INT((MONTH(G7)+2)/3),66:66)</f>
        <v>0</v>
      </c>
      <c r="I7" s="1818"/>
      <c r="J7" s="353">
        <f>SUMIF(65:65,YEAR(I7)&amp;"-"&amp;INT((MONTH(I7)+2)/3),66:66)</f>
        <v>0</v>
      </c>
      <c r="K7" s="38"/>
      <c r="L7" s="2481"/>
      <c r="M7" s="2433"/>
      <c r="N7" s="2433"/>
      <c r="O7" s="2433"/>
      <c r="P7" s="3450" t="s">
        <v>1680</v>
      </c>
      <c r="Q7" s="3452"/>
      <c r="R7" s="661" t="s">
        <v>14</v>
      </c>
      <c r="S7" s="662">
        <f t="shared" ref="S7:S15" si="0">F7</f>
        <v>0</v>
      </c>
      <c r="T7" s="661" t="s">
        <v>14</v>
      </c>
      <c r="U7" s="662">
        <f t="shared" ref="U7:U15" si="1">H7</f>
        <v>0</v>
      </c>
      <c r="V7" s="661" t="s">
        <v>14</v>
      </c>
      <c r="W7" s="662">
        <f t="shared" ref="W7:W15" si="2">J7</f>
        <v>0</v>
      </c>
      <c r="X7" s="663"/>
      <c r="Y7" s="3450" t="s">
        <v>1680</v>
      </c>
      <c r="Z7" s="3451"/>
      <c r="AA7" s="50" t="e">
        <f>D7/F7</f>
        <v>#DIV/0!</v>
      </c>
      <c r="AB7" s="50" t="e">
        <f>D7/H7</f>
        <v>#DIV/0!</v>
      </c>
      <c r="AC7" s="50" t="e">
        <f>D7/J7</f>
        <v>#DIV/0!</v>
      </c>
    </row>
    <row r="8" spans="1:29" s="101" customFormat="1" ht="15.7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1"/>
      <c r="M8" s="2433"/>
      <c r="N8" s="2433"/>
      <c r="O8" s="2433"/>
      <c r="P8" s="3450" t="s">
        <v>1683</v>
      </c>
      <c r="Q8" s="3451"/>
      <c r="R8" s="661" t="s">
        <v>14</v>
      </c>
      <c r="S8" s="662">
        <f t="shared" si="0"/>
        <v>0</v>
      </c>
      <c r="T8" s="661" t="s">
        <v>14</v>
      </c>
      <c r="U8" s="662">
        <f t="shared" si="1"/>
        <v>0</v>
      </c>
      <c r="V8" s="661" t="s">
        <v>14</v>
      </c>
      <c r="W8" s="662">
        <f t="shared" si="2"/>
        <v>0</v>
      </c>
      <c r="X8" s="663"/>
      <c r="Y8" s="3450" t="s">
        <v>1683</v>
      </c>
      <c r="Z8" s="3451"/>
      <c r="AA8" s="50" t="e">
        <f t="shared" ref="AA8:AA40" si="3">D8/F8</f>
        <v>#DIV/0!</v>
      </c>
      <c r="AB8" s="50" t="e">
        <f t="shared" ref="AB8:AB40" si="4">D8/H8</f>
        <v>#DIV/0!</v>
      </c>
      <c r="AC8" s="50" t="e">
        <f t="shared" ref="AC8:AC40" si="5">D8/J8</f>
        <v>#DIV/0!</v>
      </c>
    </row>
    <row r="9" spans="1:29" s="101" customFormat="1">
      <c r="A9" s="357" t="s">
        <v>1684</v>
      </c>
      <c r="B9" s="59" t="s">
        <v>1685</v>
      </c>
      <c r="C9" s="1821"/>
      <c r="D9" s="58">
        <v>100</v>
      </c>
      <c r="E9" s="1821"/>
      <c r="F9" s="58">
        <f>SUMIF(70:70,E9,71:71)-SUMIF(70:70,C9,71:71)+100</f>
        <v>100</v>
      </c>
      <c r="G9" s="1821"/>
      <c r="H9" s="58">
        <f>SUMIF(70:70,G9,71:71)-SUMIF(70:70,C9,71:71)+100</f>
        <v>100</v>
      </c>
      <c r="I9" s="1821"/>
      <c r="J9" s="58">
        <f>SUMIF(70:70,I9,71:71)-SUMIF(70:70,C9,71:71)+100</f>
        <v>100</v>
      </c>
      <c r="K9" s="38"/>
      <c r="L9" s="2481"/>
      <c r="M9" s="2433"/>
      <c r="N9" s="2433"/>
      <c r="O9" s="2533"/>
      <c r="P9" s="3422" t="s">
        <v>1686</v>
      </c>
      <c r="Q9" s="528" t="str">
        <f t="shared" ref="Q9:Q15" si="6">B9</f>
        <v>用途</v>
      </c>
      <c r="R9" s="661" t="s">
        <v>14</v>
      </c>
      <c r="S9" s="662">
        <f t="shared" si="0"/>
        <v>100</v>
      </c>
      <c r="T9" s="661" t="s">
        <v>14</v>
      </c>
      <c r="U9" s="662">
        <f t="shared" si="1"/>
        <v>100</v>
      </c>
      <c r="V9" s="661" t="s">
        <v>14</v>
      </c>
      <c r="W9" s="662">
        <f t="shared" si="2"/>
        <v>100</v>
      </c>
      <c r="X9" s="663"/>
      <c r="Y9" s="3322" t="s">
        <v>1687</v>
      </c>
      <c r="Z9" s="50" t="str">
        <f t="shared" ref="Z9:Z15" si="7">Q9</f>
        <v>用途</v>
      </c>
      <c r="AA9" s="50">
        <f t="shared" si="3"/>
        <v>1</v>
      </c>
      <c r="AB9" s="50">
        <f t="shared" si="4"/>
        <v>1</v>
      </c>
      <c r="AC9" s="50">
        <f t="shared" si="5"/>
        <v>1</v>
      </c>
    </row>
    <row r="10" spans="1:29" s="364" customFormat="1" ht="27">
      <c r="A10" s="361"/>
      <c r="B10" s="362" t="s">
        <v>1688</v>
      </c>
      <c r="C10" s="369"/>
      <c r="D10" s="117">
        <v>100</v>
      </c>
      <c r="E10" s="369"/>
      <c r="F10" s="117">
        <f>ROUND(100/'数据-取费表'!G16,0)</f>
        <v>101</v>
      </c>
      <c r="G10" s="369"/>
      <c r="H10" s="117">
        <f>ROUND(100/'数据-取费表'!G16,0)</f>
        <v>101</v>
      </c>
      <c r="I10" s="369"/>
      <c r="J10" s="117">
        <f>ROUND(100/'数据-取费表'!G16,0)</f>
        <v>101</v>
      </c>
      <c r="K10" s="590"/>
      <c r="L10" s="2482"/>
      <c r="M10" s="2483"/>
      <c r="N10" s="2483"/>
      <c r="O10" s="2534"/>
      <c r="P10" s="3422"/>
      <c r="Q10" s="528" t="str">
        <f t="shared" si="6"/>
        <v>土地使用年限（年）</v>
      </c>
      <c r="R10" s="661" t="s">
        <v>14</v>
      </c>
      <c r="S10" s="662">
        <f t="shared" si="0"/>
        <v>101</v>
      </c>
      <c r="T10" s="661" t="s">
        <v>14</v>
      </c>
      <c r="U10" s="662">
        <f t="shared" si="1"/>
        <v>101</v>
      </c>
      <c r="V10" s="661" t="s">
        <v>14</v>
      </c>
      <c r="W10" s="662">
        <f t="shared" si="2"/>
        <v>101</v>
      </c>
      <c r="X10" s="663"/>
      <c r="Y10" s="3322"/>
      <c r="Z10" s="50" t="str">
        <f t="shared" si="7"/>
        <v>土地使用年限（年）</v>
      </c>
      <c r="AA10" s="50">
        <f t="shared" si="3"/>
        <v>0.99009900990099009</v>
      </c>
      <c r="AB10" s="50">
        <f t="shared" si="4"/>
        <v>0.99009900990099009</v>
      </c>
      <c r="AC10" s="50">
        <f t="shared" si="5"/>
        <v>0.99009900990099009</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4"/>
      <c r="M11" s="2480"/>
      <c r="N11" s="2480"/>
      <c r="O11" s="2535"/>
      <c r="P11" s="3422"/>
      <c r="Q11" s="528" t="str">
        <f t="shared" si="6"/>
        <v>容积率</v>
      </c>
      <c r="R11" s="661" t="s">
        <v>14</v>
      </c>
      <c r="S11" s="662" t="e">
        <f t="shared" si="0"/>
        <v>#N/A</v>
      </c>
      <c r="T11" s="661" t="s">
        <v>14</v>
      </c>
      <c r="U11" s="662" t="e">
        <f t="shared" si="1"/>
        <v>#N/A</v>
      </c>
      <c r="V11" s="661" t="s">
        <v>14</v>
      </c>
      <c r="W11" s="662" t="e">
        <f t="shared" si="2"/>
        <v>#N/A</v>
      </c>
      <c r="X11" s="663"/>
      <c r="Y11" s="3322"/>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1"/>
      <c r="M12" s="2433"/>
      <c r="N12" s="2433"/>
      <c r="O12" s="2533"/>
      <c r="P12" s="3422"/>
      <c r="Q12" s="528">
        <f t="shared" si="6"/>
        <v>111</v>
      </c>
      <c r="R12" s="661" t="s">
        <v>14</v>
      </c>
      <c r="S12" s="662">
        <f t="shared" si="0"/>
        <v>100</v>
      </c>
      <c r="T12" s="661" t="s">
        <v>14</v>
      </c>
      <c r="U12" s="662">
        <f t="shared" si="1"/>
        <v>100</v>
      </c>
      <c r="V12" s="661" t="s">
        <v>14</v>
      </c>
      <c r="W12" s="662">
        <f t="shared" si="2"/>
        <v>100</v>
      </c>
      <c r="X12" s="663"/>
      <c r="Y12" s="3322"/>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5"/>
      <c r="M13" s="2480"/>
      <c r="N13" s="2480"/>
      <c r="O13" s="2535"/>
      <c r="P13" s="3422"/>
      <c r="Q13" s="528">
        <f t="shared" si="6"/>
        <v>111</v>
      </c>
      <c r="R13" s="661" t="s">
        <v>14</v>
      </c>
      <c r="S13" s="662">
        <f t="shared" si="0"/>
        <v>100</v>
      </c>
      <c r="T13" s="661" t="s">
        <v>14</v>
      </c>
      <c r="U13" s="662">
        <f t="shared" si="1"/>
        <v>100</v>
      </c>
      <c r="V13" s="661" t="s">
        <v>14</v>
      </c>
      <c r="W13" s="662">
        <f t="shared" si="2"/>
        <v>100</v>
      </c>
      <c r="X13" s="663"/>
      <c r="Y13" s="3322"/>
      <c r="Z13" s="50">
        <f t="shared" si="7"/>
        <v>111</v>
      </c>
      <c r="AA13" s="50">
        <f t="shared" si="3"/>
        <v>1</v>
      </c>
      <c r="AB13" s="50">
        <f t="shared" si="4"/>
        <v>1</v>
      </c>
      <c r="AC13" s="50">
        <f t="shared" si="5"/>
        <v>1</v>
      </c>
    </row>
    <row r="14" spans="1:29" ht="15.75"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5"/>
      <c r="M14" s="2480"/>
      <c r="N14" s="2480"/>
      <c r="O14" s="2535"/>
      <c r="P14" s="3422"/>
      <c r="Q14" s="528">
        <f t="shared" si="6"/>
        <v>111</v>
      </c>
      <c r="R14" s="661" t="s">
        <v>14</v>
      </c>
      <c r="S14" s="662">
        <f t="shared" si="0"/>
        <v>100</v>
      </c>
      <c r="T14" s="661" t="s">
        <v>14</v>
      </c>
      <c r="U14" s="662">
        <f t="shared" si="1"/>
        <v>100</v>
      </c>
      <c r="V14" s="661" t="s">
        <v>14</v>
      </c>
      <c r="W14" s="662">
        <f t="shared" si="2"/>
        <v>100</v>
      </c>
      <c r="X14" s="663"/>
      <c r="Y14" s="3322"/>
      <c r="Z14" s="50">
        <f t="shared" si="7"/>
        <v>111</v>
      </c>
      <c r="AA14" s="50">
        <f t="shared" si="3"/>
        <v>1</v>
      </c>
      <c r="AB14" s="50">
        <f t="shared" si="4"/>
        <v>1</v>
      </c>
      <c r="AC14" s="50">
        <f t="shared" si="5"/>
        <v>1</v>
      </c>
    </row>
    <row r="15" spans="1:29" ht="57">
      <c r="A15" s="377" t="s">
        <v>1690</v>
      </c>
      <c r="B15" s="552" t="s">
        <v>1920</v>
      </c>
      <c r="C15" s="1815"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5"/>
      <c r="M15" s="2480"/>
      <c r="N15" s="2480"/>
      <c r="O15" s="2535"/>
      <c r="P15" s="3423" t="s">
        <v>1691</v>
      </c>
      <c r="Q15" s="1260" t="str">
        <f t="shared" si="6"/>
        <v>产业集聚程度</v>
      </c>
      <c r="R15" s="664" t="s">
        <v>14</v>
      </c>
      <c r="S15" s="665">
        <f t="shared" si="0"/>
        <v>100</v>
      </c>
      <c r="T15" s="664" t="s">
        <v>14</v>
      </c>
      <c r="U15" s="665">
        <f t="shared" si="1"/>
        <v>100</v>
      </c>
      <c r="V15" s="664" t="s">
        <v>14</v>
      </c>
      <c r="W15" s="665">
        <f t="shared" si="2"/>
        <v>100</v>
      </c>
      <c r="X15" s="1262"/>
      <c r="Y15" s="3423"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5"/>
      <c r="M16" s="2480"/>
      <c r="N16" s="2480"/>
      <c r="O16" s="2535"/>
      <c r="P16" s="3424"/>
      <c r="Q16" s="1260"/>
      <c r="R16" s="664"/>
      <c r="S16" s="665"/>
      <c r="T16" s="664"/>
      <c r="U16" s="665"/>
      <c r="V16" s="664"/>
      <c r="W16" s="665"/>
      <c r="X16" s="1262"/>
      <c r="Y16" s="3424"/>
      <c r="Z16" s="1261"/>
      <c r="AA16" s="1261">
        <v>1</v>
      </c>
      <c r="AB16" s="1261">
        <v>1</v>
      </c>
      <c r="AC16" s="1261">
        <v>1</v>
      </c>
    </row>
    <row r="17" spans="1:29" ht="85.5">
      <c r="A17" s="365"/>
      <c r="B17" s="554" t="s">
        <v>1833</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5"/>
      <c r="M17" s="2480"/>
      <c r="N17" s="2480"/>
      <c r="O17" s="2535"/>
      <c r="P17" s="3424"/>
      <c r="Q17" s="1260" t="str">
        <f>B17</f>
        <v>交通便捷度</v>
      </c>
      <c r="R17" s="664" t="s">
        <v>14</v>
      </c>
      <c r="S17" s="665">
        <f>F17</f>
        <v>100</v>
      </c>
      <c r="T17" s="664" t="s">
        <v>14</v>
      </c>
      <c r="U17" s="665">
        <f>H17</f>
        <v>100</v>
      </c>
      <c r="V17" s="664" t="s">
        <v>14</v>
      </c>
      <c r="W17" s="665">
        <f>J17</f>
        <v>100</v>
      </c>
      <c r="X17" s="1262"/>
      <c r="Y17" s="3424"/>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5"/>
      <c r="M18" s="2480"/>
      <c r="N18" s="2480"/>
      <c r="O18" s="2535"/>
      <c r="P18" s="3424"/>
      <c r="Q18" s="1260"/>
      <c r="R18" s="664"/>
      <c r="S18" s="665"/>
      <c r="T18" s="664"/>
      <c r="U18" s="665"/>
      <c r="V18" s="664"/>
      <c r="W18" s="665"/>
      <c r="X18" s="1262"/>
      <c r="Y18" s="3424"/>
      <c r="Z18" s="1261"/>
      <c r="AA18" s="1261">
        <v>1</v>
      </c>
      <c r="AB18" s="1261">
        <v>1</v>
      </c>
      <c r="AC18" s="1261">
        <v>1</v>
      </c>
    </row>
    <row r="19" spans="1:29" ht="15">
      <c r="A19" s="365"/>
      <c r="B19" s="554" t="s">
        <v>1871</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5"/>
      <c r="M19" s="2480"/>
      <c r="N19" s="2480"/>
      <c r="O19" s="2535"/>
      <c r="P19" s="3424"/>
      <c r="Q19" s="1260" t="str">
        <f t="shared" ref="Q19:Q33" si="8">B19</f>
        <v>区域土地利用方向</v>
      </c>
      <c r="R19" s="664" t="s">
        <v>14</v>
      </c>
      <c r="S19" s="665">
        <f>F19</f>
        <v>100</v>
      </c>
      <c r="T19" s="664" t="s">
        <v>14</v>
      </c>
      <c r="U19" s="665">
        <f>H19</f>
        <v>100</v>
      </c>
      <c r="V19" s="664" t="s">
        <v>14</v>
      </c>
      <c r="W19" s="665">
        <f>J19</f>
        <v>100</v>
      </c>
      <c r="X19" s="1262"/>
      <c r="Y19" s="3424"/>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5"/>
      <c r="L20" s="2485"/>
      <c r="M20" s="2480"/>
      <c r="N20" s="2480"/>
      <c r="O20" s="2535"/>
      <c r="P20" s="3424"/>
      <c r="Q20" s="1260"/>
      <c r="R20" s="664"/>
      <c r="S20" s="665"/>
      <c r="T20" s="664"/>
      <c r="U20" s="665"/>
      <c r="V20" s="664"/>
      <c r="W20" s="665"/>
      <c r="X20" s="1262"/>
      <c r="Y20" s="3424"/>
      <c r="Z20" s="1261"/>
      <c r="AA20" s="1261"/>
      <c r="AB20" s="1261"/>
      <c r="AC20" s="1261"/>
    </row>
    <row r="21" spans="1:29" ht="71.25">
      <c r="A21" s="346"/>
      <c r="B21" s="554" t="s">
        <v>1921</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5"/>
      <c r="M21" s="2480"/>
      <c r="N21" s="2480"/>
      <c r="O21" s="2535"/>
      <c r="P21" s="3424"/>
      <c r="Q21" s="1260" t="str">
        <f t="shared" si="8"/>
        <v>环境状况</v>
      </c>
      <c r="R21" s="664" t="s">
        <v>14</v>
      </c>
      <c r="S21" s="665">
        <f>F21</f>
        <v>100</v>
      </c>
      <c r="T21" s="664" t="s">
        <v>14</v>
      </c>
      <c r="U21" s="665">
        <f>H21</f>
        <v>100</v>
      </c>
      <c r="V21" s="664" t="s">
        <v>14</v>
      </c>
      <c r="W21" s="665">
        <f>J21</f>
        <v>100</v>
      </c>
      <c r="X21" s="1262"/>
      <c r="Y21" s="3424"/>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5"/>
      <c r="M22" s="2480"/>
      <c r="N22" s="2480"/>
      <c r="O22" s="2535"/>
      <c r="P22" s="3424"/>
      <c r="Q22" s="1260"/>
      <c r="R22" s="664"/>
      <c r="S22" s="665"/>
      <c r="T22" s="664"/>
      <c r="U22" s="665"/>
      <c r="V22" s="664"/>
      <c r="W22" s="665"/>
      <c r="X22" s="1262"/>
      <c r="Y22" s="3424"/>
      <c r="Z22" s="1261"/>
      <c r="AA22" s="1261">
        <v>1</v>
      </c>
      <c r="AB22" s="1261">
        <v>1</v>
      </c>
      <c r="AC22" s="1261">
        <v>1</v>
      </c>
    </row>
    <row r="23" spans="1:29" s="101" customFormat="1" ht="42.75">
      <c r="A23" s="441"/>
      <c r="B23" s="555" t="s">
        <v>1778</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1"/>
      <c r="M23" s="2433"/>
      <c r="N23" s="2433"/>
      <c r="O23" s="2533"/>
      <c r="P23" s="3424"/>
      <c r="Q23" s="528" t="str">
        <f t="shared" si="8"/>
        <v>公共配套设施</v>
      </c>
      <c r="R23" s="661" t="s">
        <v>14</v>
      </c>
      <c r="S23" s="662">
        <f>F23</f>
        <v>100</v>
      </c>
      <c r="T23" s="661" t="s">
        <v>14</v>
      </c>
      <c r="U23" s="662">
        <f>H23</f>
        <v>100</v>
      </c>
      <c r="V23" s="661" t="s">
        <v>14</v>
      </c>
      <c r="W23" s="662">
        <f>J23</f>
        <v>100</v>
      </c>
      <c r="X23" s="663"/>
      <c r="Y23" s="3424"/>
      <c r="Z23" s="50" t="str">
        <f>Q23</f>
        <v>公共配套设施</v>
      </c>
      <c r="AA23" s="1261">
        <f>D23/F23</f>
        <v>1</v>
      </c>
      <c r="AB23" s="1261">
        <f>D23/H23</f>
        <v>1</v>
      </c>
      <c r="AC23" s="1261">
        <f>D23/J23</f>
        <v>1</v>
      </c>
    </row>
    <row r="24" spans="1:29" s="101" customFormat="1" ht="15">
      <c r="A24" s="441"/>
      <c r="B24" s="399"/>
      <c r="C24" s="1822"/>
      <c r="D24" s="385"/>
      <c r="E24" s="1754"/>
      <c r="F24" s="385"/>
      <c r="G24" s="1754"/>
      <c r="H24" s="385"/>
      <c r="I24" s="384"/>
      <c r="J24" s="385"/>
      <c r="K24" s="590"/>
      <c r="L24" s="2481"/>
      <c r="M24" s="2433"/>
      <c r="N24" s="2433"/>
      <c r="O24" s="2533"/>
      <c r="P24" s="3424"/>
      <c r="Q24" s="528"/>
      <c r="R24" s="661"/>
      <c r="S24" s="662"/>
      <c r="T24" s="661"/>
      <c r="U24" s="662"/>
      <c r="V24" s="661"/>
      <c r="W24" s="662"/>
      <c r="X24" s="663"/>
      <c r="Y24" s="3424"/>
      <c r="Z24" s="50"/>
      <c r="AA24" s="50">
        <v>1</v>
      </c>
      <c r="AB24" s="50">
        <v>1</v>
      </c>
      <c r="AC24" s="50">
        <v>1</v>
      </c>
    </row>
    <row r="25" spans="1:29" s="101" customFormat="1" ht="28.5">
      <c r="A25" s="441"/>
      <c r="B25" s="555" t="s">
        <v>1779</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1"/>
      <c r="M25" s="2433"/>
      <c r="N25" s="2433"/>
      <c r="O25" s="2533"/>
      <c r="P25" s="3424"/>
      <c r="Q25" s="528" t="str">
        <f t="shared" ref="Q25" si="9">B25</f>
        <v>基础设施水平</v>
      </c>
      <c r="R25" s="661" t="s">
        <v>14</v>
      </c>
      <c r="S25" s="662">
        <f>F25</f>
        <v>100</v>
      </c>
      <c r="T25" s="661" t="s">
        <v>14</v>
      </c>
      <c r="U25" s="662">
        <f>H25</f>
        <v>100</v>
      </c>
      <c r="V25" s="661" t="s">
        <v>14</v>
      </c>
      <c r="W25" s="662">
        <f>J25</f>
        <v>100</v>
      </c>
      <c r="X25" s="663"/>
      <c r="Y25" s="3424"/>
      <c r="Z25" s="50" t="str">
        <f>Q25</f>
        <v>基础设施水平</v>
      </c>
      <c r="AA25" s="1261">
        <f>D25/F25</f>
        <v>1</v>
      </c>
      <c r="AB25" s="1261">
        <f>D25/H25</f>
        <v>1</v>
      </c>
      <c r="AC25" s="1261">
        <f>D25/J25</f>
        <v>1</v>
      </c>
    </row>
    <row r="26" spans="1:29" s="101" customFormat="1" ht="15">
      <c r="A26" s="441"/>
      <c r="B26" s="399"/>
      <c r="C26" s="1822"/>
      <c r="D26" s="385"/>
      <c r="E26" s="1823"/>
      <c r="F26" s="385"/>
      <c r="G26" s="1823"/>
      <c r="H26" s="385"/>
      <c r="I26" s="1823"/>
      <c r="J26" s="385"/>
      <c r="K26" s="590"/>
      <c r="L26" s="2481"/>
      <c r="M26" s="2433"/>
      <c r="N26" s="2433"/>
      <c r="O26" s="2533"/>
      <c r="P26" s="3424"/>
      <c r="Q26" s="528"/>
      <c r="R26" s="661"/>
      <c r="S26" s="662"/>
      <c r="T26" s="661"/>
      <c r="U26" s="662"/>
      <c r="V26" s="661"/>
      <c r="W26" s="662"/>
      <c r="X26" s="663"/>
      <c r="Y26" s="3424"/>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5"/>
      <c r="M27" s="2480"/>
      <c r="N27" s="2480"/>
      <c r="O27" s="2535"/>
      <c r="P27" s="3424"/>
      <c r="Q27" s="1260" t="str">
        <f t="shared" si="8"/>
        <v>临街状况</v>
      </c>
      <c r="R27" s="664" t="s">
        <v>14</v>
      </c>
      <c r="S27" s="665">
        <f t="shared" ref="S27:S40" si="10">F27</f>
        <v>100</v>
      </c>
      <c r="T27" s="664" t="s">
        <v>14</v>
      </c>
      <c r="U27" s="665">
        <f t="shared" ref="U27:U40" si="11">H27</f>
        <v>100</v>
      </c>
      <c r="V27" s="664" t="s">
        <v>14</v>
      </c>
      <c r="W27" s="665">
        <f t="shared" ref="W27:W40" si="12">J27</f>
        <v>100</v>
      </c>
      <c r="X27" s="1262"/>
      <c r="Y27" s="3424"/>
      <c r="Z27" s="1261" t="str">
        <f t="shared" ref="Z27:Z40" si="13">Q27</f>
        <v>临街状况</v>
      </c>
      <c r="AA27" s="1261">
        <f t="shared" si="3"/>
        <v>1</v>
      </c>
      <c r="AB27" s="1261">
        <f t="shared" si="4"/>
        <v>1</v>
      </c>
      <c r="AC27" s="1261">
        <f t="shared" si="5"/>
        <v>1</v>
      </c>
    </row>
    <row r="28" spans="1:29" ht="27">
      <c r="A28" s="365"/>
      <c r="B28" s="555" t="s">
        <v>1815</v>
      </c>
      <c r="C28" s="1834">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5"/>
      <c r="M28" s="2480"/>
      <c r="N28" s="2480"/>
      <c r="O28" s="2535"/>
      <c r="P28" s="3424"/>
      <c r="Q28" s="1260" t="str">
        <f t="shared" si="8"/>
        <v>毗邻道路的类型与等级</v>
      </c>
      <c r="R28" s="664" t="s">
        <v>14</v>
      </c>
      <c r="S28" s="665">
        <f t="shared" si="10"/>
        <v>100</v>
      </c>
      <c r="T28" s="664" t="s">
        <v>14</v>
      </c>
      <c r="U28" s="665">
        <f t="shared" si="11"/>
        <v>100</v>
      </c>
      <c r="V28" s="664" t="s">
        <v>14</v>
      </c>
      <c r="W28" s="665">
        <f t="shared" si="12"/>
        <v>100</v>
      </c>
      <c r="X28" s="1262"/>
      <c r="Y28" s="3424"/>
      <c r="Z28" s="1261" t="str">
        <f t="shared" si="13"/>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5"/>
      <c r="M29" s="2480"/>
      <c r="N29" s="2480"/>
      <c r="O29" s="2535"/>
      <c r="P29" s="3424"/>
      <c r="Q29" s="1260"/>
      <c r="R29" s="664"/>
      <c r="S29" s="665"/>
      <c r="T29" s="664"/>
      <c r="U29" s="665"/>
      <c r="V29" s="664"/>
      <c r="W29" s="665"/>
      <c r="X29" s="1262"/>
      <c r="Y29" s="3424"/>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5"/>
      <c r="M30" s="2480"/>
      <c r="N30" s="2480"/>
      <c r="O30" s="2535"/>
      <c r="P30" s="3424"/>
      <c r="Q30" s="1260" t="str">
        <f t="shared" si="8"/>
        <v>土地级别</v>
      </c>
      <c r="R30" s="664" t="s">
        <v>14</v>
      </c>
      <c r="S30" s="665">
        <f t="shared" si="10"/>
        <v>100</v>
      </c>
      <c r="T30" s="664" t="s">
        <v>14</v>
      </c>
      <c r="U30" s="665">
        <f t="shared" si="11"/>
        <v>100</v>
      </c>
      <c r="V30" s="664" t="s">
        <v>14</v>
      </c>
      <c r="W30" s="665">
        <f t="shared" si="12"/>
        <v>100</v>
      </c>
      <c r="X30" s="1262"/>
      <c r="Y30" s="3424"/>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5"/>
      <c r="M31" s="2480"/>
      <c r="N31" s="2480"/>
      <c r="O31" s="2535"/>
      <c r="P31" s="3424"/>
      <c r="Q31" s="1260">
        <f t="shared" si="8"/>
        <v>111</v>
      </c>
      <c r="R31" s="664" t="s">
        <v>14</v>
      </c>
      <c r="S31" s="665">
        <f t="shared" si="10"/>
        <v>100</v>
      </c>
      <c r="T31" s="664" t="s">
        <v>14</v>
      </c>
      <c r="U31" s="665">
        <f t="shared" si="11"/>
        <v>100</v>
      </c>
      <c r="V31" s="664" t="s">
        <v>14</v>
      </c>
      <c r="W31" s="665">
        <f t="shared" si="12"/>
        <v>100</v>
      </c>
      <c r="X31" s="1262"/>
      <c r="Y31" s="3424"/>
      <c r="Z31" s="1261">
        <f t="shared" si="13"/>
        <v>111</v>
      </c>
      <c r="AA31" s="1261">
        <f t="shared" si="3"/>
        <v>1</v>
      </c>
      <c r="AB31" s="1261">
        <f t="shared" si="4"/>
        <v>1</v>
      </c>
      <c r="AC31" s="1261">
        <f t="shared" si="5"/>
        <v>1</v>
      </c>
    </row>
    <row r="32" spans="1:29" ht="15">
      <c r="A32" s="593"/>
      <c r="B32" s="1835">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5"/>
      <c r="M32" s="2480"/>
      <c r="N32" s="2480"/>
      <c r="O32" s="2535"/>
      <c r="P32" s="3425" t="s">
        <v>1696</v>
      </c>
      <c r="Q32" s="1260">
        <f t="shared" si="8"/>
        <v>111</v>
      </c>
      <c r="R32" s="664" t="s">
        <v>14</v>
      </c>
      <c r="S32" s="665">
        <f t="shared" si="10"/>
        <v>100</v>
      </c>
      <c r="T32" s="664" t="s">
        <v>14</v>
      </c>
      <c r="U32" s="665">
        <f t="shared" si="11"/>
        <v>100</v>
      </c>
      <c r="V32" s="664" t="s">
        <v>14</v>
      </c>
      <c r="W32" s="665">
        <f t="shared" si="12"/>
        <v>100</v>
      </c>
      <c r="X32" s="1262"/>
      <c r="Y32" s="3426" t="s">
        <v>1696</v>
      </c>
      <c r="Z32" s="1261">
        <f t="shared" si="13"/>
        <v>111</v>
      </c>
      <c r="AA32" s="1261">
        <f t="shared" si="3"/>
        <v>1</v>
      </c>
      <c r="AB32" s="1261">
        <f t="shared" si="4"/>
        <v>1</v>
      </c>
      <c r="AC32" s="1261">
        <f t="shared" si="5"/>
        <v>1</v>
      </c>
    </row>
    <row r="33" spans="1:31" s="406" customFormat="1" ht="15.75" thickBot="1">
      <c r="A33" s="594"/>
      <c r="B33" s="1836">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4"/>
      <c r="M33" s="2486"/>
      <c r="N33" s="2486"/>
      <c r="O33" s="2536"/>
      <c r="P33" s="3426"/>
      <c r="Q33" s="1260">
        <f t="shared" si="8"/>
        <v>111</v>
      </c>
      <c r="R33" s="666" t="s">
        <v>14</v>
      </c>
      <c r="S33" s="667">
        <f t="shared" si="10"/>
        <v>100</v>
      </c>
      <c r="T33" s="666" t="s">
        <v>14</v>
      </c>
      <c r="U33" s="667">
        <f t="shared" si="11"/>
        <v>100</v>
      </c>
      <c r="V33" s="666" t="s">
        <v>14</v>
      </c>
      <c r="W33" s="667">
        <f t="shared" si="12"/>
        <v>100</v>
      </c>
      <c r="X33" s="668"/>
      <c r="Y33" s="3426"/>
      <c r="Z33" s="669">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5"/>
      <c r="M34" s="2480"/>
      <c r="N34" s="2480"/>
      <c r="O34" s="2535"/>
      <c r="P34" s="3426"/>
      <c r="Q34" s="1260" t="str">
        <f>B34</f>
        <v>宗地面积</v>
      </c>
      <c r="R34" s="664" t="s">
        <v>14</v>
      </c>
      <c r="S34" s="665" t="e">
        <f t="shared" si="10"/>
        <v>#N/A</v>
      </c>
      <c r="T34" s="664" t="s">
        <v>14</v>
      </c>
      <c r="U34" s="665" t="e">
        <f t="shared" si="11"/>
        <v>#N/A</v>
      </c>
      <c r="V34" s="664" t="s">
        <v>14</v>
      </c>
      <c r="W34" s="665" t="e">
        <f t="shared" si="12"/>
        <v>#N/A</v>
      </c>
      <c r="X34" s="1262"/>
      <c r="Y34" s="3426"/>
      <c r="Z34" s="1261" t="str">
        <f t="shared" si="13"/>
        <v>宗地面积</v>
      </c>
      <c r="AA34" s="1261" t="e">
        <f t="shared" si="3"/>
        <v>#N/A</v>
      </c>
      <c r="AB34" s="1261" t="e">
        <f t="shared" si="4"/>
        <v>#N/A</v>
      </c>
      <c r="AC34" s="1261" t="e">
        <f t="shared" si="5"/>
        <v>#N/A</v>
      </c>
    </row>
    <row r="35" spans="1:31" ht="15">
      <c r="A35" s="407"/>
      <c r="B35" s="362" t="s">
        <v>1875</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5"/>
      <c r="M35" s="2480"/>
      <c r="N35" s="2480"/>
      <c r="O35" s="2535"/>
      <c r="P35" s="3426"/>
      <c r="Q35" s="1260" t="str">
        <f t="shared" ref="Q35:Q40" si="14">B35</f>
        <v>宗地形状</v>
      </c>
      <c r="R35" s="664" t="s">
        <v>14</v>
      </c>
      <c r="S35" s="665">
        <f t="shared" si="10"/>
        <v>100</v>
      </c>
      <c r="T35" s="664" t="s">
        <v>14</v>
      </c>
      <c r="U35" s="665">
        <f t="shared" si="11"/>
        <v>100</v>
      </c>
      <c r="V35" s="664" t="s">
        <v>14</v>
      </c>
      <c r="W35" s="665">
        <f t="shared" si="12"/>
        <v>100</v>
      </c>
      <c r="X35" s="1262"/>
      <c r="Y35" s="3426"/>
      <c r="Z35" s="1261" t="str">
        <f t="shared" si="13"/>
        <v>宗地形状</v>
      </c>
      <c r="AA35" s="1261">
        <f t="shared" si="3"/>
        <v>1</v>
      </c>
      <c r="AB35" s="1261">
        <f t="shared" si="4"/>
        <v>1</v>
      </c>
      <c r="AC35" s="1261">
        <f t="shared" si="5"/>
        <v>1</v>
      </c>
    </row>
    <row r="36" spans="1:31" s="101" customFormat="1" ht="15">
      <c r="A36" s="408"/>
      <c r="B36" s="362" t="s">
        <v>1877</v>
      </c>
      <c r="C36" s="1824"/>
      <c r="D36" s="117">
        <v>100</v>
      </c>
      <c r="E36" s="1824"/>
      <c r="F36" s="372">
        <f>SUMIF(112:112,E36,113:113)-SUMIF(112:112,C36,113:113)+100</f>
        <v>100</v>
      </c>
      <c r="G36" s="1824"/>
      <c r="H36" s="372">
        <f>SUMIF(112:112,G36,113:113)-SUMIF(112:112,C36,113:113)+100</f>
        <v>100</v>
      </c>
      <c r="I36" s="1824"/>
      <c r="J36" s="372">
        <f>SUMIF(112:112,I36,113:113)-SUMIF(112:112,C36,113:113)+100</f>
        <v>100</v>
      </c>
      <c r="K36" s="536"/>
      <c r="L36" s="2481"/>
      <c r="M36" s="2433"/>
      <c r="N36" s="2433"/>
      <c r="O36" s="2533"/>
      <c r="P36" s="3426"/>
      <c r="Q36" s="1260" t="str">
        <f t="shared" si="14"/>
        <v>宗地开发程度</v>
      </c>
      <c r="R36" s="661" t="s">
        <v>14</v>
      </c>
      <c r="S36" s="662">
        <f t="shared" si="10"/>
        <v>100</v>
      </c>
      <c r="T36" s="661" t="s">
        <v>14</v>
      </c>
      <c r="U36" s="662">
        <f t="shared" si="11"/>
        <v>100</v>
      </c>
      <c r="V36" s="661" t="s">
        <v>14</v>
      </c>
      <c r="W36" s="662">
        <f t="shared" si="12"/>
        <v>100</v>
      </c>
      <c r="X36" s="663"/>
      <c r="Y36" s="3426"/>
      <c r="Z36" s="50" t="str">
        <f t="shared" si="13"/>
        <v>宗地开发程度</v>
      </c>
      <c r="AA36" s="50">
        <f t="shared" si="3"/>
        <v>1</v>
      </c>
      <c r="AB36" s="50">
        <f t="shared" si="4"/>
        <v>1</v>
      </c>
      <c r="AC36" s="50">
        <f t="shared" si="5"/>
        <v>1</v>
      </c>
    </row>
    <row r="37" spans="1:31" ht="15">
      <c r="A37" s="407"/>
      <c r="B37" s="362" t="s">
        <v>1878</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5"/>
      <c r="M37" s="2480"/>
      <c r="N37" s="2480"/>
      <c r="O37" s="2535"/>
      <c r="P37" s="3426" t="s">
        <v>1696</v>
      </c>
      <c r="Q37" s="1260" t="str">
        <f t="shared" si="14"/>
        <v>工程地质条件</v>
      </c>
      <c r="R37" s="664" t="s">
        <v>14</v>
      </c>
      <c r="S37" s="665">
        <f t="shared" si="10"/>
        <v>100</v>
      </c>
      <c r="T37" s="664" t="s">
        <v>14</v>
      </c>
      <c r="U37" s="665">
        <f t="shared" si="11"/>
        <v>100</v>
      </c>
      <c r="V37" s="664" t="s">
        <v>14</v>
      </c>
      <c r="W37" s="665">
        <f t="shared" si="12"/>
        <v>100</v>
      </c>
      <c r="X37" s="1262"/>
      <c r="Y37" s="3426"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5"/>
      <c r="M38" s="2480"/>
      <c r="N38" s="2480"/>
      <c r="O38" s="2535"/>
      <c r="P38" s="3426"/>
      <c r="Q38" s="1260">
        <f t="shared" si="14"/>
        <v>111</v>
      </c>
      <c r="R38" s="664" t="s">
        <v>14</v>
      </c>
      <c r="S38" s="665">
        <f t="shared" si="10"/>
        <v>100</v>
      </c>
      <c r="T38" s="664" t="s">
        <v>14</v>
      </c>
      <c r="U38" s="665">
        <f t="shared" si="11"/>
        <v>100</v>
      </c>
      <c r="V38" s="664" t="s">
        <v>14</v>
      </c>
      <c r="W38" s="665">
        <f t="shared" si="12"/>
        <v>100</v>
      </c>
      <c r="X38" s="1262"/>
      <c r="Y38" s="3426"/>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5"/>
      <c r="M39" s="2480"/>
      <c r="N39" s="2480"/>
      <c r="O39" s="2535"/>
      <c r="P39" s="3426"/>
      <c r="Q39" s="1260">
        <f t="shared" si="14"/>
        <v>111</v>
      </c>
      <c r="R39" s="664" t="s">
        <v>14</v>
      </c>
      <c r="S39" s="665">
        <f t="shared" si="10"/>
        <v>100</v>
      </c>
      <c r="T39" s="664" t="s">
        <v>14</v>
      </c>
      <c r="U39" s="665">
        <f t="shared" si="11"/>
        <v>100</v>
      </c>
      <c r="V39" s="664" t="s">
        <v>14</v>
      </c>
      <c r="W39" s="665">
        <f t="shared" si="12"/>
        <v>100</v>
      </c>
      <c r="X39" s="1262"/>
      <c r="Y39" s="3426"/>
      <c r="Z39" s="1261">
        <f t="shared" si="13"/>
        <v>111</v>
      </c>
      <c r="AA39" s="1261">
        <f t="shared" si="3"/>
        <v>1</v>
      </c>
      <c r="AB39" s="1261">
        <f t="shared" si="4"/>
        <v>1</v>
      </c>
      <c r="AC39" s="1261">
        <f t="shared" si="5"/>
        <v>1</v>
      </c>
    </row>
    <row r="40" spans="1:31" s="406" customFormat="1" ht="15.75" thickBot="1">
      <c r="A40" s="404"/>
      <c r="B40" s="1064">
        <v>111</v>
      </c>
      <c r="C40" s="1825"/>
      <c r="D40" s="118">
        <v>100</v>
      </c>
      <c r="E40" s="592"/>
      <c r="F40" s="375">
        <f>SUMIF(120:120,E40,121:121)-SUMIF(120:120,C40,121:121)+100</f>
        <v>100</v>
      </c>
      <c r="G40" s="592"/>
      <c r="H40" s="375">
        <f>SUMIF(120:120,G40,121:121)-SUMIF(120:120,C40,121:121)+100</f>
        <v>100</v>
      </c>
      <c r="I40" s="478"/>
      <c r="J40" s="375">
        <f>SUMIF(120:120,I40,121:121)-SUMIF(120:120,C40,121:121)+100</f>
        <v>100</v>
      </c>
      <c r="K40" s="599"/>
      <c r="L40" s="2484"/>
      <c r="M40" s="2486"/>
      <c r="N40" s="2486"/>
      <c r="O40" s="2536"/>
      <c r="P40" s="3426"/>
      <c r="Q40" s="1260">
        <f t="shared" si="14"/>
        <v>111</v>
      </c>
      <c r="R40" s="666" t="s">
        <v>14</v>
      </c>
      <c r="S40" s="667">
        <f t="shared" si="10"/>
        <v>100</v>
      </c>
      <c r="T40" s="666" t="s">
        <v>14</v>
      </c>
      <c r="U40" s="667">
        <f t="shared" si="11"/>
        <v>100</v>
      </c>
      <c r="V40" s="666" t="s">
        <v>14</v>
      </c>
      <c r="W40" s="667">
        <f t="shared" si="12"/>
        <v>100</v>
      </c>
      <c r="X40" s="668"/>
      <c r="Y40" s="3426"/>
      <c r="Z40" s="669">
        <f t="shared" si="13"/>
        <v>111</v>
      </c>
      <c r="AA40" s="1261">
        <f t="shared" si="3"/>
        <v>1</v>
      </c>
      <c r="AB40" s="1261">
        <f t="shared" si="4"/>
        <v>1</v>
      </c>
      <c r="AC40" s="1261">
        <f t="shared" si="5"/>
        <v>1</v>
      </c>
    </row>
    <row r="41" spans="1:31" ht="15">
      <c r="A41" s="414" t="s">
        <v>1844</v>
      </c>
      <c r="B41" s="1826" t="s">
        <v>1922</v>
      </c>
      <c r="C41" s="600" t="s">
        <v>0</v>
      </c>
      <c r="D41" s="416"/>
      <c r="E41" s="417"/>
      <c r="F41" s="418"/>
      <c r="G41" s="419"/>
      <c r="H41" s="420"/>
      <c r="I41" s="417"/>
      <c r="J41" s="420"/>
      <c r="K41" s="671"/>
      <c r="L41" s="2487"/>
      <c r="M41" s="2480"/>
      <c r="N41" s="2480"/>
      <c r="O41" s="2480"/>
      <c r="P41" s="3422" t="str">
        <f>A41</f>
        <v>成交单价</v>
      </c>
      <c r="Q41" s="3422"/>
      <c r="R41" s="3427">
        <f>E41</f>
        <v>0</v>
      </c>
      <c r="S41" s="3427"/>
      <c r="T41" s="3427">
        <f>G41</f>
        <v>0</v>
      </c>
      <c r="U41" s="3427"/>
      <c r="V41" s="3427">
        <f>I41</f>
        <v>0</v>
      </c>
      <c r="W41" s="3427"/>
      <c r="X41" s="383"/>
      <c r="Y41" s="670"/>
      <c r="Z41" s="383"/>
      <c r="AA41" s="383"/>
      <c r="AB41" s="383"/>
      <c r="AC41" s="383"/>
    </row>
    <row r="42" spans="1:31" ht="15.75" thickBot="1">
      <c r="A42" s="421" t="s">
        <v>1793</v>
      </c>
      <c r="B42" s="601"/>
      <c r="C42" s="424" t="e">
        <f>R43</f>
        <v>#DIV/0!</v>
      </c>
      <c r="D42" s="2137" t="s">
        <v>2137</v>
      </c>
      <c r="E42" s="424" t="e">
        <f>R42</f>
        <v>#DIV/0!</v>
      </c>
      <c r="F42" s="2138"/>
      <c r="G42" s="423" t="e">
        <f>T42</f>
        <v>#DIV/0!</v>
      </c>
      <c r="H42" s="2138"/>
      <c r="I42" s="424" t="e">
        <f>V42</f>
        <v>#DIV/0!</v>
      </c>
      <c r="J42" s="2138"/>
      <c r="K42" s="2140">
        <f>F42+H42+J42</f>
        <v>0</v>
      </c>
      <c r="L42" s="2487"/>
      <c r="M42" s="2480"/>
      <c r="N42" s="2480"/>
      <c r="O42" s="2480"/>
      <c r="P42" s="3422" t="str">
        <f>A42</f>
        <v>比较价值（元/平方米）</v>
      </c>
      <c r="Q42" s="3422"/>
      <c r="R42" s="3415" t="e">
        <f>ROUND(PRODUCT(R41,AA7:AA40),0)</f>
        <v>#DIV/0!</v>
      </c>
      <c r="S42" s="3415"/>
      <c r="T42" s="3415" t="e">
        <f>ROUND(PRODUCT(T41,AB7:AB40),0)</f>
        <v>#DIV/0!</v>
      </c>
      <c r="U42" s="3415"/>
      <c r="V42" s="3415" t="e">
        <f>ROUND(PRODUCT(V41,AC7:AC40),0)</f>
        <v>#DIV/0!</v>
      </c>
      <c r="W42" s="3415"/>
      <c r="X42" s="383"/>
      <c r="Y42" s="383"/>
      <c r="Z42" s="383"/>
      <c r="AA42" s="383"/>
      <c r="AB42" s="383"/>
      <c r="AC42" s="383"/>
    </row>
    <row r="43" spans="1:31" ht="15.75" thickBot="1">
      <c r="A43" s="425" t="s">
        <v>1794</v>
      </c>
      <c r="B43" s="426"/>
      <c r="C43" s="427" t="e">
        <f>R43</f>
        <v>#DIV/0!</v>
      </c>
      <c r="D43" s="427"/>
      <c r="E43" s="427"/>
      <c r="F43" s="427"/>
      <c r="G43" s="427"/>
      <c r="H43" s="427"/>
      <c r="I43" s="427"/>
      <c r="J43" s="427"/>
      <c r="K43" s="672"/>
      <c r="L43" s="2487"/>
      <c r="M43" s="2480"/>
      <c r="N43" s="2480"/>
      <c r="O43" s="2480"/>
      <c r="P43" s="3416" t="str">
        <f>A43</f>
        <v>估价对象XX用房的比较价值（楼面单价，元/平方米）</v>
      </c>
      <c r="Q43" s="3417"/>
      <c r="R43" s="3418" t="e">
        <f>ROUND(IF(D42="简单平均",AVERAGE(R42:W42),R42*F42+T42*H42+V42*J42),0)</f>
        <v>#DIV/0!</v>
      </c>
      <c r="S43" s="3418"/>
      <c r="T43" s="3418"/>
      <c r="U43" s="3418"/>
      <c r="V43" s="3418"/>
      <c r="W43" s="3418"/>
      <c r="X43" s="383"/>
      <c r="Y43" s="383"/>
      <c r="Z43" s="383"/>
      <c r="AA43" s="383"/>
      <c r="AB43" s="383"/>
      <c r="AC43" s="383"/>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4"/>
      <c r="D49" s="652"/>
      <c r="E49" s="652"/>
      <c r="F49" s="652"/>
      <c r="G49" s="652"/>
      <c r="H49" s="652"/>
      <c r="I49" s="652"/>
      <c r="J49" s="652"/>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2" t="s">
        <v>1881</v>
      </c>
      <c r="B50" s="603" t="s">
        <v>1882</v>
      </c>
      <c r="C50" s="1827" t="s">
        <v>1883</v>
      </c>
      <c r="D50" s="1828" t="s">
        <v>1884</v>
      </c>
      <c r="E50" s="604" t="s">
        <v>1885</v>
      </c>
      <c r="F50" s="605" t="s">
        <v>1886</v>
      </c>
      <c r="G50" s="3419" t="s">
        <v>1887</v>
      </c>
      <c r="H50" s="3420"/>
      <c r="I50" s="1261" t="s">
        <v>1923</v>
      </c>
      <c r="J50" s="1261">
        <f>项目基本情况!F35</f>
        <v>0</v>
      </c>
      <c r="K50" s="1830"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0" customFormat="1">
      <c r="A51" s="606" t="s">
        <v>1890</v>
      </c>
      <c r="B51" s="607" t="e">
        <f>C43</f>
        <v>#DIV/0!</v>
      </c>
      <c r="C51" s="608">
        <v>1</v>
      </c>
      <c r="D51" s="887">
        <v>1</v>
      </c>
      <c r="E51" s="608">
        <f>'数据-汇总表'!E8+'数据-汇总表'!E9</f>
        <v>79323.999999999854</v>
      </c>
      <c r="F51" s="609" t="e">
        <f t="shared" ref="F51:F60" si="15">ROUND(B51*E51/10000,0)</f>
        <v>#DIV/0!</v>
      </c>
      <c r="G51" s="3421"/>
      <c r="H51" s="3422"/>
      <c r="I51" s="724">
        <v>1</v>
      </c>
      <c r="J51" s="724">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0" customFormat="1">
      <c r="A52" s="611" t="s">
        <v>1891</v>
      </c>
      <c r="B52" s="208" t="e">
        <f>ROUND($C$43*C52*D52,0)</f>
        <v>#DIV/0!</v>
      </c>
      <c r="C52" s="161">
        <f t="shared" ref="C52:C60" si="16">IF($C$50="北京市系数",I52,J52)</f>
        <v>0.6</v>
      </c>
      <c r="D52" s="888">
        <v>0.25</v>
      </c>
      <c r="E52" s="612"/>
      <c r="F52" s="609" t="e">
        <f t="shared" si="15"/>
        <v>#DIV/0!</v>
      </c>
      <c r="G52" s="2743" t="s">
        <v>1892</v>
      </c>
      <c r="H52" s="831" t="str">
        <f>项目基本情况!B37</f>
        <v>七级</v>
      </c>
      <c r="I52" s="724">
        <f>SUMIF(修正!A57:A68,H52,修正!B57:B68)</f>
        <v>0.6</v>
      </c>
      <c r="J52" s="725"/>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0" customFormat="1">
      <c r="A53" s="611" t="s">
        <v>1893</v>
      </c>
      <c r="B53" s="208" t="e">
        <f t="shared" ref="B53:B60" si="17">ROUND($C$43*C53*D53,0)</f>
        <v>#DIV/0!</v>
      </c>
      <c r="C53" s="161">
        <f t="shared" si="16"/>
        <v>0.3</v>
      </c>
      <c r="D53" s="888">
        <v>0.25</v>
      </c>
      <c r="E53" s="612"/>
      <c r="F53" s="609" t="e">
        <f t="shared" si="15"/>
        <v>#DIV/0!</v>
      </c>
      <c r="G53" s="2744"/>
      <c r="H53" s="831" t="str">
        <f>项目基本情况!B37</f>
        <v>七级</v>
      </c>
      <c r="I53" s="724">
        <f>SUMIF(修正!A57:A68,H53,修正!C57:C68)</f>
        <v>0.3</v>
      </c>
      <c r="J53" s="725"/>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0" customFormat="1">
      <c r="A54" s="611" t="s">
        <v>1894</v>
      </c>
      <c r="B54" s="208" t="e">
        <f t="shared" si="17"/>
        <v>#DIV/0!</v>
      </c>
      <c r="C54" s="161">
        <f t="shared" si="16"/>
        <v>0.25</v>
      </c>
      <c r="D54" s="888">
        <v>0.25</v>
      </c>
      <c r="E54" s="612"/>
      <c r="F54" s="609" t="e">
        <f t="shared" si="15"/>
        <v>#DIV/0!</v>
      </c>
      <c r="G54" s="2744"/>
      <c r="H54" s="831" t="str">
        <f>项目基本情况!B37</f>
        <v>七级</v>
      </c>
      <c r="I54" s="724">
        <f>SUMIF(修正!A57:A68,H54,修正!D57:D68)</f>
        <v>0.25</v>
      </c>
      <c r="J54" s="725"/>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0" customFormat="1" hidden="1">
      <c r="A55" s="611"/>
      <c r="B55" s="208"/>
      <c r="C55" s="161"/>
      <c r="D55" s="888"/>
      <c r="E55" s="612"/>
      <c r="F55" s="609"/>
      <c r="G55" s="2745"/>
      <c r="H55" s="831"/>
      <c r="I55" s="724"/>
      <c r="J55" s="725"/>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0" customFormat="1">
      <c r="A56" s="611" t="s">
        <v>1895</v>
      </c>
      <c r="B56" s="208" t="e">
        <f t="shared" si="17"/>
        <v>#DIV/0!</v>
      </c>
      <c r="C56" s="161">
        <f t="shared" si="16"/>
        <v>0.25</v>
      </c>
      <c r="D56" s="888">
        <v>0.25</v>
      </c>
      <c r="E56" s="207">
        <f>'数据-汇总表'!E11</f>
        <v>0</v>
      </c>
      <c r="F56" s="609" t="e">
        <f t="shared" si="15"/>
        <v>#DIV/0!</v>
      </c>
      <c r="G56" s="1831" t="s">
        <v>1896</v>
      </c>
      <c r="H56" s="831" t="str">
        <f>项目基本情况!C37</f>
        <v>七级</v>
      </c>
      <c r="I56" s="724">
        <f>SUMIF(修正!A57:A68,H56,修正!E57:E68)</f>
        <v>0.25</v>
      </c>
      <c r="J56" s="725"/>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0" customFormat="1">
      <c r="A57" s="611" t="s">
        <v>1897</v>
      </c>
      <c r="B57" s="208" t="e">
        <f t="shared" si="17"/>
        <v>#DIV/0!</v>
      </c>
      <c r="C57" s="161">
        <f t="shared" si="16"/>
        <v>0.25</v>
      </c>
      <c r="D57" s="888">
        <v>0.25</v>
      </c>
      <c r="E57" s="207">
        <f>'数据-汇总表'!E12</f>
        <v>851.55000000000007</v>
      </c>
      <c r="F57" s="609" t="e">
        <f t="shared" si="15"/>
        <v>#DIV/0!</v>
      </c>
      <c r="G57" s="836" t="s">
        <v>1898</v>
      </c>
      <c r="H57" s="831" t="str">
        <f>IF(G57="商业",项目基本情况!B37,IF(G57="办公",项目基本情况!C37,IF(G57="住宅",项目基本情况!D37,项目基本情况!E37)))</f>
        <v>七级</v>
      </c>
      <c r="I57" s="724">
        <f>SUMIF(修正!A57:A68,H57,修正!F57:F68)</f>
        <v>0.25</v>
      </c>
      <c r="J57" s="725"/>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0" customFormat="1">
      <c r="A58" s="611" t="s">
        <v>1899</v>
      </c>
      <c r="B58" s="208" t="e">
        <f t="shared" si="17"/>
        <v>#DIV/0!</v>
      </c>
      <c r="C58" s="161">
        <f t="shared" si="16"/>
        <v>0.15</v>
      </c>
      <c r="D58" s="888">
        <v>0.25</v>
      </c>
      <c r="E58" s="207">
        <f>'数据-汇总表'!E13</f>
        <v>26180.310000000281</v>
      </c>
      <c r="F58" s="609" t="e">
        <f t="shared" si="15"/>
        <v>#DIV/0!</v>
      </c>
      <c r="G58" s="836" t="s">
        <v>1900</v>
      </c>
      <c r="H58" s="831" t="str">
        <f>IF(G58="商业",项目基本情况!B37,IF(G58="办公",项目基本情况!C37,IF(G58="住宅",项目基本情况!D37,项目基本情况!E37)))</f>
        <v>七级</v>
      </c>
      <c r="I58" s="724">
        <f>SUMIF(修正!A57:A68,H58,修正!G57:G68)</f>
        <v>0.15</v>
      </c>
      <c r="J58" s="725"/>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0" customFormat="1">
      <c r="A59" s="611" t="s">
        <v>1901</v>
      </c>
      <c r="B59" s="208" t="e">
        <f t="shared" si="17"/>
        <v>#DIV/0!</v>
      </c>
      <c r="C59" s="161">
        <f t="shared" si="16"/>
        <v>0.15</v>
      </c>
      <c r="D59" s="888">
        <v>0.25</v>
      </c>
      <c r="E59" s="207">
        <f>'数据-汇总表'!E14</f>
        <v>0</v>
      </c>
      <c r="F59" s="609" t="e">
        <f t="shared" si="15"/>
        <v>#DIV/0!</v>
      </c>
      <c r="G59" s="1831" t="s">
        <v>1892</v>
      </c>
      <c r="H59" s="831" t="str">
        <f>项目基本情况!B37</f>
        <v>七级</v>
      </c>
      <c r="I59" s="724">
        <f>SUMIF(修正!A57:A68,H59,修正!G57:G68)</f>
        <v>0.15</v>
      </c>
      <c r="J59" s="725"/>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0" customFormat="1" ht="15" thickBot="1">
      <c r="A60" s="611" t="s">
        <v>1902</v>
      </c>
      <c r="B60" s="208" t="e">
        <f t="shared" si="17"/>
        <v>#DIV/0!</v>
      </c>
      <c r="C60" s="161">
        <f t="shared" si="16"/>
        <v>0.15</v>
      </c>
      <c r="D60" s="888">
        <v>0.25</v>
      </c>
      <c r="E60" s="207">
        <f>'数据-汇总表'!E15</f>
        <v>0</v>
      </c>
      <c r="F60" s="609" t="e">
        <f t="shared" si="15"/>
        <v>#DIV/0!</v>
      </c>
      <c r="G60" s="1832" t="s">
        <v>1896</v>
      </c>
      <c r="H60" s="841" t="str">
        <f>项目基本情况!C37</f>
        <v>七级</v>
      </c>
      <c r="I60" s="724">
        <f>SUMIF(修正!A57:A68,H60,修正!G57:G68)</f>
        <v>0.15</v>
      </c>
      <c r="J60" s="725"/>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0" customFormat="1" ht="15" thickBot="1">
      <c r="A61" s="613" t="s">
        <v>1903</v>
      </c>
      <c r="B61" s="614" t="s">
        <v>22</v>
      </c>
      <c r="C61" s="614" t="s">
        <v>23</v>
      </c>
      <c r="D61" s="614" t="s">
        <v>392</v>
      </c>
      <c r="E61" s="614">
        <f>IF(B41="楼面地价",SUM(E51:E60),'数据-汇总表'!D3)</f>
        <v>39582.79</v>
      </c>
      <c r="F61" s="615" t="e">
        <f>IF(B41="楼面地价",SUM(F51:F60),ROUND(C43*E61/10000,0))</f>
        <v>#DIV/0!</v>
      </c>
      <c r="G61" s="882"/>
      <c r="H61" s="882"/>
      <c r="I61" s="882"/>
      <c r="J61" s="882"/>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8"/>
      <c r="B62" s="872"/>
      <c r="C62" s="874"/>
      <c r="D62" s="858"/>
      <c r="E62" s="858"/>
      <c r="F62" s="858"/>
      <c r="G62" s="858"/>
      <c r="H62" s="858"/>
      <c r="I62" s="858"/>
      <c r="J62" s="858"/>
      <c r="K62" s="832"/>
      <c r="L62" s="833"/>
      <c r="M62" s="858"/>
      <c r="N62" s="858"/>
      <c r="O62" s="858"/>
      <c r="P62" s="2480"/>
      <c r="Q62" s="2480"/>
      <c r="R62" s="2480"/>
      <c r="S62" s="2480"/>
      <c r="T62" s="2480"/>
      <c r="U62" s="2480"/>
      <c r="V62" s="2480"/>
      <c r="W62" s="2480"/>
      <c r="X62" s="2480"/>
      <c r="Y62" s="2480"/>
      <c r="Z62" s="2480"/>
      <c r="AA62" s="2480"/>
      <c r="AB62" s="2480"/>
      <c r="AC62" s="2480"/>
      <c r="AD62" s="2480"/>
      <c r="AE62" s="2480"/>
    </row>
    <row r="63" spans="1:31">
      <c r="A63" s="858"/>
      <c r="B63" s="872"/>
      <c r="C63" s="653" t="str">
        <f>YEAR(C7)&amp;"-"&amp;MONTH(C7)&amp;"-1"</f>
        <v>2024-12-1</v>
      </c>
      <c r="D63" s="653">
        <f>EDATE(C63,-3)</f>
        <v>45536</v>
      </c>
      <c r="E63" s="653">
        <f>EDATE(D63,-3)</f>
        <v>45444</v>
      </c>
      <c r="F63" s="653">
        <f t="shared" ref="F63:O63" si="18">EDATE(E63,-3)</f>
        <v>45352</v>
      </c>
      <c r="G63" s="653">
        <f t="shared" si="18"/>
        <v>45261</v>
      </c>
      <c r="H63" s="653">
        <f t="shared" si="18"/>
        <v>45170</v>
      </c>
      <c r="I63" s="653">
        <f t="shared" si="18"/>
        <v>45078</v>
      </c>
      <c r="J63" s="653">
        <f t="shared" si="18"/>
        <v>44986</v>
      </c>
      <c r="K63" s="653">
        <f t="shared" si="18"/>
        <v>44896</v>
      </c>
      <c r="L63" s="653">
        <f t="shared" si="18"/>
        <v>44805</v>
      </c>
      <c r="M63" s="653">
        <f t="shared" si="18"/>
        <v>44713</v>
      </c>
      <c r="N63" s="653">
        <f t="shared" si="18"/>
        <v>44621</v>
      </c>
      <c r="O63" s="653">
        <f t="shared" si="18"/>
        <v>44531</v>
      </c>
      <c r="P63" s="2480"/>
      <c r="Q63" s="2480"/>
      <c r="R63" s="2480"/>
      <c r="S63" s="2480"/>
      <c r="T63" s="2480"/>
      <c r="U63" s="2480"/>
      <c r="V63" s="2480"/>
      <c r="W63" s="2480"/>
      <c r="X63" s="2480"/>
      <c r="Y63" s="2480"/>
      <c r="Z63" s="2480"/>
      <c r="AA63" s="2480"/>
      <c r="AB63" s="2480"/>
      <c r="AC63" s="2480"/>
      <c r="AD63" s="2480"/>
      <c r="AE63" s="2480"/>
    </row>
    <row r="64" spans="1:31" ht="21.75" thickBot="1">
      <c r="A64" s="655" t="s">
        <v>1798</v>
      </c>
      <c r="B64" s="383"/>
      <c r="C64" s="656"/>
      <c r="D64" s="656"/>
      <c r="E64" s="656"/>
      <c r="F64" s="657"/>
      <c r="G64" s="657"/>
      <c r="H64" s="656"/>
      <c r="I64" s="656"/>
      <c r="J64" s="656"/>
      <c r="K64" s="658"/>
      <c r="L64" s="659"/>
      <c r="M64" s="656"/>
      <c r="N64" s="656"/>
      <c r="O64" s="883"/>
      <c r="P64" s="2530"/>
      <c r="Q64" s="2501"/>
      <c r="R64" s="2480"/>
      <c r="S64" s="2480"/>
      <c r="T64" s="2480"/>
      <c r="U64" s="2480"/>
      <c r="V64" s="2480"/>
      <c r="W64" s="2480"/>
      <c r="X64" s="2480"/>
      <c r="Y64" s="2480"/>
      <c r="Z64" s="2480"/>
      <c r="AA64" s="2480"/>
      <c r="AB64" s="2480"/>
      <c r="AC64" s="2480"/>
      <c r="AD64" s="2480"/>
      <c r="AE64" s="2480"/>
    </row>
    <row r="65" spans="1:31" s="440" customFormat="1" ht="15">
      <c r="A65" s="1626" t="s">
        <v>1904</v>
      </c>
      <c r="B65" s="1043"/>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3"/>
      <c r="Q65" s="2503"/>
      <c r="R65" s="2503"/>
      <c r="S65" s="2503"/>
      <c r="T65" s="2503"/>
      <c r="U65" s="2503"/>
      <c r="V65" s="2503"/>
      <c r="W65" s="2503"/>
      <c r="X65" s="2503"/>
      <c r="Y65" s="2503"/>
      <c r="Z65" s="2503"/>
      <c r="AA65" s="2503"/>
      <c r="AB65" s="2503"/>
      <c r="AC65" s="2503"/>
      <c r="AD65" s="2503"/>
      <c r="AE65" s="2503"/>
    </row>
    <row r="66" spans="1:31" s="101" customFormat="1" ht="30.75" customHeight="1">
      <c r="A66" s="1837"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1"/>
      <c r="Q66" s="2433"/>
      <c r="R66" s="2433"/>
      <c r="S66" s="2433"/>
      <c r="T66" s="2433"/>
      <c r="U66" s="2433"/>
      <c r="V66" s="2433"/>
      <c r="W66" s="2433"/>
      <c r="X66" s="2433"/>
      <c r="Y66" s="2433"/>
      <c r="Z66" s="2433"/>
      <c r="AA66" s="2433"/>
      <c r="AB66" s="2433"/>
      <c r="AC66" s="2433"/>
      <c r="AD66" s="2433"/>
      <c r="AE66" s="2433"/>
    </row>
    <row r="67" spans="1:31" s="101" customFormat="1" ht="15.75" thickBot="1">
      <c r="A67" s="447" t="s">
        <v>1716</v>
      </c>
      <c r="B67" s="448"/>
      <c r="C67" s="449"/>
      <c r="D67" s="450"/>
      <c r="E67" s="450"/>
      <c r="F67" s="450"/>
      <c r="G67" s="450"/>
      <c r="H67" s="450"/>
      <c r="I67" s="450"/>
      <c r="J67" s="450"/>
      <c r="K67" s="450"/>
      <c r="L67" s="450"/>
      <c r="M67" s="451"/>
      <c r="N67" s="451"/>
      <c r="O67" s="452"/>
      <c r="P67" s="2501"/>
      <c r="Q67" s="2501"/>
      <c r="R67" s="2433"/>
      <c r="S67" s="2433"/>
      <c r="T67" s="2433"/>
      <c r="U67" s="2433"/>
      <c r="V67" s="2433"/>
      <c r="W67" s="2433"/>
      <c r="X67" s="2433"/>
      <c r="Y67" s="2433"/>
      <c r="Z67" s="2433"/>
      <c r="AA67" s="2433"/>
      <c r="AB67" s="2433"/>
      <c r="AC67" s="2433"/>
      <c r="AD67" s="2433"/>
      <c r="AE67" s="2433"/>
    </row>
    <row r="68" spans="1:31" s="101" customFormat="1" ht="15">
      <c r="A68" s="453" t="s">
        <v>1681</v>
      </c>
      <c r="B68" s="442"/>
      <c r="C68" s="454" t="s">
        <v>1776</v>
      </c>
      <c r="D68" s="31"/>
      <c r="E68" s="31"/>
      <c r="F68" s="31"/>
      <c r="G68" s="31"/>
      <c r="H68" s="31"/>
      <c r="I68" s="31"/>
      <c r="J68" s="31"/>
      <c r="K68" s="31"/>
      <c r="L68" s="455"/>
      <c r="M68" s="456"/>
      <c r="N68" s="2513"/>
      <c r="O68" s="2513"/>
      <c r="P68" s="2537"/>
      <c r="Q68" s="2501"/>
      <c r="R68" s="2433"/>
      <c r="S68" s="2433"/>
      <c r="T68" s="2433"/>
      <c r="U68" s="2433"/>
      <c r="V68" s="2433"/>
      <c r="W68" s="2433"/>
      <c r="X68" s="2433"/>
      <c r="Y68" s="2433"/>
      <c r="Z68" s="2433"/>
      <c r="AA68" s="2433"/>
      <c r="AB68" s="2433"/>
      <c r="AC68" s="2433"/>
      <c r="AD68" s="2433"/>
      <c r="AE68" s="2433"/>
    </row>
    <row r="69" spans="1:31" s="101" customFormat="1" ht="15.75" thickBot="1">
      <c r="A69" s="453"/>
      <c r="B69" s="442"/>
      <c r="C69" s="561">
        <v>100</v>
      </c>
      <c r="D69" s="444"/>
      <c r="E69" s="444"/>
      <c r="F69" s="444"/>
      <c r="G69" s="444"/>
      <c r="H69" s="444"/>
      <c r="I69" s="444"/>
      <c r="J69" s="444"/>
      <c r="K69" s="444"/>
      <c r="L69" s="444"/>
      <c r="M69" s="446"/>
      <c r="N69" s="2513"/>
      <c r="O69" s="2513"/>
      <c r="P69" s="2501"/>
      <c r="Q69" s="2501"/>
      <c r="R69" s="2433"/>
      <c r="S69" s="2433"/>
      <c r="T69" s="2433"/>
      <c r="U69" s="2433"/>
      <c r="V69" s="2433"/>
      <c r="W69" s="2433"/>
      <c r="X69" s="2433"/>
      <c r="Y69" s="2433"/>
      <c r="Z69" s="2433"/>
      <c r="AA69" s="2433"/>
      <c r="AB69" s="2433"/>
      <c r="AC69" s="2433"/>
      <c r="AD69" s="2433"/>
      <c r="AE69" s="2433"/>
    </row>
    <row r="70" spans="1:31">
      <c r="A70" s="377" t="s">
        <v>1719</v>
      </c>
      <c r="B70" s="458" t="s">
        <v>1685</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5"/>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5"/>
      <c r="B72" s="467" t="s">
        <v>1688</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5"/>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5"/>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6"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6"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6"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6"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6" customFormat="1" ht="15.75" thickTop="1">
      <c r="A81" s="482"/>
      <c r="B81" s="475">
        <f>B14</f>
        <v>111</v>
      </c>
      <c r="C81" s="31"/>
      <c r="D81" s="31"/>
      <c r="E81" s="31"/>
      <c r="F81" s="31"/>
      <c r="G81" s="31"/>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6"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7" t="s">
        <v>1690</v>
      </c>
      <c r="B83" s="458" t="s">
        <v>1829</v>
      </c>
      <c r="C83" s="502" t="s">
        <v>1721</v>
      </c>
      <c r="D83" s="502" t="s">
        <v>1722</v>
      </c>
      <c r="E83" s="502" t="s">
        <v>1723</v>
      </c>
      <c r="F83" s="502" t="s">
        <v>1724</v>
      </c>
      <c r="G83" s="502" t="s">
        <v>1725</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5"/>
      <c r="B85" s="467" t="s">
        <v>1726</v>
      </c>
      <c r="C85" s="507" t="s">
        <v>1721</v>
      </c>
      <c r="D85" s="507" t="s">
        <v>1722</v>
      </c>
      <c r="E85" s="507" t="s">
        <v>1723</v>
      </c>
      <c r="F85" s="507" t="s">
        <v>1724</v>
      </c>
      <c r="G85" s="507" t="s">
        <v>1725</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1" customFormat="1" ht="15.75" thickTop="1">
      <c r="A87" s="368"/>
      <c r="B87" s="467" t="s">
        <v>1907</v>
      </c>
      <c r="C87" s="502" t="s">
        <v>1721</v>
      </c>
      <c r="D87" s="502" t="s">
        <v>1722</v>
      </c>
      <c r="E87" s="502" t="s">
        <v>1723</v>
      </c>
      <c r="F87" s="502" t="s">
        <v>1724</v>
      </c>
      <c r="G87" s="502" t="s">
        <v>1725</v>
      </c>
      <c r="H87" s="507"/>
      <c r="I87" s="507"/>
      <c r="J87" s="507"/>
      <c r="K87" s="507"/>
      <c r="L87" s="616"/>
      <c r="M87" s="545"/>
      <c r="N87" s="2513"/>
      <c r="O87" s="2513"/>
      <c r="P87" s="2513"/>
      <c r="Q87" s="2501"/>
      <c r="R87" s="2433"/>
      <c r="S87" s="2433"/>
      <c r="T87" s="2433"/>
      <c r="U87" s="2433"/>
      <c r="V87" s="2433"/>
      <c r="W87" s="2433"/>
      <c r="X87" s="2433"/>
      <c r="Y87" s="2433"/>
      <c r="Z87" s="2433"/>
      <c r="AA87" s="2433"/>
      <c r="AB87" s="2433"/>
      <c r="AC87" s="2433"/>
      <c r="AD87" s="2433"/>
      <c r="AE87" s="2433"/>
    </row>
    <row r="88" spans="1:31" s="101" customFormat="1" ht="15.75" thickBot="1">
      <c r="A88" s="368"/>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3"/>
      <c r="S88" s="2433"/>
      <c r="T88" s="2433"/>
      <c r="U88" s="2433"/>
      <c r="V88" s="2433"/>
      <c r="W88" s="2433"/>
      <c r="X88" s="2433"/>
      <c r="Y88" s="2433"/>
      <c r="Z88" s="2433"/>
      <c r="AA88" s="2433"/>
      <c r="AB88" s="2433"/>
      <c r="AC88" s="2433"/>
      <c r="AD88" s="2433"/>
      <c r="AE88" s="2433"/>
    </row>
    <row r="89" spans="1:31" s="101" customFormat="1" ht="27.75" thickTop="1">
      <c r="A89" s="368"/>
      <c r="B89" s="467" t="s">
        <v>1908</v>
      </c>
      <c r="C89" s="502" t="s">
        <v>1721</v>
      </c>
      <c r="D89" s="502" t="s">
        <v>1722</v>
      </c>
      <c r="E89" s="502" t="s">
        <v>1723</v>
      </c>
      <c r="F89" s="502" t="s">
        <v>1724</v>
      </c>
      <c r="G89" s="502" t="s">
        <v>1725</v>
      </c>
      <c r="H89" s="507"/>
      <c r="I89" s="507"/>
      <c r="J89" s="507"/>
      <c r="K89" s="507"/>
      <c r="L89" s="507"/>
      <c r="M89" s="545"/>
      <c r="N89" s="2513"/>
      <c r="O89" s="2513"/>
      <c r="P89" s="2513"/>
      <c r="Q89" s="2501"/>
      <c r="R89" s="2433"/>
      <c r="S89" s="2433"/>
      <c r="T89" s="2433"/>
      <c r="U89" s="2433"/>
      <c r="V89" s="2433"/>
      <c r="W89" s="2433"/>
      <c r="X89" s="2433"/>
      <c r="Y89" s="2433"/>
      <c r="Z89" s="2433"/>
      <c r="AA89" s="2433"/>
      <c r="AB89" s="2433"/>
      <c r="AC89" s="2433"/>
      <c r="AD89" s="2433"/>
      <c r="AE89" s="2433"/>
    </row>
    <row r="90" spans="1:31" s="101" customFormat="1" ht="15.75" thickBot="1">
      <c r="A90" s="368"/>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3"/>
      <c r="S90" s="2433"/>
      <c r="T90" s="2433"/>
      <c r="U90" s="2433"/>
      <c r="V90" s="2433"/>
      <c r="W90" s="2433"/>
      <c r="X90" s="2433"/>
      <c r="Y90" s="2433"/>
      <c r="Z90" s="2433"/>
      <c r="AA90" s="2433"/>
      <c r="AB90" s="2433"/>
      <c r="AC90" s="2433"/>
      <c r="AD90" s="2433"/>
      <c r="AE90" s="2433"/>
    </row>
    <row r="91" spans="1:31" s="406" customFormat="1" ht="15.75" thickTop="1">
      <c r="A91" s="482"/>
      <c r="B91" s="467" t="s">
        <v>1778</v>
      </c>
      <c r="C91" s="502" t="s">
        <v>1721</v>
      </c>
      <c r="D91" s="502" t="s">
        <v>1722</v>
      </c>
      <c r="E91" s="502" t="s">
        <v>1723</v>
      </c>
      <c r="F91" s="502" t="s">
        <v>1724</v>
      </c>
      <c r="G91" s="502" t="s">
        <v>1725</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6" customFormat="1" ht="15.75" thickTop="1">
      <c r="A93" s="482"/>
      <c r="B93" s="475" t="s">
        <v>1925</v>
      </c>
      <c r="C93" s="579" t="s">
        <v>1799</v>
      </c>
      <c r="D93" s="579" t="s">
        <v>1800</v>
      </c>
      <c r="E93" s="579" t="s">
        <v>1801</v>
      </c>
      <c r="F93" s="579" t="s">
        <v>1802</v>
      </c>
      <c r="G93" s="579" t="s">
        <v>1803</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2"/>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5"/>
      <c r="B95" s="467" t="str">
        <f>B27</f>
        <v>临街状况</v>
      </c>
      <c r="C95" s="468" t="s">
        <v>1909</v>
      </c>
      <c r="D95" s="468" t="s">
        <v>1910</v>
      </c>
      <c r="E95" s="468" t="s">
        <v>1911</v>
      </c>
      <c r="F95" s="468" t="s">
        <v>1912</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5"/>
      <c r="B97" s="467" t="s">
        <v>1815</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5"/>
      <c r="B99" s="467" t="s">
        <v>1873</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5"/>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5"/>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3"/>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5"/>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6" customFormat="1" ht="15" thickTop="1">
      <c r="A105" s="404"/>
      <c r="B105" s="521">
        <f>B33</f>
        <v>111</v>
      </c>
      <c r="C105" s="31"/>
      <c r="D105" s="31"/>
      <c r="E105" s="31"/>
      <c r="F105" s="31"/>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6" customFormat="1" ht="15.75" thickBot="1">
      <c r="A106" s="482"/>
      <c r="B106" s="475"/>
      <c r="C106" s="499"/>
      <c r="D106" s="499"/>
      <c r="E106" s="499"/>
      <c r="F106" s="499"/>
      <c r="G106" s="595"/>
      <c r="H106" s="595"/>
      <c r="I106" s="595"/>
      <c r="J106" s="595"/>
      <c r="K106" s="595"/>
      <c r="L106" s="595"/>
      <c r="M106" s="617"/>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5"/>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5"/>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7"/>
      <c r="B110" s="467" t="s">
        <v>1914</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6" customFormat="1" ht="15" thickTop="1">
      <c r="A112" s="404"/>
      <c r="B112" s="467" t="s">
        <v>1916</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7"/>
      <c r="B114" s="467" t="s">
        <v>1917</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7"/>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5"/>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7"/>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5"/>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6" customFormat="1" ht="15" thickTop="1">
      <c r="A120" s="404"/>
      <c r="B120" s="467">
        <f>B40</f>
        <v>111</v>
      </c>
      <c r="C120" s="31"/>
      <c r="D120" s="31"/>
      <c r="E120" s="31"/>
      <c r="F120" s="31"/>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6" customFormat="1" ht="15.75" thickBot="1">
      <c r="A121" s="497"/>
      <c r="B121" s="618"/>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836"/>
  <sheetViews>
    <sheetView zoomScale="90" zoomScaleNormal="90" workbookViewId="0">
      <pane ySplit="24" topLeftCell="A25" activePane="bottomLeft" state="frozen"/>
      <selection activeCell="Q80" sqref="Q80"/>
      <selection pane="bottomLeft" activeCell="K14" sqref="K14"/>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20" width="10.375" style="681" bestFit="1" customWidth="1"/>
    <col min="21" max="21" width="12.125" style="681" bestFit="1" customWidth="1"/>
    <col min="22" max="45" width="9" style="681"/>
    <col min="46" max="16384" width="9" style="120"/>
  </cols>
  <sheetData>
    <row r="1" spans="1:45" ht="14.25" customHeight="1" thickBot="1">
      <c r="A1" s="136"/>
      <c r="B1" s="926" t="s">
        <v>2083</v>
      </c>
      <c r="C1" s="3520" t="s">
        <v>2084</v>
      </c>
      <c r="D1" s="3521"/>
      <c r="E1" s="3521"/>
      <c r="F1" s="3521"/>
      <c r="G1" s="3521"/>
      <c r="H1" s="3521"/>
      <c r="I1" s="3521"/>
      <c r="J1" s="3521"/>
      <c r="K1" s="3521"/>
      <c r="L1" s="3521"/>
      <c r="M1" s="3521"/>
      <c r="N1" s="3521"/>
      <c r="O1" s="3521"/>
      <c r="P1" s="3521"/>
      <c r="Q1" s="3521"/>
      <c r="R1" s="3521"/>
      <c r="S1" s="3522"/>
      <c r="T1" s="926" t="s">
        <v>2085</v>
      </c>
    </row>
    <row r="2" spans="1:45" s="623" customFormat="1" ht="25.5">
      <c r="A2" s="927"/>
      <c r="B2" s="620" t="s">
        <v>2086</v>
      </c>
      <c r="C2" s="14" t="str">
        <f t="shared" ref="C2:L2" si="0">C3&amp;"(含)"&amp;"-"&amp;D3</f>
        <v>0(含)-35</v>
      </c>
      <c r="D2" s="621" t="str">
        <f t="shared" si="0"/>
        <v>35(含)-60</v>
      </c>
      <c r="E2" s="621" t="str">
        <f t="shared" si="0"/>
        <v>60(含)-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pans="1:45" s="627" customFormat="1" ht="14.25">
      <c r="A3" s="929"/>
      <c r="B3" s="624"/>
      <c r="C3" s="6">
        <v>0</v>
      </c>
      <c r="D3" s="6">
        <v>35</v>
      </c>
      <c r="E3" s="6">
        <v>60</v>
      </c>
      <c r="F3" s="1217"/>
      <c r="G3" s="1217"/>
      <c r="H3" s="1217"/>
      <c r="I3" s="1217"/>
      <c r="J3" s="1217"/>
      <c r="K3" s="1217"/>
      <c r="L3" s="1218"/>
      <c r="M3" s="1219"/>
      <c r="N3" s="1219"/>
      <c r="O3" s="1217"/>
      <c r="P3" s="1217"/>
      <c r="Q3" s="1217"/>
      <c r="R3" s="1217"/>
      <c r="S3" s="1220"/>
      <c r="T3" s="626"/>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pans="1:45" s="627" customFormat="1" ht="15" thickBot="1">
      <c r="A4" s="930"/>
      <c r="B4" s="931"/>
      <c r="C4" s="489">
        <v>100</v>
      </c>
      <c r="D4" s="465">
        <v>120</v>
      </c>
      <c r="E4" s="465">
        <v>130</v>
      </c>
      <c r="F4" s="1221"/>
      <c r="G4" s="1221"/>
      <c r="H4" s="1221"/>
      <c r="I4" s="1221"/>
      <c r="J4" s="1221"/>
      <c r="K4" s="1221"/>
      <c r="L4" s="1221"/>
      <c r="M4" s="1222"/>
      <c r="N4" s="1222"/>
      <c r="O4" s="1221"/>
      <c r="P4" s="1221"/>
      <c r="Q4" s="1221"/>
      <c r="R4" s="1221"/>
      <c r="S4" s="1223"/>
      <c r="T4" s="936"/>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pans="1:45" s="24" customFormat="1" ht="13.5" thickTop="1">
      <c r="A5" s="922"/>
      <c r="B5" s="1246" t="s">
        <v>2087</v>
      </c>
      <c r="C5" s="937"/>
      <c r="D5" s="938"/>
      <c r="E5" s="938"/>
      <c r="F5" s="1224"/>
      <c r="G5" s="1224"/>
      <c r="H5" s="1224"/>
      <c r="I5" s="1224"/>
      <c r="J5" s="1224"/>
      <c r="K5" s="1224"/>
      <c r="L5" s="1225"/>
      <c r="M5" s="1226"/>
      <c r="N5" s="1226"/>
      <c r="O5" s="1224"/>
      <c r="P5" s="1224"/>
      <c r="Q5" s="1224"/>
      <c r="R5" s="1224"/>
      <c r="S5" s="1227"/>
      <c r="T5" s="940"/>
      <c r="U5" s="684"/>
      <c r="V5" s="684"/>
      <c r="W5" s="684"/>
      <c r="X5" s="684"/>
      <c r="Y5" s="684"/>
      <c r="Z5" s="684"/>
      <c r="AA5" s="684"/>
      <c r="AB5" s="684"/>
      <c r="AC5" s="684"/>
      <c r="AD5" s="684"/>
      <c r="AE5" s="684"/>
      <c r="AF5" s="684"/>
      <c r="AG5" s="684"/>
      <c r="AH5" s="684"/>
      <c r="AI5" s="684"/>
      <c r="AJ5" s="684"/>
      <c r="AK5" s="684"/>
      <c r="AL5" s="684"/>
      <c r="AM5" s="684"/>
      <c r="AN5" s="684"/>
      <c r="AO5" s="684"/>
      <c r="AP5" s="684"/>
      <c r="AQ5" s="684"/>
      <c r="AR5" s="684"/>
      <c r="AS5" s="684"/>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4"/>
      <c r="V6" s="684"/>
      <c r="W6" s="684"/>
      <c r="X6" s="684"/>
      <c r="Y6" s="684"/>
      <c r="Z6" s="684"/>
      <c r="AA6" s="684"/>
      <c r="AB6" s="684"/>
      <c r="AC6" s="684"/>
      <c r="AD6" s="684"/>
      <c r="AE6" s="684"/>
      <c r="AF6" s="684"/>
      <c r="AG6" s="684"/>
      <c r="AH6" s="684"/>
      <c r="AI6" s="684"/>
      <c r="AJ6" s="684"/>
      <c r="AK6" s="684"/>
      <c r="AL6" s="684"/>
      <c r="AM6" s="684"/>
      <c r="AN6" s="684"/>
      <c r="AO6" s="684"/>
      <c r="AP6" s="684"/>
      <c r="AQ6" s="684"/>
      <c r="AR6" s="684"/>
      <c r="AS6" s="684"/>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8"/>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4"/>
      <c r="V8" s="684"/>
      <c r="W8" s="684"/>
      <c r="X8" s="684"/>
      <c r="Y8" s="684"/>
      <c r="Z8" s="684"/>
      <c r="AA8" s="684"/>
      <c r="AB8" s="684"/>
      <c r="AC8" s="684"/>
      <c r="AD8" s="684"/>
      <c r="AE8" s="684"/>
      <c r="AF8" s="684"/>
      <c r="AG8" s="684"/>
      <c r="AH8" s="684"/>
      <c r="AI8" s="684"/>
      <c r="AJ8" s="684"/>
      <c r="AK8" s="684"/>
      <c r="AL8" s="684"/>
      <c r="AM8" s="684"/>
      <c r="AN8" s="684"/>
      <c r="AO8" s="684"/>
      <c r="AP8" s="684"/>
      <c r="AQ8" s="684"/>
      <c r="AR8" s="684"/>
      <c r="AS8" s="684"/>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8"/>
      <c r="U9" s="684"/>
      <c r="V9" s="684"/>
      <c r="W9" s="684"/>
      <c r="X9" s="684"/>
      <c r="Y9" s="684"/>
      <c r="Z9" s="684"/>
      <c r="AA9" s="684"/>
      <c r="AB9" s="684"/>
      <c r="AC9" s="684"/>
      <c r="AD9" s="684"/>
      <c r="AE9" s="684"/>
      <c r="AF9" s="684"/>
      <c r="AG9" s="684"/>
      <c r="AH9" s="684"/>
      <c r="AI9" s="684"/>
      <c r="AJ9" s="684"/>
      <c r="AK9" s="684"/>
      <c r="AL9" s="684"/>
      <c r="AM9" s="684"/>
      <c r="AN9" s="684"/>
      <c r="AO9" s="684"/>
      <c r="AP9" s="684"/>
      <c r="AQ9" s="684"/>
      <c r="AR9" s="684"/>
      <c r="AS9" s="684"/>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4"/>
      <c r="V10" s="684"/>
      <c r="W10" s="684"/>
      <c r="X10" s="684"/>
      <c r="Y10" s="684"/>
      <c r="Z10" s="684"/>
      <c r="AA10" s="684"/>
      <c r="AB10" s="684"/>
      <c r="AC10" s="684"/>
      <c r="AD10" s="684"/>
      <c r="AE10" s="684"/>
      <c r="AF10" s="684"/>
      <c r="AG10" s="684"/>
      <c r="AH10" s="684"/>
      <c r="AI10" s="684"/>
      <c r="AJ10" s="684"/>
      <c r="AK10" s="684"/>
      <c r="AL10" s="684"/>
      <c r="AM10" s="684"/>
      <c r="AN10" s="684"/>
      <c r="AO10" s="684"/>
      <c r="AP10" s="684"/>
      <c r="AQ10" s="684"/>
      <c r="AR10" s="684"/>
      <c r="AS10" s="684"/>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4"/>
      <c r="V12" s="684"/>
      <c r="W12" s="684"/>
      <c r="X12" s="684"/>
      <c r="Y12" s="684"/>
      <c r="Z12" s="684"/>
      <c r="AA12" s="684"/>
      <c r="AB12" s="684"/>
      <c r="AC12" s="684"/>
      <c r="AD12" s="684"/>
      <c r="AE12" s="684"/>
      <c r="AF12" s="684"/>
      <c r="AG12" s="684"/>
      <c r="AH12" s="684"/>
      <c r="AI12" s="684"/>
      <c r="AJ12" s="684"/>
      <c r="AK12" s="684"/>
      <c r="AL12" s="684"/>
      <c r="AM12" s="684"/>
      <c r="AN12" s="684"/>
      <c r="AO12" s="684"/>
      <c r="AP12" s="684"/>
      <c r="AQ12" s="684"/>
      <c r="AR12" s="684"/>
      <c r="AS12" s="684"/>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4"/>
      <c r="V13" s="684"/>
      <c r="W13" s="684"/>
      <c r="X13" s="684"/>
      <c r="Y13" s="684"/>
      <c r="Z13" s="684"/>
      <c r="AA13" s="684"/>
      <c r="AB13" s="684"/>
      <c r="AC13" s="684"/>
      <c r="AD13" s="684"/>
      <c r="AE13" s="684"/>
      <c r="AF13" s="684"/>
      <c r="AG13" s="684"/>
      <c r="AH13" s="684"/>
      <c r="AI13" s="684"/>
      <c r="AJ13" s="684"/>
      <c r="AK13" s="684"/>
      <c r="AL13" s="684"/>
      <c r="AM13" s="684"/>
      <c r="AN13" s="684"/>
      <c r="AO13" s="684"/>
      <c r="AP13" s="684"/>
      <c r="AQ13" s="684"/>
      <c r="AR13" s="684"/>
      <c r="AS13" s="684"/>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4"/>
      <c r="V14" s="684"/>
      <c r="W14" s="684"/>
      <c r="X14" s="684"/>
      <c r="Y14" s="684"/>
      <c r="Z14" s="684"/>
      <c r="AA14" s="684"/>
      <c r="AB14" s="684"/>
      <c r="AC14" s="684"/>
      <c r="AD14" s="684"/>
      <c r="AE14" s="684"/>
      <c r="AF14" s="684"/>
      <c r="AG14" s="684"/>
      <c r="AH14" s="684"/>
      <c r="AI14" s="684"/>
      <c r="AJ14" s="684"/>
      <c r="AK14" s="684"/>
      <c r="AL14" s="684"/>
      <c r="AM14" s="684"/>
      <c r="AN14" s="684"/>
      <c r="AO14" s="684"/>
      <c r="AP14" s="684"/>
      <c r="AQ14" s="684"/>
      <c r="AR14" s="684"/>
      <c r="AS14" s="684"/>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4"/>
      <c r="V15" s="684"/>
      <c r="W15" s="684"/>
      <c r="X15" s="684"/>
      <c r="Y15" s="684"/>
      <c r="Z15" s="684"/>
      <c r="AA15" s="684"/>
      <c r="AB15" s="684"/>
      <c r="AC15" s="684"/>
      <c r="AD15" s="684"/>
      <c r="AE15" s="684"/>
      <c r="AF15" s="684"/>
      <c r="AG15" s="684"/>
      <c r="AH15" s="684"/>
      <c r="AI15" s="684"/>
      <c r="AJ15" s="684"/>
      <c r="AK15" s="684"/>
      <c r="AL15" s="684"/>
      <c r="AM15" s="684"/>
      <c r="AN15" s="684"/>
      <c r="AO15" s="684"/>
      <c r="AP15" s="684"/>
      <c r="AQ15" s="684"/>
      <c r="AR15" s="684"/>
      <c r="AS15" s="684"/>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row>
    <row r="17" spans="1:45" s="623" customFormat="1">
      <c r="A17" s="1982" t="s">
        <v>2093</v>
      </c>
      <c r="B17" s="1983"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2"/>
      <c r="AS17" s="682"/>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2"/>
      <c r="AS18" s="682"/>
    </row>
    <row r="19" spans="1:45">
      <c r="A19" s="119"/>
      <c r="B19" s="149"/>
      <c r="C19" s="149"/>
      <c r="D19" s="1984" t="s">
        <v>2095</v>
      </c>
      <c r="E19" s="1250"/>
      <c r="F19" s="1250"/>
      <c r="G19" s="1250"/>
      <c r="H19" s="993"/>
      <c r="I19" s="149"/>
      <c r="J19" s="149"/>
      <c r="K19" s="149"/>
      <c r="L19" s="149"/>
      <c r="M19" s="149"/>
      <c r="N19" s="149"/>
      <c r="O19" s="149"/>
      <c r="P19" s="149"/>
      <c r="Q19" s="149"/>
      <c r="R19" s="149"/>
      <c r="S19" s="119"/>
    </row>
    <row r="20" spans="1:45" ht="16.5" thickBot="1">
      <c r="A20" s="629" t="s">
        <v>2096</v>
      </c>
      <c r="B20" s="284">
        <f>IF(D20="——",S22,S22-F20)</f>
        <v>427380</v>
      </c>
      <c r="C20" s="149"/>
      <c r="D20" s="1985" t="s">
        <v>43</v>
      </c>
      <c r="E20" s="1251"/>
      <c r="F20" s="926" t="e">
        <f ca="1">SUMIF(INDIRECT("'"&amp;H20&amp;"'"&amp;"!A:A"),"承租人权益价值",INDIRECT("'"&amp;H20&amp;"'"&amp;"!c:c"))</f>
        <v>#REF!</v>
      </c>
      <c r="G20" s="926" t="s">
        <v>2097</v>
      </c>
      <c r="H20" s="1986"/>
      <c r="I20" s="149"/>
      <c r="J20" s="149"/>
      <c r="K20" s="149"/>
      <c r="L20" s="149"/>
      <c r="M20" s="149"/>
      <c r="N20" s="149"/>
      <c r="O20" s="149"/>
      <c r="P20" s="149"/>
      <c r="Q20" s="149"/>
      <c r="R20" s="149"/>
      <c r="S20" s="119"/>
    </row>
    <row r="21" spans="1:45" ht="15.75">
      <c r="A21" s="629" t="s">
        <v>2098</v>
      </c>
      <c r="B21" s="284">
        <f>ROUND(B20*10000/B22,0)</f>
        <v>163245</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26180.310000000281</v>
      </c>
      <c r="C22" s="3517" t="s">
        <v>27</v>
      </c>
      <c r="D22" s="3518"/>
      <c r="E22" s="3518"/>
      <c r="F22" s="3518"/>
      <c r="G22" s="3518"/>
      <c r="H22" s="3518"/>
      <c r="I22" s="3518"/>
      <c r="J22" s="3518"/>
      <c r="K22" s="3518"/>
      <c r="L22" s="3518"/>
      <c r="M22" s="3518"/>
      <c r="N22" s="3518"/>
      <c r="O22" s="3518"/>
      <c r="P22" s="3518"/>
      <c r="Q22" s="3519"/>
      <c r="R22" s="21">
        <f>ROUND(S22*10000/B22,0)</f>
        <v>163245</v>
      </c>
      <c r="S22" s="21">
        <f>SUM(S24:S10000)</f>
        <v>427380</v>
      </c>
      <c r="U22" s="681">
        <f>'比较法-车位'!B3</f>
        <v>4981</v>
      </c>
      <c r="V22" s="3182">
        <f>B24</f>
        <v>32.61</v>
      </c>
      <c r="W22" s="681">
        <f>U22*V22</f>
        <v>162430.41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5">
        <f>ROUND(SUM(R24:R826)/10000,0)</f>
        <v>12965</v>
      </c>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row>
    <row r="24" spans="1:45" s="633" customFormat="1">
      <c r="A24" s="630">
        <f>面积!B679</f>
        <v>-1001</v>
      </c>
      <c r="B24" s="3179">
        <f>面积!C679</f>
        <v>32.61</v>
      </c>
      <c r="C24" s="2563">
        <v>1</v>
      </c>
      <c r="D24" s="2564"/>
      <c r="E24" s="2563">
        <v>1</v>
      </c>
      <c r="F24" s="2564"/>
      <c r="G24" s="2563">
        <v>1</v>
      </c>
      <c r="H24" s="2564"/>
      <c r="I24" s="2563">
        <v>1</v>
      </c>
      <c r="J24" s="2564"/>
      <c r="K24" s="2563">
        <v>1</v>
      </c>
      <c r="L24" s="2564"/>
      <c r="M24" s="2563">
        <v>1</v>
      </c>
      <c r="N24" s="2564"/>
      <c r="O24" s="2563">
        <v>1</v>
      </c>
      <c r="P24" s="2564"/>
      <c r="Q24" s="2563">
        <v>1</v>
      </c>
      <c r="R24" s="630">
        <f>ROUND(W22,0)</f>
        <v>162430</v>
      </c>
      <c r="S24" s="631">
        <f t="shared" ref="S24:S54" si="11">ROUND(R24*B24/10000,0)</f>
        <v>530</v>
      </c>
      <c r="T24" s="686"/>
      <c r="U24" s="686"/>
      <c r="V24" s="686"/>
      <c r="W24" s="686"/>
      <c r="X24" s="686"/>
      <c r="Y24" s="686"/>
      <c r="Z24" s="686"/>
      <c r="AA24" s="686"/>
      <c r="AB24" s="686"/>
      <c r="AC24" s="686"/>
      <c r="AD24" s="686"/>
      <c r="AE24" s="686"/>
      <c r="AF24" s="686"/>
      <c r="AG24" s="686"/>
      <c r="AH24" s="686"/>
      <c r="AI24" s="686"/>
      <c r="AJ24" s="686"/>
      <c r="AK24" s="686"/>
      <c r="AL24" s="686"/>
      <c r="AM24" s="686"/>
      <c r="AN24" s="686"/>
      <c r="AO24" s="686"/>
      <c r="AP24" s="686"/>
      <c r="AQ24" s="686"/>
      <c r="AR24" s="686"/>
      <c r="AS24" s="686"/>
    </row>
    <row r="25" spans="1:45">
      <c r="A25" s="3180">
        <f>面积!B680</f>
        <v>-1002</v>
      </c>
      <c r="B25" s="3181">
        <f>面积!C680</f>
        <v>52.86</v>
      </c>
      <c r="C25" s="21">
        <f>IF(B25="",1,(LOOKUP(B25,$3:$3,$4:$4)-LOOKUP($B$24,$3:$3,$4:$4)+100)/100)</f>
        <v>1.2</v>
      </c>
      <c r="D25" s="632"/>
      <c r="E25" s="21">
        <f>(SUMIF($5:$5,D25,$6:$6)-SUMIF($5:$5,$D$24,$6:$6)+100)/100</f>
        <v>1</v>
      </c>
      <c r="F25" s="632"/>
      <c r="G25" s="21">
        <f>(SUMIF($7:$7,F25,$8:$8)-SUMIF($7:$7,$F$24,$8:$8)+100)/100</f>
        <v>1</v>
      </c>
      <c r="H25" s="632"/>
      <c r="I25" s="21">
        <f>(SUMIF($9:$9,H25,$10:$10)-SUMIF($9:$9,$H$24,$10:$10)+100)/100</f>
        <v>1</v>
      </c>
      <c r="J25" s="632"/>
      <c r="K25" s="21">
        <f>(SUMIF($11:$11,J25,$12:$12)-SUMIF($11:$11,$J$24,$12:$12)+100)/100</f>
        <v>1</v>
      </c>
      <c r="L25" s="632"/>
      <c r="M25" s="21">
        <f>(SUMIF($13:$13,L25,$14:$14)-SUMIF($13:$13,$L$24,$14:$14)+100)/100</f>
        <v>1</v>
      </c>
      <c r="N25" s="632"/>
      <c r="O25" s="21">
        <f>(SUMIF($15:$15,N25,$16:$16)-SUMIF($15:$15,$N$24,$16:$16)+100)/100</f>
        <v>1</v>
      </c>
      <c r="P25" s="632"/>
      <c r="Q25" s="21">
        <f>(SUMIF($17:$17,P25,$18:$18)-SUMIF($17:$17,$P$24,$18:$18)+100)/100</f>
        <v>1</v>
      </c>
      <c r="R25" s="21">
        <f>IF(B25="",0,ROUND($R$24*C25*E25*G25*I25*K25*M25*O25*Q25,0))</f>
        <v>194916</v>
      </c>
      <c r="S25" s="306">
        <f t="shared" si="11"/>
        <v>1030</v>
      </c>
    </row>
    <row r="26" spans="1:45">
      <c r="A26" s="3180">
        <f>面积!B681</f>
        <v>-1003</v>
      </c>
      <c r="B26" s="3181">
        <f>面积!C681</f>
        <v>32.61</v>
      </c>
      <c r="C26" s="21">
        <f t="shared" ref="C26:C89" si="12">IF(B26="",1,(LOOKUP(B26,$3:$3,$4:$4)-LOOKUP($B$24,$3:$3,$4:$4)+100)/100)</f>
        <v>1</v>
      </c>
      <c r="D26" s="632"/>
      <c r="E26" s="21">
        <f t="shared" ref="E26:E89" si="13">(SUMIF($5:$5,D26,$6:$6)-SUMIF($5:$5,$D$24,$6:$6)+100)/100</f>
        <v>1</v>
      </c>
      <c r="F26" s="632"/>
      <c r="G26" s="21">
        <f t="shared" ref="G26:G89" si="14">(SUMIF($7:$7,F26,$8:$8)-SUMIF($7:$7,$F$24,$8:$8)+100)/100</f>
        <v>1</v>
      </c>
      <c r="H26" s="632"/>
      <c r="I26" s="21">
        <f t="shared" ref="I26:I89" si="15">(SUMIF($9:$9,H26,$10:$10)-SUMIF($9:$9,$H$24,$10:$10)+100)/100</f>
        <v>1</v>
      </c>
      <c r="J26" s="632"/>
      <c r="K26" s="21">
        <f t="shared" ref="K26:K89" si="16">(SUMIF($11:$11,J26,$12:$12)-SUMIF($11:$11,$J$24,$12:$12)+100)/100</f>
        <v>1</v>
      </c>
      <c r="L26" s="632"/>
      <c r="M26" s="21">
        <f t="shared" ref="M26:M89" si="17">(SUMIF($13:$13,L26,$14:$14)-SUMIF($13:$13,$L$24,$14:$14)+100)/100</f>
        <v>1</v>
      </c>
      <c r="N26" s="632"/>
      <c r="O26" s="21">
        <f t="shared" ref="O26:O89" si="18">(SUMIF($15:$15,N26,$16:$16)-SUMIF($15:$15,$N$24,$16:$16)+100)/100</f>
        <v>1</v>
      </c>
      <c r="P26" s="632"/>
      <c r="Q26" s="21">
        <f t="shared" ref="Q26:Q89" si="19">(SUMIF($17:$17,P26,$18:$18)-SUMIF($17:$17,$P$24,$18:$18)+100)/100</f>
        <v>1</v>
      </c>
      <c r="R26" s="21">
        <f t="shared" ref="R26:R89" si="20">IF(B26="",0,ROUND($R$24*C26*E26*G26*I26*K26*M26*O26*Q26,0))</f>
        <v>162430</v>
      </c>
      <c r="S26" s="306">
        <f t="shared" si="11"/>
        <v>530</v>
      </c>
    </row>
    <row r="27" spans="1:45">
      <c r="A27" s="3180">
        <f>面积!B682</f>
        <v>-1004</v>
      </c>
      <c r="B27" s="3181">
        <f>面积!C682</f>
        <v>32.61</v>
      </c>
      <c r="C27" s="21">
        <f t="shared" si="12"/>
        <v>1</v>
      </c>
      <c r="D27" s="632"/>
      <c r="E27" s="21">
        <f t="shared" si="13"/>
        <v>1</v>
      </c>
      <c r="F27" s="632"/>
      <c r="G27" s="21">
        <f t="shared" si="14"/>
        <v>1</v>
      </c>
      <c r="H27" s="632"/>
      <c r="I27" s="21">
        <f t="shared" si="15"/>
        <v>1</v>
      </c>
      <c r="J27" s="632"/>
      <c r="K27" s="21">
        <f t="shared" si="16"/>
        <v>1</v>
      </c>
      <c r="L27" s="632"/>
      <c r="M27" s="21">
        <f t="shared" si="17"/>
        <v>1</v>
      </c>
      <c r="N27" s="632"/>
      <c r="O27" s="21">
        <f t="shared" si="18"/>
        <v>1</v>
      </c>
      <c r="P27" s="632"/>
      <c r="Q27" s="21">
        <f t="shared" si="19"/>
        <v>1</v>
      </c>
      <c r="R27" s="21">
        <f t="shared" si="20"/>
        <v>162430</v>
      </c>
      <c r="S27" s="306">
        <f t="shared" si="11"/>
        <v>530</v>
      </c>
    </row>
    <row r="28" spans="1:45">
      <c r="A28" s="3180">
        <f>面积!B683</f>
        <v>-1005</v>
      </c>
      <c r="B28" s="3181">
        <f>面积!C683</f>
        <v>32.61</v>
      </c>
      <c r="C28" s="21">
        <f t="shared" si="12"/>
        <v>1</v>
      </c>
      <c r="D28" s="632"/>
      <c r="E28" s="21">
        <f t="shared" si="13"/>
        <v>1</v>
      </c>
      <c r="F28" s="632"/>
      <c r="G28" s="21">
        <f t="shared" si="14"/>
        <v>1</v>
      </c>
      <c r="H28" s="632"/>
      <c r="I28" s="21">
        <f t="shared" si="15"/>
        <v>1</v>
      </c>
      <c r="J28" s="632"/>
      <c r="K28" s="21">
        <f t="shared" si="16"/>
        <v>1</v>
      </c>
      <c r="L28" s="632"/>
      <c r="M28" s="21">
        <f t="shared" si="17"/>
        <v>1</v>
      </c>
      <c r="N28" s="632"/>
      <c r="O28" s="21">
        <f t="shared" si="18"/>
        <v>1</v>
      </c>
      <c r="P28" s="632"/>
      <c r="Q28" s="21">
        <f t="shared" si="19"/>
        <v>1</v>
      </c>
      <c r="R28" s="21">
        <f t="shared" si="20"/>
        <v>162430</v>
      </c>
      <c r="S28" s="306">
        <f t="shared" si="11"/>
        <v>530</v>
      </c>
    </row>
    <row r="29" spans="1:45">
      <c r="A29" s="3180">
        <f>面积!B684</f>
        <v>-1006</v>
      </c>
      <c r="B29" s="3181">
        <f>面积!C684</f>
        <v>32.61</v>
      </c>
      <c r="C29" s="21">
        <f t="shared" si="12"/>
        <v>1</v>
      </c>
      <c r="D29" s="632"/>
      <c r="E29" s="21">
        <f t="shared" si="13"/>
        <v>1</v>
      </c>
      <c r="F29" s="632"/>
      <c r="G29" s="21">
        <f t="shared" si="14"/>
        <v>1</v>
      </c>
      <c r="H29" s="632"/>
      <c r="I29" s="21">
        <f t="shared" si="15"/>
        <v>1</v>
      </c>
      <c r="J29" s="632"/>
      <c r="K29" s="21">
        <f t="shared" si="16"/>
        <v>1</v>
      </c>
      <c r="L29" s="632"/>
      <c r="M29" s="21">
        <f t="shared" si="17"/>
        <v>1</v>
      </c>
      <c r="N29" s="632"/>
      <c r="O29" s="21">
        <f t="shared" si="18"/>
        <v>1</v>
      </c>
      <c r="P29" s="632"/>
      <c r="Q29" s="21">
        <f t="shared" si="19"/>
        <v>1</v>
      </c>
      <c r="R29" s="21">
        <f t="shared" si="20"/>
        <v>162430</v>
      </c>
      <c r="S29" s="306">
        <f t="shared" si="11"/>
        <v>530</v>
      </c>
    </row>
    <row r="30" spans="1:45">
      <c r="A30" s="3180">
        <f>面积!B685</f>
        <v>-1007</v>
      </c>
      <c r="B30" s="3181">
        <f>面积!C685</f>
        <v>32.61</v>
      </c>
      <c r="C30" s="21">
        <f t="shared" si="12"/>
        <v>1</v>
      </c>
      <c r="D30" s="632"/>
      <c r="E30" s="21">
        <f t="shared" si="13"/>
        <v>1</v>
      </c>
      <c r="F30" s="632"/>
      <c r="G30" s="21">
        <f t="shared" si="14"/>
        <v>1</v>
      </c>
      <c r="H30" s="632"/>
      <c r="I30" s="21">
        <f t="shared" si="15"/>
        <v>1</v>
      </c>
      <c r="J30" s="632"/>
      <c r="K30" s="21">
        <f t="shared" si="16"/>
        <v>1</v>
      </c>
      <c r="L30" s="632"/>
      <c r="M30" s="21">
        <f t="shared" si="17"/>
        <v>1</v>
      </c>
      <c r="N30" s="632"/>
      <c r="O30" s="21">
        <f t="shared" si="18"/>
        <v>1</v>
      </c>
      <c r="P30" s="632"/>
      <c r="Q30" s="21">
        <f t="shared" si="19"/>
        <v>1</v>
      </c>
      <c r="R30" s="21">
        <f t="shared" si="20"/>
        <v>162430</v>
      </c>
      <c r="S30" s="306">
        <f t="shared" si="11"/>
        <v>530</v>
      </c>
    </row>
    <row r="31" spans="1:45">
      <c r="A31" s="3180">
        <f>面积!B686</f>
        <v>-1009</v>
      </c>
      <c r="B31" s="3181">
        <f>面积!C686</f>
        <v>32.61</v>
      </c>
      <c r="C31" s="21">
        <f t="shared" si="12"/>
        <v>1</v>
      </c>
      <c r="D31" s="632"/>
      <c r="E31" s="21">
        <f t="shared" si="13"/>
        <v>1</v>
      </c>
      <c r="F31" s="632"/>
      <c r="G31" s="21">
        <f t="shared" si="14"/>
        <v>1</v>
      </c>
      <c r="H31" s="632"/>
      <c r="I31" s="21">
        <f t="shared" si="15"/>
        <v>1</v>
      </c>
      <c r="J31" s="632"/>
      <c r="K31" s="21">
        <f t="shared" si="16"/>
        <v>1</v>
      </c>
      <c r="L31" s="632"/>
      <c r="M31" s="21">
        <f t="shared" si="17"/>
        <v>1</v>
      </c>
      <c r="N31" s="632"/>
      <c r="O31" s="21">
        <f t="shared" si="18"/>
        <v>1</v>
      </c>
      <c r="P31" s="632"/>
      <c r="Q31" s="21">
        <f t="shared" si="19"/>
        <v>1</v>
      </c>
      <c r="R31" s="21">
        <f t="shared" si="20"/>
        <v>162430</v>
      </c>
      <c r="S31" s="306">
        <f t="shared" si="11"/>
        <v>530</v>
      </c>
    </row>
    <row r="32" spans="1:45">
      <c r="A32" s="3180">
        <f>面积!B687</f>
        <v>-1010</v>
      </c>
      <c r="B32" s="3181">
        <f>面积!C687</f>
        <v>32.61</v>
      </c>
      <c r="C32" s="21">
        <f t="shared" si="12"/>
        <v>1</v>
      </c>
      <c r="D32" s="632"/>
      <c r="E32" s="21">
        <f t="shared" si="13"/>
        <v>1</v>
      </c>
      <c r="F32" s="632"/>
      <c r="G32" s="21">
        <f t="shared" si="14"/>
        <v>1</v>
      </c>
      <c r="H32" s="632"/>
      <c r="I32" s="21">
        <f t="shared" si="15"/>
        <v>1</v>
      </c>
      <c r="J32" s="632"/>
      <c r="K32" s="21">
        <f t="shared" si="16"/>
        <v>1</v>
      </c>
      <c r="L32" s="632"/>
      <c r="M32" s="21">
        <f t="shared" si="17"/>
        <v>1</v>
      </c>
      <c r="N32" s="632"/>
      <c r="O32" s="21">
        <f t="shared" si="18"/>
        <v>1</v>
      </c>
      <c r="P32" s="632"/>
      <c r="Q32" s="21">
        <f t="shared" si="19"/>
        <v>1</v>
      </c>
      <c r="R32" s="21">
        <f t="shared" si="20"/>
        <v>162430</v>
      </c>
      <c r="S32" s="306">
        <f t="shared" si="11"/>
        <v>530</v>
      </c>
    </row>
    <row r="33" spans="1:19">
      <c r="A33" s="3180">
        <f>面积!B688</f>
        <v>-1011</v>
      </c>
      <c r="B33" s="3181">
        <f>面积!C688</f>
        <v>32.61</v>
      </c>
      <c r="C33" s="21">
        <f t="shared" si="12"/>
        <v>1</v>
      </c>
      <c r="D33" s="632"/>
      <c r="E33" s="21">
        <f t="shared" si="13"/>
        <v>1</v>
      </c>
      <c r="F33" s="632"/>
      <c r="G33" s="21">
        <f t="shared" si="14"/>
        <v>1</v>
      </c>
      <c r="H33" s="632"/>
      <c r="I33" s="21">
        <f t="shared" si="15"/>
        <v>1</v>
      </c>
      <c r="J33" s="632"/>
      <c r="K33" s="21">
        <f t="shared" si="16"/>
        <v>1</v>
      </c>
      <c r="L33" s="632"/>
      <c r="M33" s="21">
        <f t="shared" si="17"/>
        <v>1</v>
      </c>
      <c r="N33" s="632"/>
      <c r="O33" s="21">
        <f t="shared" si="18"/>
        <v>1</v>
      </c>
      <c r="P33" s="632"/>
      <c r="Q33" s="21">
        <f t="shared" si="19"/>
        <v>1</v>
      </c>
      <c r="R33" s="21">
        <f t="shared" si="20"/>
        <v>162430</v>
      </c>
      <c r="S33" s="306">
        <f t="shared" si="11"/>
        <v>530</v>
      </c>
    </row>
    <row r="34" spans="1:19">
      <c r="A34" s="3180">
        <f>面积!B689</f>
        <v>-1012</v>
      </c>
      <c r="B34" s="3181">
        <f>面积!C689</f>
        <v>32.61</v>
      </c>
      <c r="C34" s="21">
        <f t="shared" si="12"/>
        <v>1</v>
      </c>
      <c r="D34" s="632"/>
      <c r="E34" s="21">
        <f t="shared" si="13"/>
        <v>1</v>
      </c>
      <c r="F34" s="632"/>
      <c r="G34" s="21">
        <f t="shared" si="14"/>
        <v>1</v>
      </c>
      <c r="H34" s="632"/>
      <c r="I34" s="21">
        <f t="shared" si="15"/>
        <v>1</v>
      </c>
      <c r="J34" s="632"/>
      <c r="K34" s="21">
        <f t="shared" si="16"/>
        <v>1</v>
      </c>
      <c r="L34" s="632"/>
      <c r="M34" s="21">
        <f t="shared" si="17"/>
        <v>1</v>
      </c>
      <c r="N34" s="632"/>
      <c r="O34" s="21">
        <f t="shared" si="18"/>
        <v>1</v>
      </c>
      <c r="P34" s="632"/>
      <c r="Q34" s="21">
        <f t="shared" si="19"/>
        <v>1</v>
      </c>
      <c r="R34" s="21">
        <f t="shared" si="20"/>
        <v>162430</v>
      </c>
      <c r="S34" s="306">
        <f t="shared" si="11"/>
        <v>530</v>
      </c>
    </row>
    <row r="35" spans="1:19">
      <c r="A35" s="3180">
        <f>面积!B690</f>
        <v>-1013</v>
      </c>
      <c r="B35" s="3181">
        <f>面积!C690</f>
        <v>32.61</v>
      </c>
      <c r="C35" s="21">
        <f t="shared" si="12"/>
        <v>1</v>
      </c>
      <c r="D35" s="632"/>
      <c r="E35" s="21">
        <f t="shared" si="13"/>
        <v>1</v>
      </c>
      <c r="F35" s="632"/>
      <c r="G35" s="21">
        <f t="shared" si="14"/>
        <v>1</v>
      </c>
      <c r="H35" s="632"/>
      <c r="I35" s="21">
        <f t="shared" si="15"/>
        <v>1</v>
      </c>
      <c r="J35" s="632"/>
      <c r="K35" s="21">
        <f t="shared" si="16"/>
        <v>1</v>
      </c>
      <c r="L35" s="632"/>
      <c r="M35" s="21">
        <f t="shared" si="17"/>
        <v>1</v>
      </c>
      <c r="N35" s="632"/>
      <c r="O35" s="21">
        <f t="shared" si="18"/>
        <v>1</v>
      </c>
      <c r="P35" s="632"/>
      <c r="Q35" s="21">
        <f t="shared" si="19"/>
        <v>1</v>
      </c>
      <c r="R35" s="21">
        <f t="shared" si="20"/>
        <v>162430</v>
      </c>
      <c r="S35" s="306">
        <f t="shared" si="11"/>
        <v>530</v>
      </c>
    </row>
    <row r="36" spans="1:19">
      <c r="A36" s="3180">
        <f>面积!B691</f>
        <v>-1014</v>
      </c>
      <c r="B36" s="3181">
        <f>面积!C691</f>
        <v>32.61</v>
      </c>
      <c r="C36" s="21">
        <f t="shared" si="12"/>
        <v>1</v>
      </c>
      <c r="D36" s="632"/>
      <c r="E36" s="21">
        <f t="shared" si="13"/>
        <v>1</v>
      </c>
      <c r="F36" s="632"/>
      <c r="G36" s="21">
        <f t="shared" si="14"/>
        <v>1</v>
      </c>
      <c r="H36" s="632"/>
      <c r="I36" s="21">
        <f t="shared" si="15"/>
        <v>1</v>
      </c>
      <c r="J36" s="632"/>
      <c r="K36" s="21">
        <f t="shared" si="16"/>
        <v>1</v>
      </c>
      <c r="L36" s="632"/>
      <c r="M36" s="21">
        <f t="shared" si="17"/>
        <v>1</v>
      </c>
      <c r="N36" s="632"/>
      <c r="O36" s="21">
        <f t="shared" si="18"/>
        <v>1</v>
      </c>
      <c r="P36" s="632"/>
      <c r="Q36" s="21">
        <f t="shared" si="19"/>
        <v>1</v>
      </c>
      <c r="R36" s="21">
        <f t="shared" si="20"/>
        <v>162430</v>
      </c>
      <c r="S36" s="306">
        <f t="shared" si="11"/>
        <v>530</v>
      </c>
    </row>
    <row r="37" spans="1:19">
      <c r="A37" s="3180">
        <f>面积!B692</f>
        <v>-1015</v>
      </c>
      <c r="B37" s="3181">
        <f>面积!C692</f>
        <v>32.61</v>
      </c>
      <c r="C37" s="21">
        <f t="shared" si="12"/>
        <v>1</v>
      </c>
      <c r="D37" s="632"/>
      <c r="E37" s="21">
        <f t="shared" si="13"/>
        <v>1</v>
      </c>
      <c r="F37" s="632"/>
      <c r="G37" s="21">
        <f t="shared" si="14"/>
        <v>1</v>
      </c>
      <c r="H37" s="632"/>
      <c r="I37" s="21">
        <f t="shared" si="15"/>
        <v>1</v>
      </c>
      <c r="J37" s="632"/>
      <c r="K37" s="21">
        <f t="shared" si="16"/>
        <v>1</v>
      </c>
      <c r="L37" s="632"/>
      <c r="M37" s="21">
        <f t="shared" si="17"/>
        <v>1</v>
      </c>
      <c r="N37" s="632"/>
      <c r="O37" s="21">
        <f t="shared" si="18"/>
        <v>1</v>
      </c>
      <c r="P37" s="632"/>
      <c r="Q37" s="21">
        <f t="shared" si="19"/>
        <v>1</v>
      </c>
      <c r="R37" s="21">
        <f t="shared" si="20"/>
        <v>162430</v>
      </c>
      <c r="S37" s="306">
        <f t="shared" si="11"/>
        <v>530</v>
      </c>
    </row>
    <row r="38" spans="1:19">
      <c r="A38" s="3180">
        <f>面积!B693</f>
        <v>-1016</v>
      </c>
      <c r="B38" s="3181">
        <f>面积!C693</f>
        <v>32.61</v>
      </c>
      <c r="C38" s="21">
        <f t="shared" si="12"/>
        <v>1</v>
      </c>
      <c r="D38" s="632"/>
      <c r="E38" s="21">
        <f t="shared" si="13"/>
        <v>1</v>
      </c>
      <c r="F38" s="632"/>
      <c r="G38" s="21">
        <f t="shared" si="14"/>
        <v>1</v>
      </c>
      <c r="H38" s="632"/>
      <c r="I38" s="21">
        <f t="shared" si="15"/>
        <v>1</v>
      </c>
      <c r="J38" s="632"/>
      <c r="K38" s="21">
        <f t="shared" si="16"/>
        <v>1</v>
      </c>
      <c r="L38" s="632"/>
      <c r="M38" s="21">
        <f t="shared" si="17"/>
        <v>1</v>
      </c>
      <c r="N38" s="632"/>
      <c r="O38" s="21">
        <f t="shared" si="18"/>
        <v>1</v>
      </c>
      <c r="P38" s="632"/>
      <c r="Q38" s="21">
        <f t="shared" si="19"/>
        <v>1</v>
      </c>
      <c r="R38" s="21">
        <f t="shared" si="20"/>
        <v>162430</v>
      </c>
      <c r="S38" s="306">
        <f t="shared" si="11"/>
        <v>530</v>
      </c>
    </row>
    <row r="39" spans="1:19">
      <c r="A39" s="3180">
        <f>面积!B694</f>
        <v>-1017</v>
      </c>
      <c r="B39" s="3181">
        <f>面积!C694</f>
        <v>32.61</v>
      </c>
      <c r="C39" s="21">
        <f t="shared" si="12"/>
        <v>1</v>
      </c>
      <c r="D39" s="632"/>
      <c r="E39" s="21">
        <f t="shared" si="13"/>
        <v>1</v>
      </c>
      <c r="F39" s="632"/>
      <c r="G39" s="21">
        <f t="shared" si="14"/>
        <v>1</v>
      </c>
      <c r="H39" s="632"/>
      <c r="I39" s="21">
        <f t="shared" si="15"/>
        <v>1</v>
      </c>
      <c r="J39" s="632"/>
      <c r="K39" s="21">
        <f t="shared" si="16"/>
        <v>1</v>
      </c>
      <c r="L39" s="632"/>
      <c r="M39" s="21">
        <f t="shared" si="17"/>
        <v>1</v>
      </c>
      <c r="N39" s="632"/>
      <c r="O39" s="21">
        <f t="shared" si="18"/>
        <v>1</v>
      </c>
      <c r="P39" s="632"/>
      <c r="Q39" s="21">
        <f t="shared" si="19"/>
        <v>1</v>
      </c>
      <c r="R39" s="21">
        <f t="shared" si="20"/>
        <v>162430</v>
      </c>
      <c r="S39" s="306">
        <f t="shared" si="11"/>
        <v>530</v>
      </c>
    </row>
    <row r="40" spans="1:19">
      <c r="A40" s="3180">
        <f>面积!B695</f>
        <v>-1018</v>
      </c>
      <c r="B40" s="3181">
        <f>面积!C695</f>
        <v>32.61</v>
      </c>
      <c r="C40" s="21">
        <f t="shared" si="12"/>
        <v>1</v>
      </c>
      <c r="D40" s="632"/>
      <c r="E40" s="21">
        <f t="shared" si="13"/>
        <v>1</v>
      </c>
      <c r="F40" s="632"/>
      <c r="G40" s="21">
        <f t="shared" si="14"/>
        <v>1</v>
      </c>
      <c r="H40" s="632"/>
      <c r="I40" s="21">
        <f t="shared" si="15"/>
        <v>1</v>
      </c>
      <c r="J40" s="632"/>
      <c r="K40" s="21">
        <f t="shared" si="16"/>
        <v>1</v>
      </c>
      <c r="L40" s="632"/>
      <c r="M40" s="21">
        <f t="shared" si="17"/>
        <v>1</v>
      </c>
      <c r="N40" s="632"/>
      <c r="O40" s="21">
        <f t="shared" si="18"/>
        <v>1</v>
      </c>
      <c r="P40" s="632"/>
      <c r="Q40" s="21">
        <f t="shared" si="19"/>
        <v>1</v>
      </c>
      <c r="R40" s="21">
        <f t="shared" si="20"/>
        <v>162430</v>
      </c>
      <c r="S40" s="306">
        <f t="shared" si="11"/>
        <v>530</v>
      </c>
    </row>
    <row r="41" spans="1:19">
      <c r="A41" s="3180">
        <f>面积!B696</f>
        <v>-1019</v>
      </c>
      <c r="B41" s="3181">
        <f>面积!C696</f>
        <v>52.86</v>
      </c>
      <c r="C41" s="21">
        <f t="shared" si="12"/>
        <v>1.2</v>
      </c>
      <c r="D41" s="632"/>
      <c r="E41" s="21">
        <f t="shared" si="13"/>
        <v>1</v>
      </c>
      <c r="F41" s="632"/>
      <c r="G41" s="21">
        <f t="shared" si="14"/>
        <v>1</v>
      </c>
      <c r="H41" s="632"/>
      <c r="I41" s="21">
        <f t="shared" si="15"/>
        <v>1</v>
      </c>
      <c r="J41" s="632"/>
      <c r="K41" s="21">
        <f t="shared" si="16"/>
        <v>1</v>
      </c>
      <c r="L41" s="632"/>
      <c r="M41" s="21">
        <f t="shared" si="17"/>
        <v>1</v>
      </c>
      <c r="N41" s="632"/>
      <c r="O41" s="21">
        <f t="shared" si="18"/>
        <v>1</v>
      </c>
      <c r="P41" s="632"/>
      <c r="Q41" s="21">
        <f t="shared" si="19"/>
        <v>1</v>
      </c>
      <c r="R41" s="21">
        <f t="shared" si="20"/>
        <v>194916</v>
      </c>
      <c r="S41" s="306">
        <f t="shared" si="11"/>
        <v>1030</v>
      </c>
    </row>
    <row r="42" spans="1:19">
      <c r="A42" s="3180">
        <f>面积!B697</f>
        <v>-1020</v>
      </c>
      <c r="B42" s="3181">
        <f>面积!C697</f>
        <v>52.86</v>
      </c>
      <c r="C42" s="21">
        <f t="shared" si="12"/>
        <v>1.2</v>
      </c>
      <c r="D42" s="632"/>
      <c r="E42" s="21">
        <f t="shared" si="13"/>
        <v>1</v>
      </c>
      <c r="F42" s="632"/>
      <c r="G42" s="21">
        <f t="shared" si="14"/>
        <v>1</v>
      </c>
      <c r="H42" s="632"/>
      <c r="I42" s="21">
        <f t="shared" si="15"/>
        <v>1</v>
      </c>
      <c r="J42" s="632"/>
      <c r="K42" s="21">
        <f t="shared" si="16"/>
        <v>1</v>
      </c>
      <c r="L42" s="632"/>
      <c r="M42" s="21">
        <f t="shared" si="17"/>
        <v>1</v>
      </c>
      <c r="N42" s="632"/>
      <c r="O42" s="21">
        <f t="shared" si="18"/>
        <v>1</v>
      </c>
      <c r="P42" s="632"/>
      <c r="Q42" s="21">
        <f t="shared" si="19"/>
        <v>1</v>
      </c>
      <c r="R42" s="21">
        <f t="shared" si="20"/>
        <v>194916</v>
      </c>
      <c r="S42" s="306">
        <f t="shared" si="11"/>
        <v>1030</v>
      </c>
    </row>
    <row r="43" spans="1:19">
      <c r="A43" s="3180">
        <f>面积!B698</f>
        <v>-1021</v>
      </c>
      <c r="B43" s="3181">
        <f>面积!C698</f>
        <v>32.61</v>
      </c>
      <c r="C43" s="21">
        <f t="shared" si="12"/>
        <v>1</v>
      </c>
      <c r="D43" s="632"/>
      <c r="E43" s="21">
        <f t="shared" si="13"/>
        <v>1</v>
      </c>
      <c r="F43" s="632"/>
      <c r="G43" s="21">
        <f t="shared" si="14"/>
        <v>1</v>
      </c>
      <c r="H43" s="632"/>
      <c r="I43" s="21">
        <f t="shared" si="15"/>
        <v>1</v>
      </c>
      <c r="J43" s="632"/>
      <c r="K43" s="21">
        <f t="shared" si="16"/>
        <v>1</v>
      </c>
      <c r="L43" s="632"/>
      <c r="M43" s="21">
        <f t="shared" si="17"/>
        <v>1</v>
      </c>
      <c r="N43" s="632"/>
      <c r="O43" s="21">
        <f t="shared" si="18"/>
        <v>1</v>
      </c>
      <c r="P43" s="632"/>
      <c r="Q43" s="21">
        <f t="shared" si="19"/>
        <v>1</v>
      </c>
      <c r="R43" s="21">
        <f t="shared" si="20"/>
        <v>162430</v>
      </c>
      <c r="S43" s="306">
        <f t="shared" si="11"/>
        <v>530</v>
      </c>
    </row>
    <row r="44" spans="1:19">
      <c r="A44" s="3180">
        <f>面积!B699</f>
        <v>-1022</v>
      </c>
      <c r="B44" s="3181">
        <f>面积!C699</f>
        <v>32.61</v>
      </c>
      <c r="C44" s="21">
        <f t="shared" si="12"/>
        <v>1</v>
      </c>
      <c r="D44" s="632"/>
      <c r="E44" s="21">
        <f t="shared" si="13"/>
        <v>1</v>
      </c>
      <c r="F44" s="632"/>
      <c r="G44" s="21">
        <f t="shared" si="14"/>
        <v>1</v>
      </c>
      <c r="H44" s="632"/>
      <c r="I44" s="21">
        <f t="shared" si="15"/>
        <v>1</v>
      </c>
      <c r="J44" s="632"/>
      <c r="K44" s="21">
        <f t="shared" si="16"/>
        <v>1</v>
      </c>
      <c r="L44" s="632"/>
      <c r="M44" s="21">
        <f t="shared" si="17"/>
        <v>1</v>
      </c>
      <c r="N44" s="632"/>
      <c r="O44" s="21">
        <f t="shared" si="18"/>
        <v>1</v>
      </c>
      <c r="P44" s="632"/>
      <c r="Q44" s="21">
        <f t="shared" si="19"/>
        <v>1</v>
      </c>
      <c r="R44" s="21">
        <f t="shared" si="20"/>
        <v>162430</v>
      </c>
      <c r="S44" s="306">
        <f t="shared" si="11"/>
        <v>530</v>
      </c>
    </row>
    <row r="45" spans="1:19">
      <c r="A45" s="3180">
        <f>面积!B700</f>
        <v>-1023</v>
      </c>
      <c r="B45" s="3181">
        <f>面积!C700</f>
        <v>32.61</v>
      </c>
      <c r="C45" s="21">
        <f t="shared" si="12"/>
        <v>1</v>
      </c>
      <c r="D45" s="632"/>
      <c r="E45" s="21">
        <f t="shared" si="13"/>
        <v>1</v>
      </c>
      <c r="F45" s="632"/>
      <c r="G45" s="21">
        <f t="shared" si="14"/>
        <v>1</v>
      </c>
      <c r="H45" s="632"/>
      <c r="I45" s="21">
        <f t="shared" si="15"/>
        <v>1</v>
      </c>
      <c r="J45" s="632"/>
      <c r="K45" s="21">
        <f t="shared" si="16"/>
        <v>1</v>
      </c>
      <c r="L45" s="632"/>
      <c r="M45" s="21">
        <f t="shared" si="17"/>
        <v>1</v>
      </c>
      <c r="N45" s="632"/>
      <c r="O45" s="21">
        <f t="shared" si="18"/>
        <v>1</v>
      </c>
      <c r="P45" s="632"/>
      <c r="Q45" s="21">
        <f t="shared" si="19"/>
        <v>1</v>
      </c>
      <c r="R45" s="21">
        <f t="shared" si="20"/>
        <v>162430</v>
      </c>
      <c r="S45" s="306">
        <f t="shared" si="11"/>
        <v>530</v>
      </c>
    </row>
    <row r="46" spans="1:19">
      <c r="A46" s="3180">
        <f>面积!B701</f>
        <v>-1024</v>
      </c>
      <c r="B46" s="3181">
        <f>面积!C701</f>
        <v>32.61</v>
      </c>
      <c r="C46" s="21">
        <f t="shared" si="12"/>
        <v>1</v>
      </c>
      <c r="D46" s="632"/>
      <c r="E46" s="21">
        <f t="shared" si="13"/>
        <v>1</v>
      </c>
      <c r="F46" s="632"/>
      <c r="G46" s="21">
        <f t="shared" si="14"/>
        <v>1</v>
      </c>
      <c r="H46" s="632"/>
      <c r="I46" s="21">
        <f t="shared" si="15"/>
        <v>1</v>
      </c>
      <c r="J46" s="632"/>
      <c r="K46" s="21">
        <f t="shared" si="16"/>
        <v>1</v>
      </c>
      <c r="L46" s="632"/>
      <c r="M46" s="21">
        <f t="shared" si="17"/>
        <v>1</v>
      </c>
      <c r="N46" s="632"/>
      <c r="O46" s="21">
        <f t="shared" si="18"/>
        <v>1</v>
      </c>
      <c r="P46" s="632"/>
      <c r="Q46" s="21">
        <f t="shared" si="19"/>
        <v>1</v>
      </c>
      <c r="R46" s="21">
        <f t="shared" si="20"/>
        <v>162430</v>
      </c>
      <c r="S46" s="306">
        <f t="shared" si="11"/>
        <v>530</v>
      </c>
    </row>
    <row r="47" spans="1:19">
      <c r="A47" s="3180">
        <f>面积!B702</f>
        <v>-1025</v>
      </c>
      <c r="B47" s="3181">
        <f>面积!C702</f>
        <v>32.61</v>
      </c>
      <c r="C47" s="21">
        <f t="shared" si="12"/>
        <v>1</v>
      </c>
      <c r="D47" s="632"/>
      <c r="E47" s="21">
        <f t="shared" si="13"/>
        <v>1</v>
      </c>
      <c r="F47" s="632"/>
      <c r="G47" s="21">
        <f t="shared" si="14"/>
        <v>1</v>
      </c>
      <c r="H47" s="632"/>
      <c r="I47" s="21">
        <f t="shared" si="15"/>
        <v>1</v>
      </c>
      <c r="J47" s="632"/>
      <c r="K47" s="21">
        <f t="shared" si="16"/>
        <v>1</v>
      </c>
      <c r="L47" s="632"/>
      <c r="M47" s="21">
        <f t="shared" si="17"/>
        <v>1</v>
      </c>
      <c r="N47" s="632"/>
      <c r="O47" s="21">
        <f t="shared" si="18"/>
        <v>1</v>
      </c>
      <c r="P47" s="632"/>
      <c r="Q47" s="21">
        <f t="shared" si="19"/>
        <v>1</v>
      </c>
      <c r="R47" s="21">
        <f t="shared" si="20"/>
        <v>162430</v>
      </c>
      <c r="S47" s="306">
        <f t="shared" si="11"/>
        <v>530</v>
      </c>
    </row>
    <row r="48" spans="1:19">
      <c r="A48" s="3180">
        <f>面积!B703</f>
        <v>-1026</v>
      </c>
      <c r="B48" s="3181">
        <f>面积!C703</f>
        <v>32.61</v>
      </c>
      <c r="C48" s="21">
        <f t="shared" si="12"/>
        <v>1</v>
      </c>
      <c r="D48" s="632"/>
      <c r="E48" s="21">
        <f t="shared" si="13"/>
        <v>1</v>
      </c>
      <c r="F48" s="632"/>
      <c r="G48" s="21">
        <f t="shared" si="14"/>
        <v>1</v>
      </c>
      <c r="H48" s="632"/>
      <c r="I48" s="21">
        <f t="shared" si="15"/>
        <v>1</v>
      </c>
      <c r="J48" s="632"/>
      <c r="K48" s="21">
        <f t="shared" si="16"/>
        <v>1</v>
      </c>
      <c r="L48" s="632"/>
      <c r="M48" s="21">
        <f t="shared" si="17"/>
        <v>1</v>
      </c>
      <c r="N48" s="632"/>
      <c r="O48" s="21">
        <f t="shared" si="18"/>
        <v>1</v>
      </c>
      <c r="P48" s="632"/>
      <c r="Q48" s="21">
        <f t="shared" si="19"/>
        <v>1</v>
      </c>
      <c r="R48" s="21">
        <f t="shared" si="20"/>
        <v>162430</v>
      </c>
      <c r="S48" s="306">
        <f t="shared" si="11"/>
        <v>530</v>
      </c>
    </row>
    <row r="49" spans="1:19">
      <c r="A49" s="3180">
        <f>面积!B704</f>
        <v>-1027</v>
      </c>
      <c r="B49" s="3181">
        <f>面积!C704</f>
        <v>32.61</v>
      </c>
      <c r="C49" s="21">
        <f t="shared" si="12"/>
        <v>1</v>
      </c>
      <c r="D49" s="632"/>
      <c r="E49" s="21">
        <f t="shared" si="13"/>
        <v>1</v>
      </c>
      <c r="F49" s="632"/>
      <c r="G49" s="21">
        <f t="shared" si="14"/>
        <v>1</v>
      </c>
      <c r="H49" s="632"/>
      <c r="I49" s="21">
        <f t="shared" si="15"/>
        <v>1</v>
      </c>
      <c r="J49" s="632"/>
      <c r="K49" s="21">
        <f t="shared" si="16"/>
        <v>1</v>
      </c>
      <c r="L49" s="632"/>
      <c r="M49" s="21">
        <f t="shared" si="17"/>
        <v>1</v>
      </c>
      <c r="N49" s="632"/>
      <c r="O49" s="21">
        <f t="shared" si="18"/>
        <v>1</v>
      </c>
      <c r="P49" s="632"/>
      <c r="Q49" s="21">
        <f t="shared" si="19"/>
        <v>1</v>
      </c>
      <c r="R49" s="21">
        <f t="shared" si="20"/>
        <v>162430</v>
      </c>
      <c r="S49" s="306">
        <f t="shared" si="11"/>
        <v>530</v>
      </c>
    </row>
    <row r="50" spans="1:19">
      <c r="A50" s="3180">
        <f>面积!B705</f>
        <v>-1028</v>
      </c>
      <c r="B50" s="3181">
        <f>面积!C705</f>
        <v>32.61</v>
      </c>
      <c r="C50" s="21">
        <f t="shared" si="12"/>
        <v>1</v>
      </c>
      <c r="D50" s="632"/>
      <c r="E50" s="21">
        <f t="shared" si="13"/>
        <v>1</v>
      </c>
      <c r="F50" s="632"/>
      <c r="G50" s="21">
        <f t="shared" si="14"/>
        <v>1</v>
      </c>
      <c r="H50" s="632"/>
      <c r="I50" s="21">
        <f t="shared" si="15"/>
        <v>1</v>
      </c>
      <c r="J50" s="632"/>
      <c r="K50" s="21">
        <f t="shared" si="16"/>
        <v>1</v>
      </c>
      <c r="L50" s="632"/>
      <c r="M50" s="21">
        <f t="shared" si="17"/>
        <v>1</v>
      </c>
      <c r="N50" s="632"/>
      <c r="O50" s="21">
        <f t="shared" si="18"/>
        <v>1</v>
      </c>
      <c r="P50" s="632"/>
      <c r="Q50" s="21">
        <f t="shared" si="19"/>
        <v>1</v>
      </c>
      <c r="R50" s="21">
        <f t="shared" si="20"/>
        <v>162430</v>
      </c>
      <c r="S50" s="306">
        <f t="shared" si="11"/>
        <v>530</v>
      </c>
    </row>
    <row r="51" spans="1:19">
      <c r="A51" s="3180">
        <f>面积!B706</f>
        <v>-1029</v>
      </c>
      <c r="B51" s="3181">
        <f>面积!C706</f>
        <v>32.61</v>
      </c>
      <c r="C51" s="21">
        <f t="shared" si="12"/>
        <v>1</v>
      </c>
      <c r="D51" s="632"/>
      <c r="E51" s="21">
        <f t="shared" si="13"/>
        <v>1</v>
      </c>
      <c r="F51" s="632"/>
      <c r="G51" s="21">
        <f t="shared" si="14"/>
        <v>1</v>
      </c>
      <c r="H51" s="632"/>
      <c r="I51" s="21">
        <f t="shared" si="15"/>
        <v>1</v>
      </c>
      <c r="J51" s="632"/>
      <c r="K51" s="21">
        <f t="shared" si="16"/>
        <v>1</v>
      </c>
      <c r="L51" s="632"/>
      <c r="M51" s="21">
        <f t="shared" si="17"/>
        <v>1</v>
      </c>
      <c r="N51" s="632"/>
      <c r="O51" s="21">
        <f t="shared" si="18"/>
        <v>1</v>
      </c>
      <c r="P51" s="632"/>
      <c r="Q51" s="21">
        <f t="shared" si="19"/>
        <v>1</v>
      </c>
      <c r="R51" s="21">
        <f t="shared" si="20"/>
        <v>162430</v>
      </c>
      <c r="S51" s="306">
        <f t="shared" si="11"/>
        <v>530</v>
      </c>
    </row>
    <row r="52" spans="1:19">
      <c r="A52" s="3180">
        <f>面积!B707</f>
        <v>-1030</v>
      </c>
      <c r="B52" s="3181">
        <f>面积!C707</f>
        <v>32.61</v>
      </c>
      <c r="C52" s="21">
        <f t="shared" si="12"/>
        <v>1</v>
      </c>
      <c r="D52" s="632"/>
      <c r="E52" s="21">
        <f t="shared" si="13"/>
        <v>1</v>
      </c>
      <c r="F52" s="632"/>
      <c r="G52" s="21">
        <f t="shared" si="14"/>
        <v>1</v>
      </c>
      <c r="H52" s="632"/>
      <c r="I52" s="21">
        <f t="shared" si="15"/>
        <v>1</v>
      </c>
      <c r="J52" s="632"/>
      <c r="K52" s="21">
        <f t="shared" si="16"/>
        <v>1</v>
      </c>
      <c r="L52" s="632"/>
      <c r="M52" s="21">
        <f t="shared" si="17"/>
        <v>1</v>
      </c>
      <c r="N52" s="632"/>
      <c r="O52" s="21">
        <f t="shared" si="18"/>
        <v>1</v>
      </c>
      <c r="P52" s="632"/>
      <c r="Q52" s="21">
        <f t="shared" si="19"/>
        <v>1</v>
      </c>
      <c r="R52" s="21">
        <f t="shared" si="20"/>
        <v>162430</v>
      </c>
      <c r="S52" s="306">
        <f t="shared" si="11"/>
        <v>530</v>
      </c>
    </row>
    <row r="53" spans="1:19">
      <c r="A53" s="3180">
        <f>面积!B708</f>
        <v>-1031</v>
      </c>
      <c r="B53" s="3181">
        <f>面积!C708</f>
        <v>32.61</v>
      </c>
      <c r="C53" s="21">
        <f t="shared" si="12"/>
        <v>1</v>
      </c>
      <c r="D53" s="632"/>
      <c r="E53" s="21">
        <f t="shared" si="13"/>
        <v>1</v>
      </c>
      <c r="F53" s="632"/>
      <c r="G53" s="21">
        <f t="shared" si="14"/>
        <v>1</v>
      </c>
      <c r="H53" s="632"/>
      <c r="I53" s="21">
        <f t="shared" si="15"/>
        <v>1</v>
      </c>
      <c r="J53" s="632"/>
      <c r="K53" s="21">
        <f t="shared" si="16"/>
        <v>1</v>
      </c>
      <c r="L53" s="632"/>
      <c r="M53" s="21">
        <f t="shared" si="17"/>
        <v>1</v>
      </c>
      <c r="N53" s="632"/>
      <c r="O53" s="21">
        <f t="shared" si="18"/>
        <v>1</v>
      </c>
      <c r="P53" s="632"/>
      <c r="Q53" s="21">
        <f t="shared" si="19"/>
        <v>1</v>
      </c>
      <c r="R53" s="21">
        <f t="shared" si="20"/>
        <v>162430</v>
      </c>
      <c r="S53" s="306">
        <f t="shared" si="11"/>
        <v>530</v>
      </c>
    </row>
    <row r="54" spans="1:19">
      <c r="A54" s="3180">
        <f>面积!B709</f>
        <v>-1032</v>
      </c>
      <c r="B54" s="3181">
        <f>面积!C709</f>
        <v>32.61</v>
      </c>
      <c r="C54" s="21">
        <f t="shared" si="12"/>
        <v>1</v>
      </c>
      <c r="D54" s="632"/>
      <c r="E54" s="21">
        <f t="shared" si="13"/>
        <v>1</v>
      </c>
      <c r="F54" s="632"/>
      <c r="G54" s="21">
        <f t="shared" si="14"/>
        <v>1</v>
      </c>
      <c r="H54" s="632"/>
      <c r="I54" s="21">
        <f t="shared" si="15"/>
        <v>1</v>
      </c>
      <c r="J54" s="632"/>
      <c r="K54" s="21">
        <f t="shared" si="16"/>
        <v>1</v>
      </c>
      <c r="L54" s="632"/>
      <c r="M54" s="21">
        <f t="shared" si="17"/>
        <v>1</v>
      </c>
      <c r="N54" s="632"/>
      <c r="O54" s="21">
        <f t="shared" si="18"/>
        <v>1</v>
      </c>
      <c r="P54" s="632"/>
      <c r="Q54" s="21">
        <f t="shared" si="19"/>
        <v>1</v>
      </c>
      <c r="R54" s="21">
        <f t="shared" si="20"/>
        <v>162430</v>
      </c>
      <c r="S54" s="306">
        <f t="shared" si="11"/>
        <v>530</v>
      </c>
    </row>
    <row r="55" spans="1:19">
      <c r="A55" s="3180">
        <f>面积!B710</f>
        <v>-1033</v>
      </c>
      <c r="B55" s="3181">
        <f>面积!C710</f>
        <v>32.61</v>
      </c>
      <c r="C55" s="21">
        <f t="shared" si="12"/>
        <v>1</v>
      </c>
      <c r="D55" s="632"/>
      <c r="E55" s="21">
        <f t="shared" si="13"/>
        <v>1</v>
      </c>
      <c r="F55" s="632"/>
      <c r="G55" s="21">
        <f t="shared" si="14"/>
        <v>1</v>
      </c>
      <c r="H55" s="632"/>
      <c r="I55" s="21">
        <f t="shared" si="15"/>
        <v>1</v>
      </c>
      <c r="J55" s="632"/>
      <c r="K55" s="21">
        <f t="shared" si="16"/>
        <v>1</v>
      </c>
      <c r="L55" s="632"/>
      <c r="M55" s="21">
        <f t="shared" si="17"/>
        <v>1</v>
      </c>
      <c r="N55" s="632"/>
      <c r="O55" s="21">
        <f t="shared" si="18"/>
        <v>1</v>
      </c>
      <c r="P55" s="632"/>
      <c r="Q55" s="21">
        <f t="shared" si="19"/>
        <v>1</v>
      </c>
      <c r="R55" s="21">
        <f t="shared" si="20"/>
        <v>162430</v>
      </c>
      <c r="S55" s="306">
        <f t="shared" ref="S55:S77" si="21">ROUND(R55*B55/10000,0)</f>
        <v>530</v>
      </c>
    </row>
    <row r="56" spans="1:19">
      <c r="A56" s="3180">
        <f>面积!B711</f>
        <v>-1034</v>
      </c>
      <c r="B56" s="3181">
        <f>面积!C711</f>
        <v>52.86</v>
      </c>
      <c r="C56" s="21">
        <f t="shared" si="12"/>
        <v>1.2</v>
      </c>
      <c r="D56" s="632"/>
      <c r="E56" s="21">
        <f t="shared" si="13"/>
        <v>1</v>
      </c>
      <c r="F56" s="632"/>
      <c r="G56" s="21">
        <f t="shared" si="14"/>
        <v>1</v>
      </c>
      <c r="H56" s="632"/>
      <c r="I56" s="21">
        <f t="shared" si="15"/>
        <v>1</v>
      </c>
      <c r="J56" s="632"/>
      <c r="K56" s="21">
        <f t="shared" si="16"/>
        <v>1</v>
      </c>
      <c r="L56" s="632"/>
      <c r="M56" s="21">
        <f t="shared" si="17"/>
        <v>1</v>
      </c>
      <c r="N56" s="632"/>
      <c r="O56" s="21">
        <f t="shared" si="18"/>
        <v>1</v>
      </c>
      <c r="P56" s="632"/>
      <c r="Q56" s="21">
        <f t="shared" si="19"/>
        <v>1</v>
      </c>
      <c r="R56" s="21">
        <f t="shared" si="20"/>
        <v>194916</v>
      </c>
      <c r="S56" s="306">
        <f t="shared" si="21"/>
        <v>1030</v>
      </c>
    </row>
    <row r="57" spans="1:19">
      <c r="A57" s="3180">
        <f>面积!B712</f>
        <v>-1035</v>
      </c>
      <c r="B57" s="3181">
        <f>面积!C712</f>
        <v>32.61</v>
      </c>
      <c r="C57" s="21">
        <f t="shared" si="12"/>
        <v>1</v>
      </c>
      <c r="D57" s="632"/>
      <c r="E57" s="21">
        <f t="shared" si="13"/>
        <v>1</v>
      </c>
      <c r="F57" s="632"/>
      <c r="G57" s="21">
        <f t="shared" si="14"/>
        <v>1</v>
      </c>
      <c r="H57" s="632"/>
      <c r="I57" s="21">
        <f t="shared" si="15"/>
        <v>1</v>
      </c>
      <c r="J57" s="632"/>
      <c r="K57" s="21">
        <f t="shared" si="16"/>
        <v>1</v>
      </c>
      <c r="L57" s="632"/>
      <c r="M57" s="21">
        <f t="shared" si="17"/>
        <v>1</v>
      </c>
      <c r="N57" s="632"/>
      <c r="O57" s="21">
        <f t="shared" si="18"/>
        <v>1</v>
      </c>
      <c r="P57" s="632"/>
      <c r="Q57" s="21">
        <f t="shared" si="19"/>
        <v>1</v>
      </c>
      <c r="R57" s="21">
        <f t="shared" si="20"/>
        <v>162430</v>
      </c>
      <c r="S57" s="306">
        <f t="shared" si="21"/>
        <v>530</v>
      </c>
    </row>
    <row r="58" spans="1:19">
      <c r="A58" s="3180">
        <f>面积!B713</f>
        <v>-1036</v>
      </c>
      <c r="B58" s="3181">
        <f>面积!C713</f>
        <v>32.61</v>
      </c>
      <c r="C58" s="21">
        <f t="shared" si="12"/>
        <v>1</v>
      </c>
      <c r="D58" s="632"/>
      <c r="E58" s="21">
        <f t="shared" si="13"/>
        <v>1</v>
      </c>
      <c r="F58" s="632"/>
      <c r="G58" s="21">
        <f t="shared" si="14"/>
        <v>1</v>
      </c>
      <c r="H58" s="632"/>
      <c r="I58" s="21">
        <f t="shared" si="15"/>
        <v>1</v>
      </c>
      <c r="J58" s="632"/>
      <c r="K58" s="21">
        <f t="shared" si="16"/>
        <v>1</v>
      </c>
      <c r="L58" s="632"/>
      <c r="M58" s="21">
        <f t="shared" si="17"/>
        <v>1</v>
      </c>
      <c r="N58" s="632"/>
      <c r="O58" s="21">
        <f t="shared" si="18"/>
        <v>1</v>
      </c>
      <c r="P58" s="632"/>
      <c r="Q58" s="21">
        <f t="shared" si="19"/>
        <v>1</v>
      </c>
      <c r="R58" s="21">
        <f t="shared" si="20"/>
        <v>162430</v>
      </c>
      <c r="S58" s="306">
        <f t="shared" si="21"/>
        <v>530</v>
      </c>
    </row>
    <row r="59" spans="1:19">
      <c r="A59" s="3180">
        <f>面积!B714</f>
        <v>-1037</v>
      </c>
      <c r="B59" s="3181">
        <f>面积!C714</f>
        <v>32.61</v>
      </c>
      <c r="C59" s="21">
        <f t="shared" si="12"/>
        <v>1</v>
      </c>
      <c r="D59" s="632"/>
      <c r="E59" s="21">
        <f t="shared" si="13"/>
        <v>1</v>
      </c>
      <c r="F59" s="632"/>
      <c r="G59" s="21">
        <f t="shared" si="14"/>
        <v>1</v>
      </c>
      <c r="H59" s="632"/>
      <c r="I59" s="21">
        <f t="shared" si="15"/>
        <v>1</v>
      </c>
      <c r="J59" s="632"/>
      <c r="K59" s="21">
        <f t="shared" si="16"/>
        <v>1</v>
      </c>
      <c r="L59" s="632"/>
      <c r="M59" s="21">
        <f t="shared" si="17"/>
        <v>1</v>
      </c>
      <c r="N59" s="632"/>
      <c r="O59" s="21">
        <f t="shared" si="18"/>
        <v>1</v>
      </c>
      <c r="P59" s="632"/>
      <c r="Q59" s="21">
        <f t="shared" si="19"/>
        <v>1</v>
      </c>
      <c r="R59" s="21">
        <f t="shared" si="20"/>
        <v>162430</v>
      </c>
      <c r="S59" s="306">
        <f t="shared" si="21"/>
        <v>530</v>
      </c>
    </row>
    <row r="60" spans="1:19">
      <c r="A60" s="3180">
        <f>面积!B715</f>
        <v>-1038</v>
      </c>
      <c r="B60" s="3181">
        <f>面积!C715</f>
        <v>32.61</v>
      </c>
      <c r="C60" s="21">
        <f t="shared" si="12"/>
        <v>1</v>
      </c>
      <c r="D60" s="632"/>
      <c r="E60" s="21">
        <f t="shared" si="13"/>
        <v>1</v>
      </c>
      <c r="F60" s="632"/>
      <c r="G60" s="21">
        <f t="shared" si="14"/>
        <v>1</v>
      </c>
      <c r="H60" s="632"/>
      <c r="I60" s="21">
        <f t="shared" si="15"/>
        <v>1</v>
      </c>
      <c r="J60" s="632"/>
      <c r="K60" s="21">
        <f t="shared" si="16"/>
        <v>1</v>
      </c>
      <c r="L60" s="632"/>
      <c r="M60" s="21">
        <f t="shared" si="17"/>
        <v>1</v>
      </c>
      <c r="N60" s="632"/>
      <c r="O60" s="21">
        <f t="shared" si="18"/>
        <v>1</v>
      </c>
      <c r="P60" s="632"/>
      <c r="Q60" s="21">
        <f t="shared" si="19"/>
        <v>1</v>
      </c>
      <c r="R60" s="21">
        <f t="shared" si="20"/>
        <v>162430</v>
      </c>
      <c r="S60" s="306">
        <f t="shared" si="21"/>
        <v>530</v>
      </c>
    </row>
    <row r="61" spans="1:19">
      <c r="A61" s="3180">
        <f>面积!B716</f>
        <v>-1039</v>
      </c>
      <c r="B61" s="3181">
        <f>面积!C716</f>
        <v>52.86</v>
      </c>
      <c r="C61" s="21">
        <f t="shared" si="12"/>
        <v>1.2</v>
      </c>
      <c r="D61" s="632"/>
      <c r="E61" s="21">
        <f t="shared" si="13"/>
        <v>1</v>
      </c>
      <c r="F61" s="632"/>
      <c r="G61" s="21">
        <f t="shared" si="14"/>
        <v>1</v>
      </c>
      <c r="H61" s="632"/>
      <c r="I61" s="21">
        <f t="shared" si="15"/>
        <v>1</v>
      </c>
      <c r="J61" s="632"/>
      <c r="K61" s="21">
        <f t="shared" si="16"/>
        <v>1</v>
      </c>
      <c r="L61" s="632"/>
      <c r="M61" s="21">
        <f t="shared" si="17"/>
        <v>1</v>
      </c>
      <c r="N61" s="632"/>
      <c r="O61" s="21">
        <f t="shared" si="18"/>
        <v>1</v>
      </c>
      <c r="P61" s="632"/>
      <c r="Q61" s="21">
        <f t="shared" si="19"/>
        <v>1</v>
      </c>
      <c r="R61" s="21">
        <f t="shared" si="20"/>
        <v>194916</v>
      </c>
      <c r="S61" s="306">
        <f t="shared" si="21"/>
        <v>1030</v>
      </c>
    </row>
    <row r="62" spans="1:19">
      <c r="A62" s="3180">
        <f>面积!B717</f>
        <v>-1040</v>
      </c>
      <c r="B62" s="3181">
        <f>面积!C717</f>
        <v>32.61</v>
      </c>
      <c r="C62" s="21">
        <f t="shared" si="12"/>
        <v>1</v>
      </c>
      <c r="D62" s="632"/>
      <c r="E62" s="21">
        <f t="shared" si="13"/>
        <v>1</v>
      </c>
      <c r="F62" s="632"/>
      <c r="G62" s="21">
        <f t="shared" si="14"/>
        <v>1</v>
      </c>
      <c r="H62" s="632"/>
      <c r="I62" s="21">
        <f t="shared" si="15"/>
        <v>1</v>
      </c>
      <c r="J62" s="632"/>
      <c r="K62" s="21">
        <f t="shared" si="16"/>
        <v>1</v>
      </c>
      <c r="L62" s="632"/>
      <c r="M62" s="21">
        <f t="shared" si="17"/>
        <v>1</v>
      </c>
      <c r="N62" s="632"/>
      <c r="O62" s="21">
        <f t="shared" si="18"/>
        <v>1</v>
      </c>
      <c r="P62" s="632"/>
      <c r="Q62" s="21">
        <f t="shared" si="19"/>
        <v>1</v>
      </c>
      <c r="R62" s="21">
        <f t="shared" si="20"/>
        <v>162430</v>
      </c>
      <c r="S62" s="306">
        <f t="shared" si="21"/>
        <v>530</v>
      </c>
    </row>
    <row r="63" spans="1:19">
      <c r="A63" s="3180">
        <f>面积!B718</f>
        <v>-1041</v>
      </c>
      <c r="B63" s="3181">
        <f>面积!C718</f>
        <v>32.61</v>
      </c>
      <c r="C63" s="21">
        <f t="shared" si="12"/>
        <v>1</v>
      </c>
      <c r="D63" s="632"/>
      <c r="E63" s="21">
        <f t="shared" si="13"/>
        <v>1</v>
      </c>
      <c r="F63" s="632"/>
      <c r="G63" s="21">
        <f t="shared" si="14"/>
        <v>1</v>
      </c>
      <c r="H63" s="632"/>
      <c r="I63" s="21">
        <f t="shared" si="15"/>
        <v>1</v>
      </c>
      <c r="J63" s="632"/>
      <c r="K63" s="21">
        <f t="shared" si="16"/>
        <v>1</v>
      </c>
      <c r="L63" s="632"/>
      <c r="M63" s="21">
        <f t="shared" si="17"/>
        <v>1</v>
      </c>
      <c r="N63" s="632"/>
      <c r="O63" s="21">
        <f t="shared" si="18"/>
        <v>1</v>
      </c>
      <c r="P63" s="632"/>
      <c r="Q63" s="21">
        <f t="shared" si="19"/>
        <v>1</v>
      </c>
      <c r="R63" s="21">
        <f t="shared" si="20"/>
        <v>162430</v>
      </c>
      <c r="S63" s="306">
        <f t="shared" si="21"/>
        <v>530</v>
      </c>
    </row>
    <row r="64" spans="1:19">
      <c r="A64" s="3180">
        <f>面积!B719</f>
        <v>-1042</v>
      </c>
      <c r="B64" s="3181">
        <f>面积!C719</f>
        <v>32.61</v>
      </c>
      <c r="C64" s="21">
        <f t="shared" si="12"/>
        <v>1</v>
      </c>
      <c r="D64" s="632"/>
      <c r="E64" s="21">
        <f t="shared" si="13"/>
        <v>1</v>
      </c>
      <c r="F64" s="632"/>
      <c r="G64" s="21">
        <f t="shared" si="14"/>
        <v>1</v>
      </c>
      <c r="H64" s="632"/>
      <c r="I64" s="21">
        <f t="shared" si="15"/>
        <v>1</v>
      </c>
      <c r="J64" s="632"/>
      <c r="K64" s="21">
        <f t="shared" si="16"/>
        <v>1</v>
      </c>
      <c r="L64" s="632"/>
      <c r="M64" s="21">
        <f t="shared" si="17"/>
        <v>1</v>
      </c>
      <c r="N64" s="632"/>
      <c r="O64" s="21">
        <f t="shared" si="18"/>
        <v>1</v>
      </c>
      <c r="P64" s="632"/>
      <c r="Q64" s="21">
        <f t="shared" si="19"/>
        <v>1</v>
      </c>
      <c r="R64" s="21">
        <f t="shared" si="20"/>
        <v>162430</v>
      </c>
      <c r="S64" s="306">
        <f t="shared" si="21"/>
        <v>530</v>
      </c>
    </row>
    <row r="65" spans="1:19">
      <c r="A65" s="3180">
        <f>面积!B720</f>
        <v>-1043</v>
      </c>
      <c r="B65" s="3181">
        <f>面积!C720</f>
        <v>32.61</v>
      </c>
      <c r="C65" s="21">
        <f t="shared" si="12"/>
        <v>1</v>
      </c>
      <c r="D65" s="632"/>
      <c r="E65" s="21">
        <f t="shared" si="13"/>
        <v>1</v>
      </c>
      <c r="F65" s="632"/>
      <c r="G65" s="21">
        <f t="shared" si="14"/>
        <v>1</v>
      </c>
      <c r="H65" s="632"/>
      <c r="I65" s="21">
        <f t="shared" si="15"/>
        <v>1</v>
      </c>
      <c r="J65" s="632"/>
      <c r="K65" s="21">
        <f t="shared" si="16"/>
        <v>1</v>
      </c>
      <c r="L65" s="632"/>
      <c r="M65" s="21">
        <f t="shared" si="17"/>
        <v>1</v>
      </c>
      <c r="N65" s="632"/>
      <c r="O65" s="21">
        <f t="shared" si="18"/>
        <v>1</v>
      </c>
      <c r="P65" s="632"/>
      <c r="Q65" s="21">
        <f t="shared" si="19"/>
        <v>1</v>
      </c>
      <c r="R65" s="21">
        <f t="shared" si="20"/>
        <v>162430</v>
      </c>
      <c r="S65" s="306">
        <f t="shared" si="21"/>
        <v>530</v>
      </c>
    </row>
    <row r="66" spans="1:19">
      <c r="A66" s="3180">
        <f>面积!B721</f>
        <v>-1044</v>
      </c>
      <c r="B66" s="3181">
        <f>面积!C721</f>
        <v>32.61</v>
      </c>
      <c r="C66" s="21">
        <f t="shared" si="12"/>
        <v>1</v>
      </c>
      <c r="D66" s="632"/>
      <c r="E66" s="21">
        <f t="shared" si="13"/>
        <v>1</v>
      </c>
      <c r="F66" s="632"/>
      <c r="G66" s="21">
        <f t="shared" si="14"/>
        <v>1</v>
      </c>
      <c r="H66" s="632"/>
      <c r="I66" s="21">
        <f t="shared" si="15"/>
        <v>1</v>
      </c>
      <c r="J66" s="632"/>
      <c r="K66" s="21">
        <f t="shared" si="16"/>
        <v>1</v>
      </c>
      <c r="L66" s="632"/>
      <c r="M66" s="21">
        <f t="shared" si="17"/>
        <v>1</v>
      </c>
      <c r="N66" s="632"/>
      <c r="O66" s="21">
        <f t="shared" si="18"/>
        <v>1</v>
      </c>
      <c r="P66" s="632"/>
      <c r="Q66" s="21">
        <f t="shared" si="19"/>
        <v>1</v>
      </c>
      <c r="R66" s="21">
        <f t="shared" si="20"/>
        <v>162430</v>
      </c>
      <c r="S66" s="306">
        <f t="shared" si="21"/>
        <v>530</v>
      </c>
    </row>
    <row r="67" spans="1:19">
      <c r="A67" s="3180">
        <f>面积!B722</f>
        <v>-1045</v>
      </c>
      <c r="B67" s="3181">
        <f>面积!C722</f>
        <v>32.61</v>
      </c>
      <c r="C67" s="21">
        <f t="shared" si="12"/>
        <v>1</v>
      </c>
      <c r="D67" s="632"/>
      <c r="E67" s="21">
        <f t="shared" si="13"/>
        <v>1</v>
      </c>
      <c r="F67" s="632"/>
      <c r="G67" s="21">
        <f t="shared" si="14"/>
        <v>1</v>
      </c>
      <c r="H67" s="632"/>
      <c r="I67" s="21">
        <f t="shared" si="15"/>
        <v>1</v>
      </c>
      <c r="J67" s="632"/>
      <c r="K67" s="21">
        <f t="shared" si="16"/>
        <v>1</v>
      </c>
      <c r="L67" s="632"/>
      <c r="M67" s="21">
        <f t="shared" si="17"/>
        <v>1</v>
      </c>
      <c r="N67" s="632"/>
      <c r="O67" s="21">
        <f t="shared" si="18"/>
        <v>1</v>
      </c>
      <c r="P67" s="632"/>
      <c r="Q67" s="21">
        <f t="shared" si="19"/>
        <v>1</v>
      </c>
      <c r="R67" s="21">
        <f t="shared" si="20"/>
        <v>162430</v>
      </c>
      <c r="S67" s="306">
        <f t="shared" si="21"/>
        <v>530</v>
      </c>
    </row>
    <row r="68" spans="1:19">
      <c r="A68" s="3180">
        <f>面积!B723</f>
        <v>-1046</v>
      </c>
      <c r="B68" s="3181">
        <f>面积!C723</f>
        <v>32.61</v>
      </c>
      <c r="C68" s="21">
        <f t="shared" si="12"/>
        <v>1</v>
      </c>
      <c r="D68" s="632"/>
      <c r="E68" s="21">
        <f t="shared" si="13"/>
        <v>1</v>
      </c>
      <c r="F68" s="632"/>
      <c r="G68" s="21">
        <f t="shared" si="14"/>
        <v>1</v>
      </c>
      <c r="H68" s="632"/>
      <c r="I68" s="21">
        <f t="shared" si="15"/>
        <v>1</v>
      </c>
      <c r="J68" s="632"/>
      <c r="K68" s="21">
        <f t="shared" si="16"/>
        <v>1</v>
      </c>
      <c r="L68" s="632"/>
      <c r="M68" s="21">
        <f t="shared" si="17"/>
        <v>1</v>
      </c>
      <c r="N68" s="632"/>
      <c r="O68" s="21">
        <f t="shared" si="18"/>
        <v>1</v>
      </c>
      <c r="P68" s="632"/>
      <c r="Q68" s="21">
        <f t="shared" si="19"/>
        <v>1</v>
      </c>
      <c r="R68" s="21">
        <f t="shared" si="20"/>
        <v>162430</v>
      </c>
      <c r="S68" s="306">
        <f t="shared" si="21"/>
        <v>530</v>
      </c>
    </row>
    <row r="69" spans="1:19">
      <c r="A69" s="3180">
        <f>面积!B724</f>
        <v>-1047</v>
      </c>
      <c r="B69" s="3181">
        <f>面积!C724</f>
        <v>32.61</v>
      </c>
      <c r="C69" s="21">
        <f t="shared" si="12"/>
        <v>1</v>
      </c>
      <c r="D69" s="632"/>
      <c r="E69" s="21">
        <f t="shared" si="13"/>
        <v>1</v>
      </c>
      <c r="F69" s="632"/>
      <c r="G69" s="21">
        <f t="shared" si="14"/>
        <v>1</v>
      </c>
      <c r="H69" s="632"/>
      <c r="I69" s="21">
        <f t="shared" si="15"/>
        <v>1</v>
      </c>
      <c r="J69" s="632"/>
      <c r="K69" s="21">
        <f t="shared" si="16"/>
        <v>1</v>
      </c>
      <c r="L69" s="632"/>
      <c r="M69" s="21">
        <f t="shared" si="17"/>
        <v>1</v>
      </c>
      <c r="N69" s="632"/>
      <c r="O69" s="21">
        <f t="shared" si="18"/>
        <v>1</v>
      </c>
      <c r="P69" s="632"/>
      <c r="Q69" s="21">
        <f t="shared" si="19"/>
        <v>1</v>
      </c>
      <c r="R69" s="21">
        <f t="shared" si="20"/>
        <v>162430</v>
      </c>
      <c r="S69" s="306">
        <f t="shared" si="21"/>
        <v>530</v>
      </c>
    </row>
    <row r="70" spans="1:19">
      <c r="A70" s="3180">
        <f>面积!B725</f>
        <v>-1048</v>
      </c>
      <c r="B70" s="3181">
        <f>面积!C725</f>
        <v>32.61</v>
      </c>
      <c r="C70" s="21">
        <f t="shared" si="12"/>
        <v>1</v>
      </c>
      <c r="D70" s="632"/>
      <c r="E70" s="21">
        <f t="shared" si="13"/>
        <v>1</v>
      </c>
      <c r="F70" s="632"/>
      <c r="G70" s="21">
        <f t="shared" si="14"/>
        <v>1</v>
      </c>
      <c r="H70" s="632"/>
      <c r="I70" s="21">
        <f t="shared" si="15"/>
        <v>1</v>
      </c>
      <c r="J70" s="632"/>
      <c r="K70" s="21">
        <f t="shared" si="16"/>
        <v>1</v>
      </c>
      <c r="L70" s="632"/>
      <c r="M70" s="21">
        <f t="shared" si="17"/>
        <v>1</v>
      </c>
      <c r="N70" s="632"/>
      <c r="O70" s="21">
        <f t="shared" si="18"/>
        <v>1</v>
      </c>
      <c r="P70" s="632"/>
      <c r="Q70" s="21">
        <f t="shared" si="19"/>
        <v>1</v>
      </c>
      <c r="R70" s="21">
        <f t="shared" si="20"/>
        <v>162430</v>
      </c>
      <c r="S70" s="306">
        <f t="shared" si="21"/>
        <v>530</v>
      </c>
    </row>
    <row r="71" spans="1:19">
      <c r="A71" s="3180">
        <f>面积!B726</f>
        <v>-1049</v>
      </c>
      <c r="B71" s="3181">
        <f>面积!C726</f>
        <v>32.61</v>
      </c>
      <c r="C71" s="21">
        <f t="shared" si="12"/>
        <v>1</v>
      </c>
      <c r="D71" s="632"/>
      <c r="E71" s="21">
        <f t="shared" si="13"/>
        <v>1</v>
      </c>
      <c r="F71" s="632"/>
      <c r="G71" s="21">
        <f t="shared" si="14"/>
        <v>1</v>
      </c>
      <c r="H71" s="632"/>
      <c r="I71" s="21">
        <f t="shared" si="15"/>
        <v>1</v>
      </c>
      <c r="J71" s="632"/>
      <c r="K71" s="21">
        <f t="shared" si="16"/>
        <v>1</v>
      </c>
      <c r="L71" s="632"/>
      <c r="M71" s="21">
        <f t="shared" si="17"/>
        <v>1</v>
      </c>
      <c r="N71" s="632"/>
      <c r="O71" s="21">
        <f t="shared" si="18"/>
        <v>1</v>
      </c>
      <c r="P71" s="632"/>
      <c r="Q71" s="21">
        <f t="shared" si="19"/>
        <v>1</v>
      </c>
      <c r="R71" s="21">
        <f t="shared" si="20"/>
        <v>162430</v>
      </c>
      <c r="S71" s="306">
        <f t="shared" si="21"/>
        <v>530</v>
      </c>
    </row>
    <row r="72" spans="1:19">
      <c r="A72" s="3180">
        <f>面积!B727</f>
        <v>-1050</v>
      </c>
      <c r="B72" s="3181">
        <f>面积!C727</f>
        <v>32.61</v>
      </c>
      <c r="C72" s="21">
        <f t="shared" si="12"/>
        <v>1</v>
      </c>
      <c r="D72" s="632"/>
      <c r="E72" s="21">
        <f t="shared" si="13"/>
        <v>1</v>
      </c>
      <c r="F72" s="632"/>
      <c r="G72" s="21">
        <f t="shared" si="14"/>
        <v>1</v>
      </c>
      <c r="H72" s="632"/>
      <c r="I72" s="21">
        <f t="shared" si="15"/>
        <v>1</v>
      </c>
      <c r="J72" s="632"/>
      <c r="K72" s="21">
        <f t="shared" si="16"/>
        <v>1</v>
      </c>
      <c r="L72" s="632"/>
      <c r="M72" s="21">
        <f t="shared" si="17"/>
        <v>1</v>
      </c>
      <c r="N72" s="632"/>
      <c r="O72" s="21">
        <f t="shared" si="18"/>
        <v>1</v>
      </c>
      <c r="P72" s="632"/>
      <c r="Q72" s="21">
        <f t="shared" si="19"/>
        <v>1</v>
      </c>
      <c r="R72" s="21">
        <f t="shared" si="20"/>
        <v>162430</v>
      </c>
      <c r="S72" s="306">
        <f t="shared" si="21"/>
        <v>530</v>
      </c>
    </row>
    <row r="73" spans="1:19">
      <c r="A73" s="3180">
        <f>面积!B728</f>
        <v>-1051</v>
      </c>
      <c r="B73" s="3181">
        <f>面积!C728</f>
        <v>32.61</v>
      </c>
      <c r="C73" s="21">
        <f t="shared" si="12"/>
        <v>1</v>
      </c>
      <c r="D73" s="632"/>
      <c r="E73" s="21">
        <f t="shared" si="13"/>
        <v>1</v>
      </c>
      <c r="F73" s="632"/>
      <c r="G73" s="21">
        <f t="shared" si="14"/>
        <v>1</v>
      </c>
      <c r="H73" s="632"/>
      <c r="I73" s="21">
        <f t="shared" si="15"/>
        <v>1</v>
      </c>
      <c r="J73" s="632"/>
      <c r="K73" s="21">
        <f t="shared" si="16"/>
        <v>1</v>
      </c>
      <c r="L73" s="632"/>
      <c r="M73" s="21">
        <f t="shared" si="17"/>
        <v>1</v>
      </c>
      <c r="N73" s="632"/>
      <c r="O73" s="21">
        <f t="shared" si="18"/>
        <v>1</v>
      </c>
      <c r="P73" s="632"/>
      <c r="Q73" s="21">
        <f t="shared" si="19"/>
        <v>1</v>
      </c>
      <c r="R73" s="21">
        <f t="shared" si="20"/>
        <v>162430</v>
      </c>
      <c r="S73" s="306">
        <f t="shared" si="21"/>
        <v>530</v>
      </c>
    </row>
    <row r="74" spans="1:19">
      <c r="A74" s="3180">
        <f>面积!B729</f>
        <v>-1052</v>
      </c>
      <c r="B74" s="3181">
        <f>面积!C729</f>
        <v>32.61</v>
      </c>
      <c r="C74" s="21">
        <f t="shared" si="12"/>
        <v>1</v>
      </c>
      <c r="D74" s="632"/>
      <c r="E74" s="21">
        <f t="shared" si="13"/>
        <v>1</v>
      </c>
      <c r="F74" s="632"/>
      <c r="G74" s="21">
        <f t="shared" si="14"/>
        <v>1</v>
      </c>
      <c r="H74" s="632"/>
      <c r="I74" s="21">
        <f t="shared" si="15"/>
        <v>1</v>
      </c>
      <c r="J74" s="632"/>
      <c r="K74" s="21">
        <f t="shared" si="16"/>
        <v>1</v>
      </c>
      <c r="L74" s="632"/>
      <c r="M74" s="21">
        <f t="shared" si="17"/>
        <v>1</v>
      </c>
      <c r="N74" s="632"/>
      <c r="O74" s="21">
        <f t="shared" si="18"/>
        <v>1</v>
      </c>
      <c r="P74" s="632"/>
      <c r="Q74" s="21">
        <f t="shared" si="19"/>
        <v>1</v>
      </c>
      <c r="R74" s="21">
        <f t="shared" si="20"/>
        <v>162430</v>
      </c>
      <c r="S74" s="306">
        <f t="shared" si="21"/>
        <v>530</v>
      </c>
    </row>
    <row r="75" spans="1:19">
      <c r="A75" s="3180">
        <f>面积!B730</f>
        <v>-1053</v>
      </c>
      <c r="B75" s="3181">
        <f>面积!C730</f>
        <v>32.61</v>
      </c>
      <c r="C75" s="21">
        <f t="shared" si="12"/>
        <v>1</v>
      </c>
      <c r="D75" s="632"/>
      <c r="E75" s="21">
        <f t="shared" si="13"/>
        <v>1</v>
      </c>
      <c r="F75" s="632"/>
      <c r="G75" s="21">
        <f t="shared" si="14"/>
        <v>1</v>
      </c>
      <c r="H75" s="632"/>
      <c r="I75" s="21">
        <f t="shared" si="15"/>
        <v>1</v>
      </c>
      <c r="J75" s="632"/>
      <c r="K75" s="21">
        <f t="shared" si="16"/>
        <v>1</v>
      </c>
      <c r="L75" s="632"/>
      <c r="M75" s="21">
        <f t="shared" si="17"/>
        <v>1</v>
      </c>
      <c r="N75" s="632"/>
      <c r="O75" s="21">
        <f t="shared" si="18"/>
        <v>1</v>
      </c>
      <c r="P75" s="632"/>
      <c r="Q75" s="21">
        <f t="shared" si="19"/>
        <v>1</v>
      </c>
      <c r="R75" s="21">
        <f t="shared" si="20"/>
        <v>162430</v>
      </c>
      <c r="S75" s="306">
        <f t="shared" si="21"/>
        <v>530</v>
      </c>
    </row>
    <row r="76" spans="1:19">
      <c r="A76" s="3180">
        <f>面积!B731</f>
        <v>-1054</v>
      </c>
      <c r="B76" s="3181">
        <f>面积!C731</f>
        <v>32.61</v>
      </c>
      <c r="C76" s="21">
        <f t="shared" si="12"/>
        <v>1</v>
      </c>
      <c r="D76" s="632"/>
      <c r="E76" s="21">
        <f t="shared" si="13"/>
        <v>1</v>
      </c>
      <c r="F76" s="632"/>
      <c r="G76" s="21">
        <f t="shared" si="14"/>
        <v>1</v>
      </c>
      <c r="H76" s="632"/>
      <c r="I76" s="21">
        <f t="shared" si="15"/>
        <v>1</v>
      </c>
      <c r="J76" s="632"/>
      <c r="K76" s="21">
        <f t="shared" si="16"/>
        <v>1</v>
      </c>
      <c r="L76" s="632"/>
      <c r="M76" s="21">
        <f t="shared" si="17"/>
        <v>1</v>
      </c>
      <c r="N76" s="632"/>
      <c r="O76" s="21">
        <f t="shared" si="18"/>
        <v>1</v>
      </c>
      <c r="P76" s="632"/>
      <c r="Q76" s="21">
        <f t="shared" si="19"/>
        <v>1</v>
      </c>
      <c r="R76" s="21">
        <f t="shared" si="20"/>
        <v>162430</v>
      </c>
      <c r="S76" s="306">
        <f t="shared" si="21"/>
        <v>530</v>
      </c>
    </row>
    <row r="77" spans="1:19">
      <c r="A77" s="3180">
        <f>面积!B732</f>
        <v>-1055</v>
      </c>
      <c r="B77" s="3181">
        <f>面积!C732</f>
        <v>32.61</v>
      </c>
      <c r="C77" s="21">
        <f t="shared" si="12"/>
        <v>1</v>
      </c>
      <c r="D77" s="632"/>
      <c r="E77" s="21">
        <f t="shared" si="13"/>
        <v>1</v>
      </c>
      <c r="F77" s="632"/>
      <c r="G77" s="21">
        <f t="shared" si="14"/>
        <v>1</v>
      </c>
      <c r="H77" s="632"/>
      <c r="I77" s="21">
        <f t="shared" si="15"/>
        <v>1</v>
      </c>
      <c r="J77" s="632"/>
      <c r="K77" s="21">
        <f t="shared" si="16"/>
        <v>1</v>
      </c>
      <c r="L77" s="632"/>
      <c r="M77" s="21">
        <f t="shared" si="17"/>
        <v>1</v>
      </c>
      <c r="N77" s="632"/>
      <c r="O77" s="21">
        <f t="shared" si="18"/>
        <v>1</v>
      </c>
      <c r="P77" s="632"/>
      <c r="Q77" s="21">
        <f t="shared" si="19"/>
        <v>1</v>
      </c>
      <c r="R77" s="21">
        <f t="shared" si="20"/>
        <v>162430</v>
      </c>
      <c r="S77" s="306">
        <f t="shared" si="21"/>
        <v>530</v>
      </c>
    </row>
    <row r="78" spans="1:19">
      <c r="A78" s="3180">
        <f>面积!B733</f>
        <v>-1056</v>
      </c>
      <c r="B78" s="3181">
        <f>面积!C733</f>
        <v>32.61</v>
      </c>
      <c r="C78" s="21">
        <f t="shared" si="12"/>
        <v>1</v>
      </c>
      <c r="D78" s="632"/>
      <c r="E78" s="21">
        <f t="shared" si="13"/>
        <v>1</v>
      </c>
      <c r="F78" s="632"/>
      <c r="G78" s="21">
        <f t="shared" si="14"/>
        <v>1</v>
      </c>
      <c r="H78" s="632"/>
      <c r="I78" s="21">
        <f t="shared" si="15"/>
        <v>1</v>
      </c>
      <c r="J78" s="632"/>
      <c r="K78" s="21">
        <f t="shared" si="16"/>
        <v>1</v>
      </c>
      <c r="L78" s="632"/>
      <c r="M78" s="21">
        <f t="shared" si="17"/>
        <v>1</v>
      </c>
      <c r="N78" s="632"/>
      <c r="O78" s="21">
        <f t="shared" si="18"/>
        <v>1</v>
      </c>
      <c r="P78" s="632"/>
      <c r="Q78" s="21">
        <f t="shared" si="19"/>
        <v>1</v>
      </c>
      <c r="R78" s="21">
        <f t="shared" si="20"/>
        <v>162430</v>
      </c>
      <c r="S78" s="306">
        <f t="shared" ref="S78:S122" si="22">ROUND(R78*B78/10000,0)</f>
        <v>530</v>
      </c>
    </row>
    <row r="79" spans="1:19">
      <c r="A79" s="3180">
        <f>面积!B734</f>
        <v>-1057</v>
      </c>
      <c r="B79" s="3181">
        <f>面积!C734</f>
        <v>32.61</v>
      </c>
      <c r="C79" s="21">
        <f t="shared" si="12"/>
        <v>1</v>
      </c>
      <c r="D79" s="632"/>
      <c r="E79" s="21">
        <f t="shared" si="13"/>
        <v>1</v>
      </c>
      <c r="F79" s="632"/>
      <c r="G79" s="21">
        <f t="shared" si="14"/>
        <v>1</v>
      </c>
      <c r="H79" s="632"/>
      <c r="I79" s="21">
        <f t="shared" si="15"/>
        <v>1</v>
      </c>
      <c r="J79" s="632"/>
      <c r="K79" s="21">
        <f t="shared" si="16"/>
        <v>1</v>
      </c>
      <c r="L79" s="632"/>
      <c r="M79" s="21">
        <f t="shared" si="17"/>
        <v>1</v>
      </c>
      <c r="N79" s="632"/>
      <c r="O79" s="21">
        <f t="shared" si="18"/>
        <v>1</v>
      </c>
      <c r="P79" s="632"/>
      <c r="Q79" s="21">
        <f t="shared" si="19"/>
        <v>1</v>
      </c>
      <c r="R79" s="21">
        <f t="shared" si="20"/>
        <v>162430</v>
      </c>
      <c r="S79" s="306">
        <f t="shared" si="22"/>
        <v>530</v>
      </c>
    </row>
    <row r="80" spans="1:19">
      <c r="A80" s="3180">
        <f>面积!B735</f>
        <v>-1058</v>
      </c>
      <c r="B80" s="3181">
        <f>面积!C735</f>
        <v>32.61</v>
      </c>
      <c r="C80" s="21">
        <f t="shared" si="12"/>
        <v>1</v>
      </c>
      <c r="D80" s="632"/>
      <c r="E80" s="21">
        <f t="shared" si="13"/>
        <v>1</v>
      </c>
      <c r="F80" s="632"/>
      <c r="G80" s="21">
        <f t="shared" si="14"/>
        <v>1</v>
      </c>
      <c r="H80" s="632"/>
      <c r="I80" s="21">
        <f t="shared" si="15"/>
        <v>1</v>
      </c>
      <c r="J80" s="632"/>
      <c r="K80" s="21">
        <f t="shared" si="16"/>
        <v>1</v>
      </c>
      <c r="L80" s="632"/>
      <c r="M80" s="21">
        <f t="shared" si="17"/>
        <v>1</v>
      </c>
      <c r="N80" s="632"/>
      <c r="O80" s="21">
        <f t="shared" si="18"/>
        <v>1</v>
      </c>
      <c r="P80" s="632"/>
      <c r="Q80" s="21">
        <f t="shared" si="19"/>
        <v>1</v>
      </c>
      <c r="R80" s="21">
        <f t="shared" si="20"/>
        <v>162430</v>
      </c>
      <c r="S80" s="306">
        <f t="shared" si="22"/>
        <v>530</v>
      </c>
    </row>
    <row r="81" spans="1:19">
      <c r="A81" s="3180">
        <f>面积!B736</f>
        <v>-1059</v>
      </c>
      <c r="B81" s="3181">
        <f>面积!C736</f>
        <v>32.61</v>
      </c>
      <c r="C81" s="21">
        <f t="shared" si="12"/>
        <v>1</v>
      </c>
      <c r="D81" s="632"/>
      <c r="E81" s="21">
        <f t="shared" si="13"/>
        <v>1</v>
      </c>
      <c r="F81" s="632"/>
      <c r="G81" s="21">
        <f t="shared" si="14"/>
        <v>1</v>
      </c>
      <c r="H81" s="632"/>
      <c r="I81" s="21">
        <f t="shared" si="15"/>
        <v>1</v>
      </c>
      <c r="J81" s="632"/>
      <c r="K81" s="21">
        <f t="shared" si="16"/>
        <v>1</v>
      </c>
      <c r="L81" s="632"/>
      <c r="M81" s="21">
        <f t="shared" si="17"/>
        <v>1</v>
      </c>
      <c r="N81" s="632"/>
      <c r="O81" s="21">
        <f t="shared" si="18"/>
        <v>1</v>
      </c>
      <c r="P81" s="632"/>
      <c r="Q81" s="21">
        <f t="shared" si="19"/>
        <v>1</v>
      </c>
      <c r="R81" s="21">
        <f t="shared" si="20"/>
        <v>162430</v>
      </c>
      <c r="S81" s="306">
        <f t="shared" si="22"/>
        <v>530</v>
      </c>
    </row>
    <row r="82" spans="1:19">
      <c r="A82" s="3180">
        <f>面积!B737</f>
        <v>-1060</v>
      </c>
      <c r="B82" s="3181">
        <f>面积!C737</f>
        <v>32.61</v>
      </c>
      <c r="C82" s="21">
        <f t="shared" si="12"/>
        <v>1</v>
      </c>
      <c r="D82" s="632"/>
      <c r="E82" s="21">
        <f t="shared" si="13"/>
        <v>1</v>
      </c>
      <c r="F82" s="632"/>
      <c r="G82" s="21">
        <f t="shared" si="14"/>
        <v>1</v>
      </c>
      <c r="H82" s="632"/>
      <c r="I82" s="21">
        <f t="shared" si="15"/>
        <v>1</v>
      </c>
      <c r="J82" s="632"/>
      <c r="K82" s="21">
        <f t="shared" si="16"/>
        <v>1</v>
      </c>
      <c r="L82" s="632"/>
      <c r="M82" s="21">
        <f t="shared" si="17"/>
        <v>1</v>
      </c>
      <c r="N82" s="632"/>
      <c r="O82" s="21">
        <f t="shared" si="18"/>
        <v>1</v>
      </c>
      <c r="P82" s="632"/>
      <c r="Q82" s="21">
        <f t="shared" si="19"/>
        <v>1</v>
      </c>
      <c r="R82" s="21">
        <f t="shared" si="20"/>
        <v>162430</v>
      </c>
      <c r="S82" s="306">
        <f t="shared" si="22"/>
        <v>530</v>
      </c>
    </row>
    <row r="83" spans="1:19">
      <c r="A83" s="3180">
        <f>面积!B738</f>
        <v>-1061</v>
      </c>
      <c r="B83" s="3181">
        <f>面积!C738</f>
        <v>32.61</v>
      </c>
      <c r="C83" s="21">
        <f t="shared" si="12"/>
        <v>1</v>
      </c>
      <c r="D83" s="632"/>
      <c r="E83" s="21">
        <f t="shared" si="13"/>
        <v>1</v>
      </c>
      <c r="F83" s="632"/>
      <c r="G83" s="21">
        <f t="shared" si="14"/>
        <v>1</v>
      </c>
      <c r="H83" s="632"/>
      <c r="I83" s="21">
        <f t="shared" si="15"/>
        <v>1</v>
      </c>
      <c r="J83" s="632"/>
      <c r="K83" s="21">
        <f t="shared" si="16"/>
        <v>1</v>
      </c>
      <c r="L83" s="632"/>
      <c r="M83" s="21">
        <f t="shared" si="17"/>
        <v>1</v>
      </c>
      <c r="N83" s="632"/>
      <c r="O83" s="21">
        <f t="shared" si="18"/>
        <v>1</v>
      </c>
      <c r="P83" s="632"/>
      <c r="Q83" s="21">
        <f t="shared" si="19"/>
        <v>1</v>
      </c>
      <c r="R83" s="21">
        <f t="shared" si="20"/>
        <v>162430</v>
      </c>
      <c r="S83" s="306">
        <f t="shared" si="22"/>
        <v>530</v>
      </c>
    </row>
    <row r="84" spans="1:19">
      <c r="A84" s="3180">
        <f>面积!B739</f>
        <v>-1062</v>
      </c>
      <c r="B84" s="3181">
        <f>面积!C739</f>
        <v>32.61</v>
      </c>
      <c r="C84" s="21">
        <f t="shared" si="12"/>
        <v>1</v>
      </c>
      <c r="D84" s="632"/>
      <c r="E84" s="21">
        <f t="shared" si="13"/>
        <v>1</v>
      </c>
      <c r="F84" s="632"/>
      <c r="G84" s="21">
        <f t="shared" si="14"/>
        <v>1</v>
      </c>
      <c r="H84" s="632"/>
      <c r="I84" s="21">
        <f t="shared" si="15"/>
        <v>1</v>
      </c>
      <c r="J84" s="632"/>
      <c r="K84" s="21">
        <f t="shared" si="16"/>
        <v>1</v>
      </c>
      <c r="L84" s="632"/>
      <c r="M84" s="21">
        <f t="shared" si="17"/>
        <v>1</v>
      </c>
      <c r="N84" s="632"/>
      <c r="O84" s="21">
        <f t="shared" si="18"/>
        <v>1</v>
      </c>
      <c r="P84" s="632"/>
      <c r="Q84" s="21">
        <f t="shared" si="19"/>
        <v>1</v>
      </c>
      <c r="R84" s="21">
        <f t="shared" si="20"/>
        <v>162430</v>
      </c>
      <c r="S84" s="306">
        <f t="shared" si="22"/>
        <v>530</v>
      </c>
    </row>
    <row r="85" spans="1:19">
      <c r="A85" s="3180">
        <f>面积!B740</f>
        <v>-1063</v>
      </c>
      <c r="B85" s="3181">
        <f>面积!C740</f>
        <v>32.61</v>
      </c>
      <c r="C85" s="21">
        <f t="shared" si="12"/>
        <v>1</v>
      </c>
      <c r="D85" s="632"/>
      <c r="E85" s="21">
        <f t="shared" si="13"/>
        <v>1</v>
      </c>
      <c r="F85" s="632"/>
      <c r="G85" s="21">
        <f t="shared" si="14"/>
        <v>1</v>
      </c>
      <c r="H85" s="632"/>
      <c r="I85" s="21">
        <f t="shared" si="15"/>
        <v>1</v>
      </c>
      <c r="J85" s="632"/>
      <c r="K85" s="21">
        <f t="shared" si="16"/>
        <v>1</v>
      </c>
      <c r="L85" s="632"/>
      <c r="M85" s="21">
        <f t="shared" si="17"/>
        <v>1</v>
      </c>
      <c r="N85" s="632"/>
      <c r="O85" s="21">
        <f t="shared" si="18"/>
        <v>1</v>
      </c>
      <c r="P85" s="632"/>
      <c r="Q85" s="21">
        <f t="shared" si="19"/>
        <v>1</v>
      </c>
      <c r="R85" s="21">
        <f t="shared" si="20"/>
        <v>162430</v>
      </c>
      <c r="S85" s="306">
        <f t="shared" si="22"/>
        <v>530</v>
      </c>
    </row>
    <row r="86" spans="1:19">
      <c r="A86" s="3180">
        <f>面积!B741</f>
        <v>-1064</v>
      </c>
      <c r="B86" s="3181">
        <f>面积!C741</f>
        <v>32.61</v>
      </c>
      <c r="C86" s="21">
        <f t="shared" si="12"/>
        <v>1</v>
      </c>
      <c r="D86" s="632"/>
      <c r="E86" s="21">
        <f t="shared" si="13"/>
        <v>1</v>
      </c>
      <c r="F86" s="632"/>
      <c r="G86" s="21">
        <f t="shared" si="14"/>
        <v>1</v>
      </c>
      <c r="H86" s="632"/>
      <c r="I86" s="21">
        <f t="shared" si="15"/>
        <v>1</v>
      </c>
      <c r="J86" s="632"/>
      <c r="K86" s="21">
        <f t="shared" si="16"/>
        <v>1</v>
      </c>
      <c r="L86" s="632"/>
      <c r="M86" s="21">
        <f t="shared" si="17"/>
        <v>1</v>
      </c>
      <c r="N86" s="632"/>
      <c r="O86" s="21">
        <f t="shared" si="18"/>
        <v>1</v>
      </c>
      <c r="P86" s="632"/>
      <c r="Q86" s="21">
        <f t="shared" si="19"/>
        <v>1</v>
      </c>
      <c r="R86" s="21">
        <f t="shared" si="20"/>
        <v>162430</v>
      </c>
      <c r="S86" s="306">
        <f t="shared" si="22"/>
        <v>530</v>
      </c>
    </row>
    <row r="87" spans="1:19">
      <c r="A87" s="3180">
        <f>面积!B742</f>
        <v>-1065</v>
      </c>
      <c r="B87" s="3181">
        <f>面积!C742</f>
        <v>32.61</v>
      </c>
      <c r="C87" s="21">
        <f t="shared" si="12"/>
        <v>1</v>
      </c>
      <c r="D87" s="632"/>
      <c r="E87" s="21">
        <f t="shared" si="13"/>
        <v>1</v>
      </c>
      <c r="F87" s="632"/>
      <c r="G87" s="21">
        <f t="shared" si="14"/>
        <v>1</v>
      </c>
      <c r="H87" s="632"/>
      <c r="I87" s="21">
        <f t="shared" si="15"/>
        <v>1</v>
      </c>
      <c r="J87" s="632"/>
      <c r="K87" s="21">
        <f t="shared" si="16"/>
        <v>1</v>
      </c>
      <c r="L87" s="632"/>
      <c r="M87" s="21">
        <f t="shared" si="17"/>
        <v>1</v>
      </c>
      <c r="N87" s="632"/>
      <c r="O87" s="21">
        <f t="shared" si="18"/>
        <v>1</v>
      </c>
      <c r="P87" s="632"/>
      <c r="Q87" s="21">
        <f t="shared" si="19"/>
        <v>1</v>
      </c>
      <c r="R87" s="21">
        <f t="shared" si="20"/>
        <v>162430</v>
      </c>
      <c r="S87" s="306">
        <f t="shared" si="22"/>
        <v>530</v>
      </c>
    </row>
    <row r="88" spans="1:19">
      <c r="A88" s="3180">
        <f>面积!B743</f>
        <v>-1066</v>
      </c>
      <c r="B88" s="3181">
        <f>面积!C743</f>
        <v>32.61</v>
      </c>
      <c r="C88" s="21">
        <f t="shared" si="12"/>
        <v>1</v>
      </c>
      <c r="D88" s="632"/>
      <c r="E88" s="21">
        <f t="shared" si="13"/>
        <v>1</v>
      </c>
      <c r="F88" s="632"/>
      <c r="G88" s="21">
        <f t="shared" si="14"/>
        <v>1</v>
      </c>
      <c r="H88" s="632"/>
      <c r="I88" s="21">
        <f t="shared" si="15"/>
        <v>1</v>
      </c>
      <c r="J88" s="632"/>
      <c r="K88" s="21">
        <f t="shared" si="16"/>
        <v>1</v>
      </c>
      <c r="L88" s="632"/>
      <c r="M88" s="21">
        <f t="shared" si="17"/>
        <v>1</v>
      </c>
      <c r="N88" s="632"/>
      <c r="O88" s="21">
        <f t="shared" si="18"/>
        <v>1</v>
      </c>
      <c r="P88" s="632"/>
      <c r="Q88" s="21">
        <f t="shared" si="19"/>
        <v>1</v>
      </c>
      <c r="R88" s="21">
        <f t="shared" si="20"/>
        <v>162430</v>
      </c>
      <c r="S88" s="306">
        <f t="shared" si="22"/>
        <v>530</v>
      </c>
    </row>
    <row r="89" spans="1:19">
      <c r="A89" s="3180">
        <f>面积!B744</f>
        <v>-1067</v>
      </c>
      <c r="B89" s="3181">
        <f>面积!C744</f>
        <v>32.61</v>
      </c>
      <c r="C89" s="21">
        <f t="shared" si="12"/>
        <v>1</v>
      </c>
      <c r="D89" s="632"/>
      <c r="E89" s="21">
        <f t="shared" si="13"/>
        <v>1</v>
      </c>
      <c r="F89" s="632"/>
      <c r="G89" s="21">
        <f t="shared" si="14"/>
        <v>1</v>
      </c>
      <c r="H89" s="632"/>
      <c r="I89" s="21">
        <f t="shared" si="15"/>
        <v>1</v>
      </c>
      <c r="J89" s="632"/>
      <c r="K89" s="21">
        <f t="shared" si="16"/>
        <v>1</v>
      </c>
      <c r="L89" s="632"/>
      <c r="M89" s="21">
        <f t="shared" si="17"/>
        <v>1</v>
      </c>
      <c r="N89" s="632"/>
      <c r="O89" s="21">
        <f t="shared" si="18"/>
        <v>1</v>
      </c>
      <c r="P89" s="632"/>
      <c r="Q89" s="21">
        <f t="shared" si="19"/>
        <v>1</v>
      </c>
      <c r="R89" s="21">
        <f t="shared" si="20"/>
        <v>162430</v>
      </c>
      <c r="S89" s="306">
        <f t="shared" si="22"/>
        <v>530</v>
      </c>
    </row>
    <row r="90" spans="1:19">
      <c r="A90" s="3180">
        <f>面积!B745</f>
        <v>-1068</v>
      </c>
      <c r="B90" s="3181">
        <f>面积!C745</f>
        <v>32.61</v>
      </c>
      <c r="C90" s="21">
        <f t="shared" ref="C90:C153" si="23">IF(B90="",1,(LOOKUP(B90,$3:$3,$4:$4)-LOOKUP($B$24,$3:$3,$4:$4)+100)/100)</f>
        <v>1</v>
      </c>
      <c r="D90" s="632"/>
      <c r="E90" s="21">
        <f t="shared" ref="E90:E153" si="24">(SUMIF($5:$5,D90,$6:$6)-SUMIF($5:$5,$D$24,$6:$6)+100)/100</f>
        <v>1</v>
      </c>
      <c r="F90" s="632"/>
      <c r="G90" s="21">
        <f t="shared" ref="G90:G153" si="25">(SUMIF($7:$7,F90,$8:$8)-SUMIF($7:$7,$F$24,$8:$8)+100)/100</f>
        <v>1</v>
      </c>
      <c r="H90" s="632"/>
      <c r="I90" s="21">
        <f t="shared" ref="I90:I153" si="26">(SUMIF($9:$9,H90,$10:$10)-SUMIF($9:$9,$H$24,$10:$10)+100)/100</f>
        <v>1</v>
      </c>
      <c r="J90" s="632"/>
      <c r="K90" s="21">
        <f t="shared" ref="K90:K153" si="27">(SUMIF($11:$11,J90,$12:$12)-SUMIF($11:$11,$J$24,$12:$12)+100)/100</f>
        <v>1</v>
      </c>
      <c r="L90" s="632"/>
      <c r="M90" s="21">
        <f t="shared" ref="M90:M153" si="28">(SUMIF($13:$13,L90,$14:$14)-SUMIF($13:$13,$L$24,$14:$14)+100)/100</f>
        <v>1</v>
      </c>
      <c r="N90" s="632"/>
      <c r="O90" s="21">
        <f t="shared" ref="O90:O153" si="29">(SUMIF($15:$15,N90,$16:$16)-SUMIF($15:$15,$N$24,$16:$16)+100)/100</f>
        <v>1</v>
      </c>
      <c r="P90" s="632"/>
      <c r="Q90" s="21">
        <f t="shared" ref="Q90:Q153" si="30">(SUMIF($17:$17,P90,$18:$18)-SUMIF($17:$17,$P$24,$18:$18)+100)/100</f>
        <v>1</v>
      </c>
      <c r="R90" s="21">
        <f t="shared" ref="R90:R153" si="31">IF(B90="",0,ROUND($R$24*C90*E90*G90*I90*K90*M90*O90*Q90,0))</f>
        <v>162430</v>
      </c>
      <c r="S90" s="306">
        <f t="shared" si="22"/>
        <v>530</v>
      </c>
    </row>
    <row r="91" spans="1:19">
      <c r="A91" s="3180">
        <f>面积!B746</f>
        <v>-1069</v>
      </c>
      <c r="B91" s="3181">
        <f>面积!C746</f>
        <v>32.61</v>
      </c>
      <c r="C91" s="21">
        <f t="shared" si="23"/>
        <v>1</v>
      </c>
      <c r="D91" s="632"/>
      <c r="E91" s="21">
        <f t="shared" si="24"/>
        <v>1</v>
      </c>
      <c r="F91" s="632"/>
      <c r="G91" s="21">
        <f t="shared" si="25"/>
        <v>1</v>
      </c>
      <c r="H91" s="632"/>
      <c r="I91" s="21">
        <f t="shared" si="26"/>
        <v>1</v>
      </c>
      <c r="J91" s="632"/>
      <c r="K91" s="21">
        <f t="shared" si="27"/>
        <v>1</v>
      </c>
      <c r="L91" s="632"/>
      <c r="M91" s="21">
        <f t="shared" si="28"/>
        <v>1</v>
      </c>
      <c r="N91" s="632"/>
      <c r="O91" s="21">
        <f t="shared" si="29"/>
        <v>1</v>
      </c>
      <c r="P91" s="632"/>
      <c r="Q91" s="21">
        <f t="shared" si="30"/>
        <v>1</v>
      </c>
      <c r="R91" s="21">
        <f t="shared" si="31"/>
        <v>162430</v>
      </c>
      <c r="S91" s="306">
        <f t="shared" si="22"/>
        <v>530</v>
      </c>
    </row>
    <row r="92" spans="1:19">
      <c r="A92" s="3180">
        <f>面积!B747</f>
        <v>-1070</v>
      </c>
      <c r="B92" s="3181">
        <f>面积!C747</f>
        <v>32.61</v>
      </c>
      <c r="C92" s="21">
        <f t="shared" si="23"/>
        <v>1</v>
      </c>
      <c r="D92" s="632"/>
      <c r="E92" s="21">
        <f t="shared" si="24"/>
        <v>1</v>
      </c>
      <c r="F92" s="632"/>
      <c r="G92" s="21">
        <f t="shared" si="25"/>
        <v>1</v>
      </c>
      <c r="H92" s="632"/>
      <c r="I92" s="21">
        <f t="shared" si="26"/>
        <v>1</v>
      </c>
      <c r="J92" s="632"/>
      <c r="K92" s="21">
        <f t="shared" si="27"/>
        <v>1</v>
      </c>
      <c r="L92" s="632"/>
      <c r="M92" s="21">
        <f t="shared" si="28"/>
        <v>1</v>
      </c>
      <c r="N92" s="632"/>
      <c r="O92" s="21">
        <f t="shared" si="29"/>
        <v>1</v>
      </c>
      <c r="P92" s="632"/>
      <c r="Q92" s="21">
        <f t="shared" si="30"/>
        <v>1</v>
      </c>
      <c r="R92" s="21">
        <f t="shared" si="31"/>
        <v>162430</v>
      </c>
      <c r="S92" s="306">
        <f t="shared" si="22"/>
        <v>530</v>
      </c>
    </row>
    <row r="93" spans="1:19">
      <c r="A93" s="3180">
        <f>面积!B748</f>
        <v>-1071</v>
      </c>
      <c r="B93" s="3181">
        <f>面积!C748</f>
        <v>32.61</v>
      </c>
      <c r="C93" s="21">
        <f t="shared" si="23"/>
        <v>1</v>
      </c>
      <c r="D93" s="632"/>
      <c r="E93" s="21">
        <f t="shared" si="24"/>
        <v>1</v>
      </c>
      <c r="F93" s="632"/>
      <c r="G93" s="21">
        <f t="shared" si="25"/>
        <v>1</v>
      </c>
      <c r="H93" s="632"/>
      <c r="I93" s="21">
        <f t="shared" si="26"/>
        <v>1</v>
      </c>
      <c r="J93" s="632"/>
      <c r="K93" s="21">
        <f t="shared" si="27"/>
        <v>1</v>
      </c>
      <c r="L93" s="632"/>
      <c r="M93" s="21">
        <f t="shared" si="28"/>
        <v>1</v>
      </c>
      <c r="N93" s="632"/>
      <c r="O93" s="21">
        <f t="shared" si="29"/>
        <v>1</v>
      </c>
      <c r="P93" s="632"/>
      <c r="Q93" s="21">
        <f t="shared" si="30"/>
        <v>1</v>
      </c>
      <c r="R93" s="21">
        <f t="shared" si="31"/>
        <v>162430</v>
      </c>
      <c r="S93" s="306">
        <f t="shared" si="22"/>
        <v>530</v>
      </c>
    </row>
    <row r="94" spans="1:19">
      <c r="A94" s="3180">
        <f>面积!B749</f>
        <v>-1072</v>
      </c>
      <c r="B94" s="3181">
        <f>面积!C749</f>
        <v>32.61</v>
      </c>
      <c r="C94" s="21">
        <f t="shared" si="23"/>
        <v>1</v>
      </c>
      <c r="D94" s="632"/>
      <c r="E94" s="21">
        <f t="shared" si="24"/>
        <v>1</v>
      </c>
      <c r="F94" s="632"/>
      <c r="G94" s="21">
        <f t="shared" si="25"/>
        <v>1</v>
      </c>
      <c r="H94" s="632"/>
      <c r="I94" s="21">
        <f t="shared" si="26"/>
        <v>1</v>
      </c>
      <c r="J94" s="632"/>
      <c r="K94" s="21">
        <f t="shared" si="27"/>
        <v>1</v>
      </c>
      <c r="L94" s="632"/>
      <c r="M94" s="21">
        <f t="shared" si="28"/>
        <v>1</v>
      </c>
      <c r="N94" s="632"/>
      <c r="O94" s="21">
        <f t="shared" si="29"/>
        <v>1</v>
      </c>
      <c r="P94" s="632"/>
      <c r="Q94" s="21">
        <f t="shared" si="30"/>
        <v>1</v>
      </c>
      <c r="R94" s="21">
        <f t="shared" si="31"/>
        <v>162430</v>
      </c>
      <c r="S94" s="306">
        <f t="shared" si="22"/>
        <v>530</v>
      </c>
    </row>
    <row r="95" spans="1:19">
      <c r="A95" s="3180">
        <f>面积!B750</f>
        <v>-1073</v>
      </c>
      <c r="B95" s="3181">
        <f>面积!C750</f>
        <v>32.61</v>
      </c>
      <c r="C95" s="21">
        <f t="shared" si="23"/>
        <v>1</v>
      </c>
      <c r="D95" s="632"/>
      <c r="E95" s="21">
        <f t="shared" si="24"/>
        <v>1</v>
      </c>
      <c r="F95" s="632"/>
      <c r="G95" s="21">
        <f t="shared" si="25"/>
        <v>1</v>
      </c>
      <c r="H95" s="632"/>
      <c r="I95" s="21">
        <f t="shared" si="26"/>
        <v>1</v>
      </c>
      <c r="J95" s="632"/>
      <c r="K95" s="21">
        <f t="shared" si="27"/>
        <v>1</v>
      </c>
      <c r="L95" s="632"/>
      <c r="M95" s="21">
        <f t="shared" si="28"/>
        <v>1</v>
      </c>
      <c r="N95" s="632"/>
      <c r="O95" s="21">
        <f t="shared" si="29"/>
        <v>1</v>
      </c>
      <c r="P95" s="632"/>
      <c r="Q95" s="21">
        <f t="shared" si="30"/>
        <v>1</v>
      </c>
      <c r="R95" s="21">
        <f t="shared" si="31"/>
        <v>162430</v>
      </c>
      <c r="S95" s="306">
        <f t="shared" si="22"/>
        <v>530</v>
      </c>
    </row>
    <row r="96" spans="1:19">
      <c r="A96" s="3180">
        <f>面积!B751</f>
        <v>-1074</v>
      </c>
      <c r="B96" s="3181">
        <f>面积!C751</f>
        <v>32.61</v>
      </c>
      <c r="C96" s="21">
        <f t="shared" si="23"/>
        <v>1</v>
      </c>
      <c r="D96" s="632"/>
      <c r="E96" s="21">
        <f t="shared" si="24"/>
        <v>1</v>
      </c>
      <c r="F96" s="632"/>
      <c r="G96" s="21">
        <f t="shared" si="25"/>
        <v>1</v>
      </c>
      <c r="H96" s="632"/>
      <c r="I96" s="21">
        <f t="shared" si="26"/>
        <v>1</v>
      </c>
      <c r="J96" s="632"/>
      <c r="K96" s="21">
        <f t="shared" si="27"/>
        <v>1</v>
      </c>
      <c r="L96" s="632"/>
      <c r="M96" s="21">
        <f t="shared" si="28"/>
        <v>1</v>
      </c>
      <c r="N96" s="632"/>
      <c r="O96" s="21">
        <f t="shared" si="29"/>
        <v>1</v>
      </c>
      <c r="P96" s="632"/>
      <c r="Q96" s="21">
        <f t="shared" si="30"/>
        <v>1</v>
      </c>
      <c r="R96" s="21">
        <f t="shared" si="31"/>
        <v>162430</v>
      </c>
      <c r="S96" s="306">
        <f t="shared" si="22"/>
        <v>530</v>
      </c>
    </row>
    <row r="97" spans="1:19">
      <c r="A97" s="3180">
        <f>面积!B752</f>
        <v>-1075</v>
      </c>
      <c r="B97" s="3181">
        <f>面积!C752</f>
        <v>32.61</v>
      </c>
      <c r="C97" s="21">
        <f t="shared" si="23"/>
        <v>1</v>
      </c>
      <c r="D97" s="632"/>
      <c r="E97" s="21">
        <f t="shared" si="24"/>
        <v>1</v>
      </c>
      <c r="F97" s="632"/>
      <c r="G97" s="21">
        <f t="shared" si="25"/>
        <v>1</v>
      </c>
      <c r="H97" s="632"/>
      <c r="I97" s="21">
        <f t="shared" si="26"/>
        <v>1</v>
      </c>
      <c r="J97" s="632"/>
      <c r="K97" s="21">
        <f t="shared" si="27"/>
        <v>1</v>
      </c>
      <c r="L97" s="632"/>
      <c r="M97" s="21">
        <f t="shared" si="28"/>
        <v>1</v>
      </c>
      <c r="N97" s="632"/>
      <c r="O97" s="21">
        <f t="shared" si="29"/>
        <v>1</v>
      </c>
      <c r="P97" s="632"/>
      <c r="Q97" s="21">
        <f t="shared" si="30"/>
        <v>1</v>
      </c>
      <c r="R97" s="21">
        <f t="shared" si="31"/>
        <v>162430</v>
      </c>
      <c r="S97" s="306">
        <f t="shared" si="22"/>
        <v>530</v>
      </c>
    </row>
    <row r="98" spans="1:19">
      <c r="A98" s="3180">
        <f>面积!B753</f>
        <v>-1076</v>
      </c>
      <c r="B98" s="3181">
        <f>面积!C753</f>
        <v>32.61</v>
      </c>
      <c r="C98" s="21">
        <f t="shared" si="23"/>
        <v>1</v>
      </c>
      <c r="D98" s="632"/>
      <c r="E98" s="21">
        <f t="shared" si="24"/>
        <v>1</v>
      </c>
      <c r="F98" s="632"/>
      <c r="G98" s="21">
        <f t="shared" si="25"/>
        <v>1</v>
      </c>
      <c r="H98" s="632"/>
      <c r="I98" s="21">
        <f t="shared" si="26"/>
        <v>1</v>
      </c>
      <c r="J98" s="632"/>
      <c r="K98" s="21">
        <f t="shared" si="27"/>
        <v>1</v>
      </c>
      <c r="L98" s="632"/>
      <c r="M98" s="21">
        <f t="shared" si="28"/>
        <v>1</v>
      </c>
      <c r="N98" s="632"/>
      <c r="O98" s="21">
        <f t="shared" si="29"/>
        <v>1</v>
      </c>
      <c r="P98" s="632"/>
      <c r="Q98" s="21">
        <f t="shared" si="30"/>
        <v>1</v>
      </c>
      <c r="R98" s="21">
        <f t="shared" si="31"/>
        <v>162430</v>
      </c>
      <c r="S98" s="306">
        <f t="shared" si="22"/>
        <v>530</v>
      </c>
    </row>
    <row r="99" spans="1:19">
      <c r="A99" s="3180">
        <f>面积!B754</f>
        <v>-1077</v>
      </c>
      <c r="B99" s="3181">
        <f>面积!C754</f>
        <v>32.61</v>
      </c>
      <c r="C99" s="21">
        <f t="shared" si="23"/>
        <v>1</v>
      </c>
      <c r="D99" s="632"/>
      <c r="E99" s="21">
        <f t="shared" si="24"/>
        <v>1</v>
      </c>
      <c r="F99" s="632"/>
      <c r="G99" s="21">
        <f t="shared" si="25"/>
        <v>1</v>
      </c>
      <c r="H99" s="632"/>
      <c r="I99" s="21">
        <f t="shared" si="26"/>
        <v>1</v>
      </c>
      <c r="J99" s="632"/>
      <c r="K99" s="21">
        <f t="shared" si="27"/>
        <v>1</v>
      </c>
      <c r="L99" s="632"/>
      <c r="M99" s="21">
        <f t="shared" si="28"/>
        <v>1</v>
      </c>
      <c r="N99" s="632"/>
      <c r="O99" s="21">
        <f t="shared" si="29"/>
        <v>1</v>
      </c>
      <c r="P99" s="632"/>
      <c r="Q99" s="21">
        <f t="shared" si="30"/>
        <v>1</v>
      </c>
      <c r="R99" s="21">
        <f t="shared" si="31"/>
        <v>162430</v>
      </c>
      <c r="S99" s="306">
        <f t="shared" si="22"/>
        <v>530</v>
      </c>
    </row>
    <row r="100" spans="1:19">
      <c r="A100" s="3180">
        <f>面积!B755</f>
        <v>-1078</v>
      </c>
      <c r="B100" s="3181">
        <f>面积!C755</f>
        <v>32.61</v>
      </c>
      <c r="C100" s="21">
        <f t="shared" si="23"/>
        <v>1</v>
      </c>
      <c r="D100" s="632"/>
      <c r="E100" s="21">
        <f t="shared" si="24"/>
        <v>1</v>
      </c>
      <c r="F100" s="632"/>
      <c r="G100" s="21">
        <f t="shared" si="25"/>
        <v>1</v>
      </c>
      <c r="H100" s="632"/>
      <c r="I100" s="21">
        <f t="shared" si="26"/>
        <v>1</v>
      </c>
      <c r="J100" s="632"/>
      <c r="K100" s="21">
        <f t="shared" si="27"/>
        <v>1</v>
      </c>
      <c r="L100" s="632"/>
      <c r="M100" s="21">
        <f t="shared" si="28"/>
        <v>1</v>
      </c>
      <c r="N100" s="632"/>
      <c r="O100" s="21">
        <f t="shared" si="29"/>
        <v>1</v>
      </c>
      <c r="P100" s="632"/>
      <c r="Q100" s="21">
        <f t="shared" si="30"/>
        <v>1</v>
      </c>
      <c r="R100" s="21">
        <f t="shared" si="31"/>
        <v>162430</v>
      </c>
      <c r="S100" s="306">
        <f t="shared" si="22"/>
        <v>530</v>
      </c>
    </row>
    <row r="101" spans="1:19">
      <c r="A101" s="3180">
        <f>面积!B756</f>
        <v>-1079</v>
      </c>
      <c r="B101" s="3181">
        <f>面积!C756</f>
        <v>32.61</v>
      </c>
      <c r="C101" s="21">
        <f t="shared" si="23"/>
        <v>1</v>
      </c>
      <c r="D101" s="632"/>
      <c r="E101" s="21">
        <f t="shared" si="24"/>
        <v>1</v>
      </c>
      <c r="F101" s="632"/>
      <c r="G101" s="21">
        <f t="shared" si="25"/>
        <v>1</v>
      </c>
      <c r="H101" s="632"/>
      <c r="I101" s="21">
        <f t="shared" si="26"/>
        <v>1</v>
      </c>
      <c r="J101" s="632"/>
      <c r="K101" s="21">
        <f t="shared" si="27"/>
        <v>1</v>
      </c>
      <c r="L101" s="632"/>
      <c r="M101" s="21">
        <f t="shared" si="28"/>
        <v>1</v>
      </c>
      <c r="N101" s="632"/>
      <c r="O101" s="21">
        <f t="shared" si="29"/>
        <v>1</v>
      </c>
      <c r="P101" s="632"/>
      <c r="Q101" s="21">
        <f t="shared" si="30"/>
        <v>1</v>
      </c>
      <c r="R101" s="21">
        <f t="shared" si="31"/>
        <v>162430</v>
      </c>
      <c r="S101" s="306">
        <f t="shared" si="22"/>
        <v>530</v>
      </c>
    </row>
    <row r="102" spans="1:19">
      <c r="A102" s="3180">
        <f>面积!B757</f>
        <v>-1080</v>
      </c>
      <c r="B102" s="3181">
        <f>面积!C757</f>
        <v>32.61</v>
      </c>
      <c r="C102" s="21">
        <f t="shared" si="23"/>
        <v>1</v>
      </c>
      <c r="D102" s="632"/>
      <c r="E102" s="21">
        <f t="shared" si="24"/>
        <v>1</v>
      </c>
      <c r="F102" s="632"/>
      <c r="G102" s="21">
        <f t="shared" si="25"/>
        <v>1</v>
      </c>
      <c r="H102" s="632"/>
      <c r="I102" s="21">
        <f t="shared" si="26"/>
        <v>1</v>
      </c>
      <c r="J102" s="632"/>
      <c r="K102" s="21">
        <f t="shared" si="27"/>
        <v>1</v>
      </c>
      <c r="L102" s="632"/>
      <c r="M102" s="21">
        <f t="shared" si="28"/>
        <v>1</v>
      </c>
      <c r="N102" s="632"/>
      <c r="O102" s="21">
        <f t="shared" si="29"/>
        <v>1</v>
      </c>
      <c r="P102" s="632"/>
      <c r="Q102" s="21">
        <f t="shared" si="30"/>
        <v>1</v>
      </c>
      <c r="R102" s="21">
        <f t="shared" si="31"/>
        <v>162430</v>
      </c>
      <c r="S102" s="306">
        <f t="shared" si="22"/>
        <v>530</v>
      </c>
    </row>
    <row r="103" spans="1:19">
      <c r="A103" s="3180">
        <f>面积!B758</f>
        <v>-1081</v>
      </c>
      <c r="B103" s="3181">
        <f>面积!C758</f>
        <v>32.61</v>
      </c>
      <c r="C103" s="21">
        <f t="shared" si="23"/>
        <v>1</v>
      </c>
      <c r="D103" s="632"/>
      <c r="E103" s="21">
        <f t="shared" si="24"/>
        <v>1</v>
      </c>
      <c r="F103" s="632"/>
      <c r="G103" s="21">
        <f t="shared" si="25"/>
        <v>1</v>
      </c>
      <c r="H103" s="632"/>
      <c r="I103" s="21">
        <f t="shared" si="26"/>
        <v>1</v>
      </c>
      <c r="J103" s="632"/>
      <c r="K103" s="21">
        <f t="shared" si="27"/>
        <v>1</v>
      </c>
      <c r="L103" s="632"/>
      <c r="M103" s="21">
        <f t="shared" si="28"/>
        <v>1</v>
      </c>
      <c r="N103" s="632"/>
      <c r="O103" s="21">
        <f t="shared" si="29"/>
        <v>1</v>
      </c>
      <c r="P103" s="632"/>
      <c r="Q103" s="21">
        <f t="shared" si="30"/>
        <v>1</v>
      </c>
      <c r="R103" s="21">
        <f t="shared" si="31"/>
        <v>162430</v>
      </c>
      <c r="S103" s="306">
        <f t="shared" si="22"/>
        <v>530</v>
      </c>
    </row>
    <row r="104" spans="1:19">
      <c r="A104" s="3180">
        <f>面积!B759</f>
        <v>-1082</v>
      </c>
      <c r="B104" s="3181">
        <f>面积!C759</f>
        <v>32.61</v>
      </c>
      <c r="C104" s="21">
        <f t="shared" si="23"/>
        <v>1</v>
      </c>
      <c r="D104" s="632"/>
      <c r="E104" s="21">
        <f t="shared" si="24"/>
        <v>1</v>
      </c>
      <c r="F104" s="632"/>
      <c r="G104" s="21">
        <f t="shared" si="25"/>
        <v>1</v>
      </c>
      <c r="H104" s="632"/>
      <c r="I104" s="21">
        <f t="shared" si="26"/>
        <v>1</v>
      </c>
      <c r="J104" s="632"/>
      <c r="K104" s="21">
        <f t="shared" si="27"/>
        <v>1</v>
      </c>
      <c r="L104" s="632"/>
      <c r="M104" s="21">
        <f t="shared" si="28"/>
        <v>1</v>
      </c>
      <c r="N104" s="632"/>
      <c r="O104" s="21">
        <f t="shared" si="29"/>
        <v>1</v>
      </c>
      <c r="P104" s="632"/>
      <c r="Q104" s="21">
        <f t="shared" si="30"/>
        <v>1</v>
      </c>
      <c r="R104" s="21">
        <f t="shared" si="31"/>
        <v>162430</v>
      </c>
      <c r="S104" s="306">
        <f t="shared" si="22"/>
        <v>530</v>
      </c>
    </row>
    <row r="105" spans="1:19">
      <c r="A105" s="3180">
        <f>面积!B760</f>
        <v>-1083</v>
      </c>
      <c r="B105" s="3181">
        <f>面积!C760</f>
        <v>32.61</v>
      </c>
      <c r="C105" s="21">
        <f t="shared" si="23"/>
        <v>1</v>
      </c>
      <c r="D105" s="632"/>
      <c r="E105" s="21">
        <f t="shared" si="24"/>
        <v>1</v>
      </c>
      <c r="F105" s="632"/>
      <c r="G105" s="21">
        <f t="shared" si="25"/>
        <v>1</v>
      </c>
      <c r="H105" s="632"/>
      <c r="I105" s="21">
        <f t="shared" si="26"/>
        <v>1</v>
      </c>
      <c r="J105" s="632"/>
      <c r="K105" s="21">
        <f t="shared" si="27"/>
        <v>1</v>
      </c>
      <c r="L105" s="632"/>
      <c r="M105" s="21">
        <f t="shared" si="28"/>
        <v>1</v>
      </c>
      <c r="N105" s="632"/>
      <c r="O105" s="21">
        <f t="shared" si="29"/>
        <v>1</v>
      </c>
      <c r="P105" s="632"/>
      <c r="Q105" s="21">
        <f t="shared" si="30"/>
        <v>1</v>
      </c>
      <c r="R105" s="21">
        <f t="shared" si="31"/>
        <v>162430</v>
      </c>
      <c r="S105" s="306">
        <f t="shared" si="22"/>
        <v>530</v>
      </c>
    </row>
    <row r="106" spans="1:19">
      <c r="A106" s="3180">
        <f>面积!B761</f>
        <v>-1084</v>
      </c>
      <c r="B106" s="3181">
        <f>面积!C761</f>
        <v>32.61</v>
      </c>
      <c r="C106" s="21">
        <f t="shared" si="23"/>
        <v>1</v>
      </c>
      <c r="D106" s="632"/>
      <c r="E106" s="21">
        <f t="shared" si="24"/>
        <v>1</v>
      </c>
      <c r="F106" s="632"/>
      <c r="G106" s="21">
        <f t="shared" si="25"/>
        <v>1</v>
      </c>
      <c r="H106" s="632"/>
      <c r="I106" s="21">
        <f t="shared" si="26"/>
        <v>1</v>
      </c>
      <c r="J106" s="632"/>
      <c r="K106" s="21">
        <f t="shared" si="27"/>
        <v>1</v>
      </c>
      <c r="L106" s="632"/>
      <c r="M106" s="21">
        <f t="shared" si="28"/>
        <v>1</v>
      </c>
      <c r="N106" s="632"/>
      <c r="O106" s="21">
        <f t="shared" si="29"/>
        <v>1</v>
      </c>
      <c r="P106" s="632"/>
      <c r="Q106" s="21">
        <f t="shared" si="30"/>
        <v>1</v>
      </c>
      <c r="R106" s="21">
        <f t="shared" si="31"/>
        <v>162430</v>
      </c>
      <c r="S106" s="306">
        <f t="shared" si="22"/>
        <v>530</v>
      </c>
    </row>
    <row r="107" spans="1:19">
      <c r="A107" s="3180">
        <f>面积!B762</f>
        <v>-1085</v>
      </c>
      <c r="B107" s="3181">
        <f>面积!C762</f>
        <v>32.61</v>
      </c>
      <c r="C107" s="21">
        <f t="shared" si="23"/>
        <v>1</v>
      </c>
      <c r="D107" s="632"/>
      <c r="E107" s="21">
        <f t="shared" si="24"/>
        <v>1</v>
      </c>
      <c r="F107" s="632"/>
      <c r="G107" s="21">
        <f t="shared" si="25"/>
        <v>1</v>
      </c>
      <c r="H107" s="632"/>
      <c r="I107" s="21">
        <f t="shared" si="26"/>
        <v>1</v>
      </c>
      <c r="J107" s="632"/>
      <c r="K107" s="21">
        <f t="shared" si="27"/>
        <v>1</v>
      </c>
      <c r="L107" s="632"/>
      <c r="M107" s="21">
        <f t="shared" si="28"/>
        <v>1</v>
      </c>
      <c r="N107" s="632"/>
      <c r="O107" s="21">
        <f t="shared" si="29"/>
        <v>1</v>
      </c>
      <c r="P107" s="632"/>
      <c r="Q107" s="21">
        <f t="shared" si="30"/>
        <v>1</v>
      </c>
      <c r="R107" s="21">
        <f t="shared" si="31"/>
        <v>162430</v>
      </c>
      <c r="S107" s="306">
        <f t="shared" si="22"/>
        <v>530</v>
      </c>
    </row>
    <row r="108" spans="1:19">
      <c r="A108" s="3180">
        <f>面积!B763</f>
        <v>-1086</v>
      </c>
      <c r="B108" s="3181">
        <f>面积!C763</f>
        <v>32.61</v>
      </c>
      <c r="C108" s="21">
        <f t="shared" si="23"/>
        <v>1</v>
      </c>
      <c r="D108" s="632"/>
      <c r="E108" s="21">
        <f t="shared" si="24"/>
        <v>1</v>
      </c>
      <c r="F108" s="632"/>
      <c r="G108" s="21">
        <f t="shared" si="25"/>
        <v>1</v>
      </c>
      <c r="H108" s="632"/>
      <c r="I108" s="21">
        <f t="shared" si="26"/>
        <v>1</v>
      </c>
      <c r="J108" s="632"/>
      <c r="K108" s="21">
        <f t="shared" si="27"/>
        <v>1</v>
      </c>
      <c r="L108" s="632"/>
      <c r="M108" s="21">
        <f t="shared" si="28"/>
        <v>1</v>
      </c>
      <c r="N108" s="632"/>
      <c r="O108" s="21">
        <f t="shared" si="29"/>
        <v>1</v>
      </c>
      <c r="P108" s="632"/>
      <c r="Q108" s="21">
        <f t="shared" si="30"/>
        <v>1</v>
      </c>
      <c r="R108" s="21">
        <f t="shared" si="31"/>
        <v>162430</v>
      </c>
      <c r="S108" s="306">
        <f t="shared" si="22"/>
        <v>530</v>
      </c>
    </row>
    <row r="109" spans="1:19">
      <c r="A109" s="3180">
        <f>面积!B764</f>
        <v>-1087</v>
      </c>
      <c r="B109" s="3181">
        <f>面积!C764</f>
        <v>32.61</v>
      </c>
      <c r="C109" s="21">
        <f t="shared" si="23"/>
        <v>1</v>
      </c>
      <c r="D109" s="632"/>
      <c r="E109" s="21">
        <f t="shared" si="24"/>
        <v>1</v>
      </c>
      <c r="F109" s="632"/>
      <c r="G109" s="21">
        <f t="shared" si="25"/>
        <v>1</v>
      </c>
      <c r="H109" s="632"/>
      <c r="I109" s="21">
        <f t="shared" si="26"/>
        <v>1</v>
      </c>
      <c r="J109" s="632"/>
      <c r="K109" s="21">
        <f t="shared" si="27"/>
        <v>1</v>
      </c>
      <c r="L109" s="632"/>
      <c r="M109" s="21">
        <f t="shared" si="28"/>
        <v>1</v>
      </c>
      <c r="N109" s="632"/>
      <c r="O109" s="21">
        <f t="shared" si="29"/>
        <v>1</v>
      </c>
      <c r="P109" s="632"/>
      <c r="Q109" s="21">
        <f t="shared" si="30"/>
        <v>1</v>
      </c>
      <c r="R109" s="21">
        <f t="shared" si="31"/>
        <v>162430</v>
      </c>
      <c r="S109" s="306">
        <f t="shared" si="22"/>
        <v>530</v>
      </c>
    </row>
    <row r="110" spans="1:19">
      <c r="A110" s="3180">
        <f>面积!B765</f>
        <v>-1088</v>
      </c>
      <c r="B110" s="3181">
        <f>面积!C765</f>
        <v>32.61</v>
      </c>
      <c r="C110" s="21">
        <f t="shared" si="23"/>
        <v>1</v>
      </c>
      <c r="D110" s="632"/>
      <c r="E110" s="21">
        <f t="shared" si="24"/>
        <v>1</v>
      </c>
      <c r="F110" s="632"/>
      <c r="G110" s="21">
        <f t="shared" si="25"/>
        <v>1</v>
      </c>
      <c r="H110" s="632"/>
      <c r="I110" s="21">
        <f t="shared" si="26"/>
        <v>1</v>
      </c>
      <c r="J110" s="632"/>
      <c r="K110" s="21">
        <f t="shared" si="27"/>
        <v>1</v>
      </c>
      <c r="L110" s="632"/>
      <c r="M110" s="21">
        <f t="shared" si="28"/>
        <v>1</v>
      </c>
      <c r="N110" s="632"/>
      <c r="O110" s="21">
        <f t="shared" si="29"/>
        <v>1</v>
      </c>
      <c r="P110" s="632"/>
      <c r="Q110" s="21">
        <f t="shared" si="30"/>
        <v>1</v>
      </c>
      <c r="R110" s="21">
        <f t="shared" si="31"/>
        <v>162430</v>
      </c>
      <c r="S110" s="306">
        <f t="shared" si="22"/>
        <v>530</v>
      </c>
    </row>
    <row r="111" spans="1:19">
      <c r="A111" s="3180">
        <f>面积!B766</f>
        <v>-1089</v>
      </c>
      <c r="B111" s="3181">
        <f>面积!C766</f>
        <v>32.61</v>
      </c>
      <c r="C111" s="21">
        <f t="shared" si="23"/>
        <v>1</v>
      </c>
      <c r="D111" s="632"/>
      <c r="E111" s="21">
        <f t="shared" si="24"/>
        <v>1</v>
      </c>
      <c r="F111" s="632"/>
      <c r="G111" s="21">
        <f t="shared" si="25"/>
        <v>1</v>
      </c>
      <c r="H111" s="632"/>
      <c r="I111" s="21">
        <f t="shared" si="26"/>
        <v>1</v>
      </c>
      <c r="J111" s="632"/>
      <c r="K111" s="21">
        <f t="shared" si="27"/>
        <v>1</v>
      </c>
      <c r="L111" s="632"/>
      <c r="M111" s="21">
        <f t="shared" si="28"/>
        <v>1</v>
      </c>
      <c r="N111" s="632"/>
      <c r="O111" s="21">
        <f t="shared" si="29"/>
        <v>1</v>
      </c>
      <c r="P111" s="632"/>
      <c r="Q111" s="21">
        <f t="shared" si="30"/>
        <v>1</v>
      </c>
      <c r="R111" s="21">
        <f t="shared" si="31"/>
        <v>162430</v>
      </c>
      <c r="S111" s="306">
        <f t="shared" si="22"/>
        <v>530</v>
      </c>
    </row>
    <row r="112" spans="1:19">
      <c r="A112" s="3180">
        <f>面积!B767</f>
        <v>-1090</v>
      </c>
      <c r="B112" s="3181">
        <f>面积!C767</f>
        <v>32.61</v>
      </c>
      <c r="C112" s="21">
        <f t="shared" si="23"/>
        <v>1</v>
      </c>
      <c r="D112" s="632"/>
      <c r="E112" s="21">
        <f t="shared" si="24"/>
        <v>1</v>
      </c>
      <c r="F112" s="632"/>
      <c r="G112" s="21">
        <f t="shared" si="25"/>
        <v>1</v>
      </c>
      <c r="H112" s="632"/>
      <c r="I112" s="21">
        <f t="shared" si="26"/>
        <v>1</v>
      </c>
      <c r="J112" s="632"/>
      <c r="K112" s="21">
        <f t="shared" si="27"/>
        <v>1</v>
      </c>
      <c r="L112" s="632"/>
      <c r="M112" s="21">
        <f t="shared" si="28"/>
        <v>1</v>
      </c>
      <c r="N112" s="632"/>
      <c r="O112" s="21">
        <f t="shared" si="29"/>
        <v>1</v>
      </c>
      <c r="P112" s="632"/>
      <c r="Q112" s="21">
        <f t="shared" si="30"/>
        <v>1</v>
      </c>
      <c r="R112" s="21">
        <f t="shared" si="31"/>
        <v>162430</v>
      </c>
      <c r="S112" s="306">
        <f t="shared" si="22"/>
        <v>530</v>
      </c>
    </row>
    <row r="113" spans="1:19">
      <c r="A113" s="3180">
        <f>面积!B768</f>
        <v>-1091</v>
      </c>
      <c r="B113" s="3181">
        <f>面积!C768</f>
        <v>32.61</v>
      </c>
      <c r="C113" s="21">
        <f t="shared" si="23"/>
        <v>1</v>
      </c>
      <c r="D113" s="632"/>
      <c r="E113" s="21">
        <f t="shared" si="24"/>
        <v>1</v>
      </c>
      <c r="F113" s="632"/>
      <c r="G113" s="21">
        <f t="shared" si="25"/>
        <v>1</v>
      </c>
      <c r="H113" s="632"/>
      <c r="I113" s="21">
        <f t="shared" si="26"/>
        <v>1</v>
      </c>
      <c r="J113" s="632"/>
      <c r="K113" s="21">
        <f t="shared" si="27"/>
        <v>1</v>
      </c>
      <c r="L113" s="632"/>
      <c r="M113" s="21">
        <f t="shared" si="28"/>
        <v>1</v>
      </c>
      <c r="N113" s="632"/>
      <c r="O113" s="21">
        <f t="shared" si="29"/>
        <v>1</v>
      </c>
      <c r="P113" s="632"/>
      <c r="Q113" s="21">
        <f t="shared" si="30"/>
        <v>1</v>
      </c>
      <c r="R113" s="21">
        <f t="shared" si="31"/>
        <v>162430</v>
      </c>
      <c r="S113" s="306">
        <f t="shared" si="22"/>
        <v>530</v>
      </c>
    </row>
    <row r="114" spans="1:19">
      <c r="A114" s="3180">
        <f>面积!B769</f>
        <v>-1092</v>
      </c>
      <c r="B114" s="3181">
        <f>面积!C769</f>
        <v>32.61</v>
      </c>
      <c r="C114" s="21">
        <f t="shared" si="23"/>
        <v>1</v>
      </c>
      <c r="D114" s="632"/>
      <c r="E114" s="21">
        <f t="shared" si="24"/>
        <v>1</v>
      </c>
      <c r="F114" s="632"/>
      <c r="G114" s="21">
        <f t="shared" si="25"/>
        <v>1</v>
      </c>
      <c r="H114" s="632"/>
      <c r="I114" s="21">
        <f t="shared" si="26"/>
        <v>1</v>
      </c>
      <c r="J114" s="632"/>
      <c r="K114" s="21">
        <f t="shared" si="27"/>
        <v>1</v>
      </c>
      <c r="L114" s="632"/>
      <c r="M114" s="21">
        <f t="shared" si="28"/>
        <v>1</v>
      </c>
      <c r="N114" s="632"/>
      <c r="O114" s="21">
        <f t="shared" si="29"/>
        <v>1</v>
      </c>
      <c r="P114" s="632"/>
      <c r="Q114" s="21">
        <f t="shared" si="30"/>
        <v>1</v>
      </c>
      <c r="R114" s="21">
        <f t="shared" si="31"/>
        <v>162430</v>
      </c>
      <c r="S114" s="306">
        <f t="shared" si="22"/>
        <v>530</v>
      </c>
    </row>
    <row r="115" spans="1:19">
      <c r="A115" s="3180">
        <f>面积!B770</f>
        <v>-1093</v>
      </c>
      <c r="B115" s="3181">
        <f>面积!C770</f>
        <v>32.61</v>
      </c>
      <c r="C115" s="21">
        <f t="shared" si="23"/>
        <v>1</v>
      </c>
      <c r="D115" s="632"/>
      <c r="E115" s="21">
        <f t="shared" si="24"/>
        <v>1</v>
      </c>
      <c r="F115" s="632"/>
      <c r="G115" s="21">
        <f t="shared" si="25"/>
        <v>1</v>
      </c>
      <c r="H115" s="632"/>
      <c r="I115" s="21">
        <f t="shared" si="26"/>
        <v>1</v>
      </c>
      <c r="J115" s="632"/>
      <c r="K115" s="21">
        <f t="shared" si="27"/>
        <v>1</v>
      </c>
      <c r="L115" s="632"/>
      <c r="M115" s="21">
        <f t="shared" si="28"/>
        <v>1</v>
      </c>
      <c r="N115" s="632"/>
      <c r="O115" s="21">
        <f t="shared" si="29"/>
        <v>1</v>
      </c>
      <c r="P115" s="632"/>
      <c r="Q115" s="21">
        <f t="shared" si="30"/>
        <v>1</v>
      </c>
      <c r="R115" s="21">
        <f t="shared" si="31"/>
        <v>162430</v>
      </c>
      <c r="S115" s="306">
        <f t="shared" si="22"/>
        <v>530</v>
      </c>
    </row>
    <row r="116" spans="1:19">
      <c r="A116" s="3180">
        <f>面积!B771</f>
        <v>-1094</v>
      </c>
      <c r="B116" s="3181">
        <f>面积!C771</f>
        <v>32.61</v>
      </c>
      <c r="C116" s="21">
        <f t="shared" si="23"/>
        <v>1</v>
      </c>
      <c r="D116" s="632"/>
      <c r="E116" s="21">
        <f t="shared" si="24"/>
        <v>1</v>
      </c>
      <c r="F116" s="632"/>
      <c r="G116" s="21">
        <f t="shared" si="25"/>
        <v>1</v>
      </c>
      <c r="H116" s="632"/>
      <c r="I116" s="21">
        <f t="shared" si="26"/>
        <v>1</v>
      </c>
      <c r="J116" s="632"/>
      <c r="K116" s="21">
        <f t="shared" si="27"/>
        <v>1</v>
      </c>
      <c r="L116" s="632"/>
      <c r="M116" s="21">
        <f t="shared" si="28"/>
        <v>1</v>
      </c>
      <c r="N116" s="632"/>
      <c r="O116" s="21">
        <f t="shared" si="29"/>
        <v>1</v>
      </c>
      <c r="P116" s="632"/>
      <c r="Q116" s="21">
        <f t="shared" si="30"/>
        <v>1</v>
      </c>
      <c r="R116" s="21">
        <f t="shared" si="31"/>
        <v>162430</v>
      </c>
      <c r="S116" s="306">
        <f t="shared" si="22"/>
        <v>530</v>
      </c>
    </row>
    <row r="117" spans="1:19">
      <c r="A117" s="3180">
        <f>面积!B772</f>
        <v>-1095</v>
      </c>
      <c r="B117" s="3181">
        <f>面积!C772</f>
        <v>32.61</v>
      </c>
      <c r="C117" s="21">
        <f t="shared" si="23"/>
        <v>1</v>
      </c>
      <c r="D117" s="632"/>
      <c r="E117" s="21">
        <f t="shared" si="24"/>
        <v>1</v>
      </c>
      <c r="F117" s="632"/>
      <c r="G117" s="21">
        <f t="shared" si="25"/>
        <v>1</v>
      </c>
      <c r="H117" s="632"/>
      <c r="I117" s="21">
        <f t="shared" si="26"/>
        <v>1</v>
      </c>
      <c r="J117" s="632"/>
      <c r="K117" s="21">
        <f t="shared" si="27"/>
        <v>1</v>
      </c>
      <c r="L117" s="632"/>
      <c r="M117" s="21">
        <f t="shared" si="28"/>
        <v>1</v>
      </c>
      <c r="N117" s="632"/>
      <c r="O117" s="21">
        <f t="shared" si="29"/>
        <v>1</v>
      </c>
      <c r="P117" s="632"/>
      <c r="Q117" s="21">
        <f t="shared" si="30"/>
        <v>1</v>
      </c>
      <c r="R117" s="21">
        <f t="shared" si="31"/>
        <v>162430</v>
      </c>
      <c r="S117" s="306">
        <f t="shared" si="22"/>
        <v>530</v>
      </c>
    </row>
    <row r="118" spans="1:19">
      <c r="A118" s="3180">
        <f>面积!B773</f>
        <v>-1096</v>
      </c>
      <c r="B118" s="3181">
        <f>面积!C773</f>
        <v>32.61</v>
      </c>
      <c r="C118" s="21">
        <f t="shared" si="23"/>
        <v>1</v>
      </c>
      <c r="D118" s="632"/>
      <c r="E118" s="21">
        <f t="shared" si="24"/>
        <v>1</v>
      </c>
      <c r="F118" s="632"/>
      <c r="G118" s="21">
        <f t="shared" si="25"/>
        <v>1</v>
      </c>
      <c r="H118" s="632"/>
      <c r="I118" s="21">
        <f t="shared" si="26"/>
        <v>1</v>
      </c>
      <c r="J118" s="632"/>
      <c r="K118" s="21">
        <f t="shared" si="27"/>
        <v>1</v>
      </c>
      <c r="L118" s="632"/>
      <c r="M118" s="21">
        <f t="shared" si="28"/>
        <v>1</v>
      </c>
      <c r="N118" s="632"/>
      <c r="O118" s="21">
        <f t="shared" si="29"/>
        <v>1</v>
      </c>
      <c r="P118" s="632"/>
      <c r="Q118" s="21">
        <f t="shared" si="30"/>
        <v>1</v>
      </c>
      <c r="R118" s="21">
        <f t="shared" si="31"/>
        <v>162430</v>
      </c>
      <c r="S118" s="306">
        <f t="shared" si="22"/>
        <v>530</v>
      </c>
    </row>
    <row r="119" spans="1:19">
      <c r="A119" s="3180">
        <f>面积!B774</f>
        <v>-1097</v>
      </c>
      <c r="B119" s="3181">
        <f>面积!C774</f>
        <v>32.61</v>
      </c>
      <c r="C119" s="21">
        <f t="shared" si="23"/>
        <v>1</v>
      </c>
      <c r="D119" s="632"/>
      <c r="E119" s="21">
        <f t="shared" si="24"/>
        <v>1</v>
      </c>
      <c r="F119" s="632"/>
      <c r="G119" s="21">
        <f t="shared" si="25"/>
        <v>1</v>
      </c>
      <c r="H119" s="632"/>
      <c r="I119" s="21">
        <f t="shared" si="26"/>
        <v>1</v>
      </c>
      <c r="J119" s="632"/>
      <c r="K119" s="21">
        <f t="shared" si="27"/>
        <v>1</v>
      </c>
      <c r="L119" s="632"/>
      <c r="M119" s="21">
        <f t="shared" si="28"/>
        <v>1</v>
      </c>
      <c r="N119" s="632"/>
      <c r="O119" s="21">
        <f t="shared" si="29"/>
        <v>1</v>
      </c>
      <c r="P119" s="632"/>
      <c r="Q119" s="21">
        <f t="shared" si="30"/>
        <v>1</v>
      </c>
      <c r="R119" s="21">
        <f t="shared" si="31"/>
        <v>162430</v>
      </c>
      <c r="S119" s="306">
        <f t="shared" si="22"/>
        <v>530</v>
      </c>
    </row>
    <row r="120" spans="1:19">
      <c r="A120" s="3180">
        <f>面积!B775</f>
        <v>-1098</v>
      </c>
      <c r="B120" s="3181">
        <f>面积!C775</f>
        <v>32.61</v>
      </c>
      <c r="C120" s="21">
        <f t="shared" si="23"/>
        <v>1</v>
      </c>
      <c r="D120" s="632"/>
      <c r="E120" s="21">
        <f t="shared" si="24"/>
        <v>1</v>
      </c>
      <c r="F120" s="632"/>
      <c r="G120" s="21">
        <f t="shared" si="25"/>
        <v>1</v>
      </c>
      <c r="H120" s="632"/>
      <c r="I120" s="21">
        <f t="shared" si="26"/>
        <v>1</v>
      </c>
      <c r="J120" s="632"/>
      <c r="K120" s="21">
        <f t="shared" si="27"/>
        <v>1</v>
      </c>
      <c r="L120" s="632"/>
      <c r="M120" s="21">
        <f t="shared" si="28"/>
        <v>1</v>
      </c>
      <c r="N120" s="632"/>
      <c r="O120" s="21">
        <f t="shared" si="29"/>
        <v>1</v>
      </c>
      <c r="P120" s="632"/>
      <c r="Q120" s="21">
        <f t="shared" si="30"/>
        <v>1</v>
      </c>
      <c r="R120" s="21">
        <f t="shared" si="31"/>
        <v>162430</v>
      </c>
      <c r="S120" s="306">
        <f t="shared" si="22"/>
        <v>530</v>
      </c>
    </row>
    <row r="121" spans="1:19">
      <c r="A121" s="3180">
        <f>面积!B776</f>
        <v>-1099</v>
      </c>
      <c r="B121" s="3181">
        <f>面积!C776</f>
        <v>32.61</v>
      </c>
      <c r="C121" s="21">
        <f t="shared" si="23"/>
        <v>1</v>
      </c>
      <c r="D121" s="632"/>
      <c r="E121" s="21">
        <f t="shared" si="24"/>
        <v>1</v>
      </c>
      <c r="F121" s="632"/>
      <c r="G121" s="21">
        <f t="shared" si="25"/>
        <v>1</v>
      </c>
      <c r="H121" s="632"/>
      <c r="I121" s="21">
        <f t="shared" si="26"/>
        <v>1</v>
      </c>
      <c r="J121" s="632"/>
      <c r="K121" s="21">
        <f t="shared" si="27"/>
        <v>1</v>
      </c>
      <c r="L121" s="632"/>
      <c r="M121" s="21">
        <f t="shared" si="28"/>
        <v>1</v>
      </c>
      <c r="N121" s="632"/>
      <c r="O121" s="21">
        <f t="shared" si="29"/>
        <v>1</v>
      </c>
      <c r="P121" s="632"/>
      <c r="Q121" s="21">
        <f t="shared" si="30"/>
        <v>1</v>
      </c>
      <c r="R121" s="21">
        <f t="shared" si="31"/>
        <v>162430</v>
      </c>
      <c r="S121" s="306">
        <f t="shared" si="22"/>
        <v>530</v>
      </c>
    </row>
    <row r="122" spans="1:19">
      <c r="A122" s="3180">
        <f>面积!B777</f>
        <v>-1100</v>
      </c>
      <c r="B122" s="3181">
        <f>面积!C777</f>
        <v>32.61</v>
      </c>
      <c r="C122" s="21">
        <f t="shared" si="23"/>
        <v>1</v>
      </c>
      <c r="D122" s="632"/>
      <c r="E122" s="21">
        <f t="shared" si="24"/>
        <v>1</v>
      </c>
      <c r="F122" s="632"/>
      <c r="G122" s="21">
        <f t="shared" si="25"/>
        <v>1</v>
      </c>
      <c r="H122" s="632"/>
      <c r="I122" s="21">
        <f t="shared" si="26"/>
        <v>1</v>
      </c>
      <c r="J122" s="632"/>
      <c r="K122" s="21">
        <f t="shared" si="27"/>
        <v>1</v>
      </c>
      <c r="L122" s="632"/>
      <c r="M122" s="21">
        <f t="shared" si="28"/>
        <v>1</v>
      </c>
      <c r="N122" s="632"/>
      <c r="O122" s="21">
        <f t="shared" si="29"/>
        <v>1</v>
      </c>
      <c r="P122" s="632"/>
      <c r="Q122" s="21">
        <f t="shared" si="30"/>
        <v>1</v>
      </c>
      <c r="R122" s="21">
        <f t="shared" si="31"/>
        <v>162430</v>
      </c>
      <c r="S122" s="306">
        <f t="shared" si="22"/>
        <v>530</v>
      </c>
    </row>
    <row r="123" spans="1:19">
      <c r="A123" s="3180">
        <f>面积!B778</f>
        <v>-1101</v>
      </c>
      <c r="B123" s="3181">
        <f>面积!C778</f>
        <v>32.61</v>
      </c>
      <c r="C123" s="21">
        <f t="shared" si="23"/>
        <v>1</v>
      </c>
      <c r="D123" s="632"/>
      <c r="E123" s="21">
        <f t="shared" si="24"/>
        <v>1</v>
      </c>
      <c r="F123" s="632"/>
      <c r="G123" s="21">
        <f t="shared" si="25"/>
        <v>1</v>
      </c>
      <c r="H123" s="632"/>
      <c r="I123" s="21">
        <f t="shared" si="26"/>
        <v>1</v>
      </c>
      <c r="J123" s="632"/>
      <c r="K123" s="21">
        <f t="shared" si="27"/>
        <v>1</v>
      </c>
      <c r="L123" s="632"/>
      <c r="M123" s="21">
        <f t="shared" si="28"/>
        <v>1</v>
      </c>
      <c r="N123" s="632"/>
      <c r="O123" s="21">
        <f t="shared" si="29"/>
        <v>1</v>
      </c>
      <c r="P123" s="632"/>
      <c r="Q123" s="21">
        <f t="shared" si="30"/>
        <v>1</v>
      </c>
      <c r="R123" s="21">
        <f t="shared" si="31"/>
        <v>162430</v>
      </c>
      <c r="S123" s="306">
        <f t="shared" ref="S123:S186" si="32">ROUND(R123*B123/10000,0)</f>
        <v>530</v>
      </c>
    </row>
    <row r="124" spans="1:19">
      <c r="A124" s="3180">
        <f>面积!B779</f>
        <v>-1102</v>
      </c>
      <c r="B124" s="3181">
        <f>面积!C779</f>
        <v>32.61</v>
      </c>
      <c r="C124" s="21">
        <f t="shared" si="23"/>
        <v>1</v>
      </c>
      <c r="D124" s="632"/>
      <c r="E124" s="21">
        <f t="shared" si="24"/>
        <v>1</v>
      </c>
      <c r="F124" s="632"/>
      <c r="G124" s="21">
        <f t="shared" si="25"/>
        <v>1</v>
      </c>
      <c r="H124" s="632"/>
      <c r="I124" s="21">
        <f t="shared" si="26"/>
        <v>1</v>
      </c>
      <c r="J124" s="632"/>
      <c r="K124" s="21">
        <f t="shared" si="27"/>
        <v>1</v>
      </c>
      <c r="L124" s="632"/>
      <c r="M124" s="21">
        <f t="shared" si="28"/>
        <v>1</v>
      </c>
      <c r="N124" s="632"/>
      <c r="O124" s="21">
        <f t="shared" si="29"/>
        <v>1</v>
      </c>
      <c r="P124" s="632"/>
      <c r="Q124" s="21">
        <f t="shared" si="30"/>
        <v>1</v>
      </c>
      <c r="R124" s="21">
        <f t="shared" si="31"/>
        <v>162430</v>
      </c>
      <c r="S124" s="306">
        <f t="shared" si="32"/>
        <v>530</v>
      </c>
    </row>
    <row r="125" spans="1:19">
      <c r="A125" s="3180">
        <f>面积!B780</f>
        <v>-1103</v>
      </c>
      <c r="B125" s="3181">
        <f>面积!C780</f>
        <v>32.61</v>
      </c>
      <c r="C125" s="21">
        <f t="shared" si="23"/>
        <v>1</v>
      </c>
      <c r="D125" s="632"/>
      <c r="E125" s="21">
        <f t="shared" si="24"/>
        <v>1</v>
      </c>
      <c r="F125" s="632"/>
      <c r="G125" s="21">
        <f t="shared" si="25"/>
        <v>1</v>
      </c>
      <c r="H125" s="632"/>
      <c r="I125" s="21">
        <f t="shared" si="26"/>
        <v>1</v>
      </c>
      <c r="J125" s="632"/>
      <c r="K125" s="21">
        <f t="shared" si="27"/>
        <v>1</v>
      </c>
      <c r="L125" s="632"/>
      <c r="M125" s="21">
        <f t="shared" si="28"/>
        <v>1</v>
      </c>
      <c r="N125" s="632"/>
      <c r="O125" s="21">
        <f t="shared" si="29"/>
        <v>1</v>
      </c>
      <c r="P125" s="632"/>
      <c r="Q125" s="21">
        <f t="shared" si="30"/>
        <v>1</v>
      </c>
      <c r="R125" s="21">
        <f t="shared" si="31"/>
        <v>162430</v>
      </c>
      <c r="S125" s="306">
        <f t="shared" si="32"/>
        <v>530</v>
      </c>
    </row>
    <row r="126" spans="1:19">
      <c r="A126" s="3180">
        <f>面积!B781</f>
        <v>-1105</v>
      </c>
      <c r="B126" s="3181">
        <f>面积!C781</f>
        <v>32.61</v>
      </c>
      <c r="C126" s="21">
        <f t="shared" si="23"/>
        <v>1</v>
      </c>
      <c r="D126" s="632"/>
      <c r="E126" s="21">
        <f t="shared" si="24"/>
        <v>1</v>
      </c>
      <c r="F126" s="632"/>
      <c r="G126" s="21">
        <f t="shared" si="25"/>
        <v>1</v>
      </c>
      <c r="H126" s="632"/>
      <c r="I126" s="21">
        <f t="shared" si="26"/>
        <v>1</v>
      </c>
      <c r="J126" s="632"/>
      <c r="K126" s="21">
        <f t="shared" si="27"/>
        <v>1</v>
      </c>
      <c r="L126" s="632"/>
      <c r="M126" s="21">
        <f t="shared" si="28"/>
        <v>1</v>
      </c>
      <c r="N126" s="632"/>
      <c r="O126" s="21">
        <f t="shared" si="29"/>
        <v>1</v>
      </c>
      <c r="P126" s="632"/>
      <c r="Q126" s="21">
        <f t="shared" si="30"/>
        <v>1</v>
      </c>
      <c r="R126" s="21">
        <f t="shared" si="31"/>
        <v>162430</v>
      </c>
      <c r="S126" s="306">
        <f t="shared" si="32"/>
        <v>530</v>
      </c>
    </row>
    <row r="127" spans="1:19">
      <c r="A127" s="3180">
        <f>面积!B782</f>
        <v>-1106</v>
      </c>
      <c r="B127" s="3181">
        <f>面积!C782</f>
        <v>32.61</v>
      </c>
      <c r="C127" s="21">
        <f t="shared" si="23"/>
        <v>1</v>
      </c>
      <c r="D127" s="632"/>
      <c r="E127" s="21">
        <f t="shared" si="24"/>
        <v>1</v>
      </c>
      <c r="F127" s="632"/>
      <c r="G127" s="21">
        <f t="shared" si="25"/>
        <v>1</v>
      </c>
      <c r="H127" s="632"/>
      <c r="I127" s="21">
        <f t="shared" si="26"/>
        <v>1</v>
      </c>
      <c r="J127" s="632"/>
      <c r="K127" s="21">
        <f t="shared" si="27"/>
        <v>1</v>
      </c>
      <c r="L127" s="632"/>
      <c r="M127" s="21">
        <f t="shared" si="28"/>
        <v>1</v>
      </c>
      <c r="N127" s="632"/>
      <c r="O127" s="21">
        <f t="shared" si="29"/>
        <v>1</v>
      </c>
      <c r="P127" s="632"/>
      <c r="Q127" s="21">
        <f t="shared" si="30"/>
        <v>1</v>
      </c>
      <c r="R127" s="21">
        <f t="shared" si="31"/>
        <v>162430</v>
      </c>
      <c r="S127" s="306">
        <f t="shared" si="32"/>
        <v>530</v>
      </c>
    </row>
    <row r="128" spans="1:19">
      <c r="A128" s="3180">
        <f>面积!B783</f>
        <v>-1107</v>
      </c>
      <c r="B128" s="3181">
        <f>面积!C783</f>
        <v>32.61</v>
      </c>
      <c r="C128" s="21">
        <f t="shared" si="23"/>
        <v>1</v>
      </c>
      <c r="D128" s="632"/>
      <c r="E128" s="21">
        <f t="shared" si="24"/>
        <v>1</v>
      </c>
      <c r="F128" s="632"/>
      <c r="G128" s="21">
        <f t="shared" si="25"/>
        <v>1</v>
      </c>
      <c r="H128" s="632"/>
      <c r="I128" s="21">
        <f t="shared" si="26"/>
        <v>1</v>
      </c>
      <c r="J128" s="632"/>
      <c r="K128" s="21">
        <f t="shared" si="27"/>
        <v>1</v>
      </c>
      <c r="L128" s="632"/>
      <c r="M128" s="21">
        <f t="shared" si="28"/>
        <v>1</v>
      </c>
      <c r="N128" s="632"/>
      <c r="O128" s="21">
        <f t="shared" si="29"/>
        <v>1</v>
      </c>
      <c r="P128" s="632"/>
      <c r="Q128" s="21">
        <f t="shared" si="30"/>
        <v>1</v>
      </c>
      <c r="R128" s="21">
        <f t="shared" si="31"/>
        <v>162430</v>
      </c>
      <c r="S128" s="306">
        <f t="shared" si="32"/>
        <v>530</v>
      </c>
    </row>
    <row r="129" spans="1:19">
      <c r="A129" s="3180">
        <f>面积!B784</f>
        <v>-1108</v>
      </c>
      <c r="B129" s="3181">
        <f>面积!C784</f>
        <v>32.61</v>
      </c>
      <c r="C129" s="21">
        <f t="shared" si="23"/>
        <v>1</v>
      </c>
      <c r="D129" s="632"/>
      <c r="E129" s="21">
        <f t="shared" si="24"/>
        <v>1</v>
      </c>
      <c r="F129" s="632"/>
      <c r="G129" s="21">
        <f t="shared" si="25"/>
        <v>1</v>
      </c>
      <c r="H129" s="632"/>
      <c r="I129" s="21">
        <f t="shared" si="26"/>
        <v>1</v>
      </c>
      <c r="J129" s="632"/>
      <c r="K129" s="21">
        <f t="shared" si="27"/>
        <v>1</v>
      </c>
      <c r="L129" s="632"/>
      <c r="M129" s="21">
        <f t="shared" si="28"/>
        <v>1</v>
      </c>
      <c r="N129" s="632"/>
      <c r="O129" s="21">
        <f t="shared" si="29"/>
        <v>1</v>
      </c>
      <c r="P129" s="632"/>
      <c r="Q129" s="21">
        <f t="shared" si="30"/>
        <v>1</v>
      </c>
      <c r="R129" s="21">
        <f t="shared" si="31"/>
        <v>162430</v>
      </c>
      <c r="S129" s="306">
        <f t="shared" si="32"/>
        <v>530</v>
      </c>
    </row>
    <row r="130" spans="1:19">
      <c r="A130" s="3180">
        <f>面积!B785</f>
        <v>-1109</v>
      </c>
      <c r="B130" s="3181">
        <f>面积!C785</f>
        <v>32.61</v>
      </c>
      <c r="C130" s="21">
        <f t="shared" si="23"/>
        <v>1</v>
      </c>
      <c r="D130" s="632"/>
      <c r="E130" s="21">
        <f t="shared" si="24"/>
        <v>1</v>
      </c>
      <c r="F130" s="632"/>
      <c r="G130" s="21">
        <f t="shared" si="25"/>
        <v>1</v>
      </c>
      <c r="H130" s="632"/>
      <c r="I130" s="21">
        <f t="shared" si="26"/>
        <v>1</v>
      </c>
      <c r="J130" s="632"/>
      <c r="K130" s="21">
        <f t="shared" si="27"/>
        <v>1</v>
      </c>
      <c r="L130" s="632"/>
      <c r="M130" s="21">
        <f t="shared" si="28"/>
        <v>1</v>
      </c>
      <c r="N130" s="632"/>
      <c r="O130" s="21">
        <f t="shared" si="29"/>
        <v>1</v>
      </c>
      <c r="P130" s="632"/>
      <c r="Q130" s="21">
        <f t="shared" si="30"/>
        <v>1</v>
      </c>
      <c r="R130" s="21">
        <f t="shared" si="31"/>
        <v>162430</v>
      </c>
      <c r="S130" s="306">
        <f t="shared" si="32"/>
        <v>530</v>
      </c>
    </row>
    <row r="131" spans="1:19">
      <c r="A131" s="3180">
        <f>面积!B786</f>
        <v>-1110</v>
      </c>
      <c r="B131" s="3181">
        <f>面积!C786</f>
        <v>32.61</v>
      </c>
      <c r="C131" s="21">
        <f t="shared" si="23"/>
        <v>1</v>
      </c>
      <c r="D131" s="632"/>
      <c r="E131" s="21">
        <f t="shared" si="24"/>
        <v>1</v>
      </c>
      <c r="F131" s="632"/>
      <c r="G131" s="21">
        <f t="shared" si="25"/>
        <v>1</v>
      </c>
      <c r="H131" s="632"/>
      <c r="I131" s="21">
        <f t="shared" si="26"/>
        <v>1</v>
      </c>
      <c r="J131" s="632"/>
      <c r="K131" s="21">
        <f t="shared" si="27"/>
        <v>1</v>
      </c>
      <c r="L131" s="632"/>
      <c r="M131" s="21">
        <f t="shared" si="28"/>
        <v>1</v>
      </c>
      <c r="N131" s="632"/>
      <c r="O131" s="21">
        <f t="shared" si="29"/>
        <v>1</v>
      </c>
      <c r="P131" s="632"/>
      <c r="Q131" s="21">
        <f t="shared" si="30"/>
        <v>1</v>
      </c>
      <c r="R131" s="21">
        <f t="shared" si="31"/>
        <v>162430</v>
      </c>
      <c r="S131" s="306">
        <f t="shared" si="32"/>
        <v>530</v>
      </c>
    </row>
    <row r="132" spans="1:19">
      <c r="A132" s="3180">
        <f>面积!B787</f>
        <v>-1111</v>
      </c>
      <c r="B132" s="3181">
        <f>面积!C787</f>
        <v>32.61</v>
      </c>
      <c r="C132" s="21">
        <f t="shared" si="23"/>
        <v>1</v>
      </c>
      <c r="D132" s="632"/>
      <c r="E132" s="21">
        <f t="shared" si="24"/>
        <v>1</v>
      </c>
      <c r="F132" s="632"/>
      <c r="G132" s="21">
        <f t="shared" si="25"/>
        <v>1</v>
      </c>
      <c r="H132" s="632"/>
      <c r="I132" s="21">
        <f t="shared" si="26"/>
        <v>1</v>
      </c>
      <c r="J132" s="632"/>
      <c r="K132" s="21">
        <f t="shared" si="27"/>
        <v>1</v>
      </c>
      <c r="L132" s="632"/>
      <c r="M132" s="21">
        <f t="shared" si="28"/>
        <v>1</v>
      </c>
      <c r="N132" s="632"/>
      <c r="O132" s="21">
        <f t="shared" si="29"/>
        <v>1</v>
      </c>
      <c r="P132" s="632"/>
      <c r="Q132" s="21">
        <f t="shared" si="30"/>
        <v>1</v>
      </c>
      <c r="R132" s="21">
        <f t="shared" si="31"/>
        <v>162430</v>
      </c>
      <c r="S132" s="306">
        <f t="shared" si="32"/>
        <v>530</v>
      </c>
    </row>
    <row r="133" spans="1:19">
      <c r="A133" s="3180">
        <f>面积!B788</f>
        <v>-1112</v>
      </c>
      <c r="B133" s="3181">
        <f>面积!C788</f>
        <v>32.61</v>
      </c>
      <c r="C133" s="21">
        <f t="shared" si="23"/>
        <v>1</v>
      </c>
      <c r="D133" s="632"/>
      <c r="E133" s="21">
        <f t="shared" si="24"/>
        <v>1</v>
      </c>
      <c r="F133" s="632"/>
      <c r="G133" s="21">
        <f t="shared" si="25"/>
        <v>1</v>
      </c>
      <c r="H133" s="632"/>
      <c r="I133" s="21">
        <f t="shared" si="26"/>
        <v>1</v>
      </c>
      <c r="J133" s="632"/>
      <c r="K133" s="21">
        <f t="shared" si="27"/>
        <v>1</v>
      </c>
      <c r="L133" s="632"/>
      <c r="M133" s="21">
        <f t="shared" si="28"/>
        <v>1</v>
      </c>
      <c r="N133" s="632"/>
      <c r="O133" s="21">
        <f t="shared" si="29"/>
        <v>1</v>
      </c>
      <c r="P133" s="632"/>
      <c r="Q133" s="21">
        <f t="shared" si="30"/>
        <v>1</v>
      </c>
      <c r="R133" s="21">
        <f t="shared" si="31"/>
        <v>162430</v>
      </c>
      <c r="S133" s="306">
        <f t="shared" si="32"/>
        <v>530</v>
      </c>
    </row>
    <row r="134" spans="1:19">
      <c r="A134" s="3180">
        <f>面积!B789</f>
        <v>-1113</v>
      </c>
      <c r="B134" s="3181">
        <f>面积!C789</f>
        <v>32.61</v>
      </c>
      <c r="C134" s="21">
        <f t="shared" si="23"/>
        <v>1</v>
      </c>
      <c r="D134" s="632"/>
      <c r="E134" s="21">
        <f t="shared" si="24"/>
        <v>1</v>
      </c>
      <c r="F134" s="632"/>
      <c r="G134" s="21">
        <f t="shared" si="25"/>
        <v>1</v>
      </c>
      <c r="H134" s="632"/>
      <c r="I134" s="21">
        <f t="shared" si="26"/>
        <v>1</v>
      </c>
      <c r="J134" s="632"/>
      <c r="K134" s="21">
        <f t="shared" si="27"/>
        <v>1</v>
      </c>
      <c r="L134" s="632"/>
      <c r="M134" s="21">
        <f t="shared" si="28"/>
        <v>1</v>
      </c>
      <c r="N134" s="632"/>
      <c r="O134" s="21">
        <f t="shared" si="29"/>
        <v>1</v>
      </c>
      <c r="P134" s="632"/>
      <c r="Q134" s="21">
        <f t="shared" si="30"/>
        <v>1</v>
      </c>
      <c r="R134" s="21">
        <f t="shared" si="31"/>
        <v>162430</v>
      </c>
      <c r="S134" s="306">
        <f t="shared" si="32"/>
        <v>530</v>
      </c>
    </row>
    <row r="135" spans="1:19">
      <c r="A135" s="3180">
        <f>面积!B790</f>
        <v>-1114</v>
      </c>
      <c r="B135" s="3181">
        <f>面积!C790</f>
        <v>32.61</v>
      </c>
      <c r="C135" s="21">
        <f t="shared" si="23"/>
        <v>1</v>
      </c>
      <c r="D135" s="632"/>
      <c r="E135" s="21">
        <f t="shared" si="24"/>
        <v>1</v>
      </c>
      <c r="F135" s="632"/>
      <c r="G135" s="21">
        <f t="shared" si="25"/>
        <v>1</v>
      </c>
      <c r="H135" s="632"/>
      <c r="I135" s="21">
        <f t="shared" si="26"/>
        <v>1</v>
      </c>
      <c r="J135" s="632"/>
      <c r="K135" s="21">
        <f t="shared" si="27"/>
        <v>1</v>
      </c>
      <c r="L135" s="632"/>
      <c r="M135" s="21">
        <f t="shared" si="28"/>
        <v>1</v>
      </c>
      <c r="N135" s="632"/>
      <c r="O135" s="21">
        <f t="shared" si="29"/>
        <v>1</v>
      </c>
      <c r="P135" s="632"/>
      <c r="Q135" s="21">
        <f t="shared" si="30"/>
        <v>1</v>
      </c>
      <c r="R135" s="21">
        <f t="shared" si="31"/>
        <v>162430</v>
      </c>
      <c r="S135" s="306">
        <f t="shared" si="32"/>
        <v>530</v>
      </c>
    </row>
    <row r="136" spans="1:19">
      <c r="A136" s="3180">
        <f>面积!B791</f>
        <v>-1115</v>
      </c>
      <c r="B136" s="3181">
        <f>面积!C791</f>
        <v>32.61</v>
      </c>
      <c r="C136" s="21">
        <f t="shared" si="23"/>
        <v>1</v>
      </c>
      <c r="D136" s="632"/>
      <c r="E136" s="21">
        <f t="shared" si="24"/>
        <v>1</v>
      </c>
      <c r="F136" s="632"/>
      <c r="G136" s="21">
        <f t="shared" si="25"/>
        <v>1</v>
      </c>
      <c r="H136" s="632"/>
      <c r="I136" s="21">
        <f t="shared" si="26"/>
        <v>1</v>
      </c>
      <c r="J136" s="632"/>
      <c r="K136" s="21">
        <f t="shared" si="27"/>
        <v>1</v>
      </c>
      <c r="L136" s="632"/>
      <c r="M136" s="21">
        <f t="shared" si="28"/>
        <v>1</v>
      </c>
      <c r="N136" s="632"/>
      <c r="O136" s="21">
        <f t="shared" si="29"/>
        <v>1</v>
      </c>
      <c r="P136" s="632"/>
      <c r="Q136" s="21">
        <f t="shared" si="30"/>
        <v>1</v>
      </c>
      <c r="R136" s="21">
        <f t="shared" si="31"/>
        <v>162430</v>
      </c>
      <c r="S136" s="306">
        <f t="shared" si="32"/>
        <v>530</v>
      </c>
    </row>
    <row r="137" spans="1:19">
      <c r="A137" s="3180">
        <f>面积!B792</f>
        <v>-1116</v>
      </c>
      <c r="B137" s="3181">
        <f>面积!C792</f>
        <v>32.61</v>
      </c>
      <c r="C137" s="21">
        <f t="shared" si="23"/>
        <v>1</v>
      </c>
      <c r="D137" s="632"/>
      <c r="E137" s="21">
        <f t="shared" si="24"/>
        <v>1</v>
      </c>
      <c r="F137" s="632"/>
      <c r="G137" s="21">
        <f t="shared" si="25"/>
        <v>1</v>
      </c>
      <c r="H137" s="632"/>
      <c r="I137" s="21">
        <f t="shared" si="26"/>
        <v>1</v>
      </c>
      <c r="J137" s="632"/>
      <c r="K137" s="21">
        <f t="shared" si="27"/>
        <v>1</v>
      </c>
      <c r="L137" s="632"/>
      <c r="M137" s="21">
        <f t="shared" si="28"/>
        <v>1</v>
      </c>
      <c r="N137" s="632"/>
      <c r="O137" s="21">
        <f t="shared" si="29"/>
        <v>1</v>
      </c>
      <c r="P137" s="632"/>
      <c r="Q137" s="21">
        <f t="shared" si="30"/>
        <v>1</v>
      </c>
      <c r="R137" s="21">
        <f t="shared" si="31"/>
        <v>162430</v>
      </c>
      <c r="S137" s="306">
        <f t="shared" si="32"/>
        <v>530</v>
      </c>
    </row>
    <row r="138" spans="1:19">
      <c r="A138" s="3180">
        <f>面积!B793</f>
        <v>-1117</v>
      </c>
      <c r="B138" s="3181">
        <f>面积!C793</f>
        <v>32.61</v>
      </c>
      <c r="C138" s="21">
        <f t="shared" si="23"/>
        <v>1</v>
      </c>
      <c r="D138" s="632"/>
      <c r="E138" s="21">
        <f t="shared" si="24"/>
        <v>1</v>
      </c>
      <c r="F138" s="632"/>
      <c r="G138" s="21">
        <f t="shared" si="25"/>
        <v>1</v>
      </c>
      <c r="H138" s="632"/>
      <c r="I138" s="21">
        <f t="shared" si="26"/>
        <v>1</v>
      </c>
      <c r="J138" s="632"/>
      <c r="K138" s="21">
        <f t="shared" si="27"/>
        <v>1</v>
      </c>
      <c r="L138" s="632"/>
      <c r="M138" s="21">
        <f t="shared" si="28"/>
        <v>1</v>
      </c>
      <c r="N138" s="632"/>
      <c r="O138" s="21">
        <f t="shared" si="29"/>
        <v>1</v>
      </c>
      <c r="P138" s="632"/>
      <c r="Q138" s="21">
        <f t="shared" si="30"/>
        <v>1</v>
      </c>
      <c r="R138" s="21">
        <f t="shared" si="31"/>
        <v>162430</v>
      </c>
      <c r="S138" s="306">
        <f t="shared" si="32"/>
        <v>530</v>
      </c>
    </row>
    <row r="139" spans="1:19">
      <c r="A139" s="3180">
        <f>面积!B794</f>
        <v>-1118</v>
      </c>
      <c r="B139" s="3181">
        <f>面积!C794</f>
        <v>32.61</v>
      </c>
      <c r="C139" s="21">
        <f t="shared" si="23"/>
        <v>1</v>
      </c>
      <c r="D139" s="632"/>
      <c r="E139" s="21">
        <f t="shared" si="24"/>
        <v>1</v>
      </c>
      <c r="F139" s="632"/>
      <c r="G139" s="21">
        <f t="shared" si="25"/>
        <v>1</v>
      </c>
      <c r="H139" s="632"/>
      <c r="I139" s="21">
        <f t="shared" si="26"/>
        <v>1</v>
      </c>
      <c r="J139" s="632"/>
      <c r="K139" s="21">
        <f t="shared" si="27"/>
        <v>1</v>
      </c>
      <c r="L139" s="632"/>
      <c r="M139" s="21">
        <f t="shared" si="28"/>
        <v>1</v>
      </c>
      <c r="N139" s="632"/>
      <c r="O139" s="21">
        <f t="shared" si="29"/>
        <v>1</v>
      </c>
      <c r="P139" s="632"/>
      <c r="Q139" s="21">
        <f t="shared" si="30"/>
        <v>1</v>
      </c>
      <c r="R139" s="21">
        <f t="shared" si="31"/>
        <v>162430</v>
      </c>
      <c r="S139" s="306">
        <f t="shared" si="32"/>
        <v>530</v>
      </c>
    </row>
    <row r="140" spans="1:19">
      <c r="A140" s="3180">
        <f>面积!B795</f>
        <v>-1119</v>
      </c>
      <c r="B140" s="3181">
        <f>面积!C795</f>
        <v>32.61</v>
      </c>
      <c r="C140" s="21">
        <f t="shared" si="23"/>
        <v>1</v>
      </c>
      <c r="D140" s="632"/>
      <c r="E140" s="21">
        <f t="shared" si="24"/>
        <v>1</v>
      </c>
      <c r="F140" s="632"/>
      <c r="G140" s="21">
        <f t="shared" si="25"/>
        <v>1</v>
      </c>
      <c r="H140" s="632"/>
      <c r="I140" s="21">
        <f t="shared" si="26"/>
        <v>1</v>
      </c>
      <c r="J140" s="632"/>
      <c r="K140" s="21">
        <f t="shared" si="27"/>
        <v>1</v>
      </c>
      <c r="L140" s="632"/>
      <c r="M140" s="21">
        <f t="shared" si="28"/>
        <v>1</v>
      </c>
      <c r="N140" s="632"/>
      <c r="O140" s="21">
        <f t="shared" si="29"/>
        <v>1</v>
      </c>
      <c r="P140" s="632"/>
      <c r="Q140" s="21">
        <f t="shared" si="30"/>
        <v>1</v>
      </c>
      <c r="R140" s="21">
        <f t="shared" si="31"/>
        <v>162430</v>
      </c>
      <c r="S140" s="306">
        <f t="shared" si="32"/>
        <v>530</v>
      </c>
    </row>
    <row r="141" spans="1:19">
      <c r="A141" s="3180">
        <f>面积!B796</f>
        <v>-1120</v>
      </c>
      <c r="B141" s="3181">
        <f>面积!C796</f>
        <v>32.61</v>
      </c>
      <c r="C141" s="21">
        <f t="shared" si="23"/>
        <v>1</v>
      </c>
      <c r="D141" s="632"/>
      <c r="E141" s="21">
        <f t="shared" si="24"/>
        <v>1</v>
      </c>
      <c r="F141" s="632"/>
      <c r="G141" s="21">
        <f t="shared" si="25"/>
        <v>1</v>
      </c>
      <c r="H141" s="632"/>
      <c r="I141" s="21">
        <f t="shared" si="26"/>
        <v>1</v>
      </c>
      <c r="J141" s="632"/>
      <c r="K141" s="21">
        <f t="shared" si="27"/>
        <v>1</v>
      </c>
      <c r="L141" s="632"/>
      <c r="M141" s="21">
        <f t="shared" si="28"/>
        <v>1</v>
      </c>
      <c r="N141" s="632"/>
      <c r="O141" s="21">
        <f t="shared" si="29"/>
        <v>1</v>
      </c>
      <c r="P141" s="632"/>
      <c r="Q141" s="21">
        <f t="shared" si="30"/>
        <v>1</v>
      </c>
      <c r="R141" s="21">
        <f t="shared" si="31"/>
        <v>162430</v>
      </c>
      <c r="S141" s="306">
        <f t="shared" si="32"/>
        <v>530</v>
      </c>
    </row>
    <row r="142" spans="1:19">
      <c r="A142" s="3180">
        <f>面积!B797</f>
        <v>-1121</v>
      </c>
      <c r="B142" s="3181">
        <f>面积!C797</f>
        <v>32.61</v>
      </c>
      <c r="C142" s="21">
        <f t="shared" si="23"/>
        <v>1</v>
      </c>
      <c r="D142" s="632"/>
      <c r="E142" s="21">
        <f t="shared" si="24"/>
        <v>1</v>
      </c>
      <c r="F142" s="632"/>
      <c r="G142" s="21">
        <f t="shared" si="25"/>
        <v>1</v>
      </c>
      <c r="H142" s="632"/>
      <c r="I142" s="21">
        <f t="shared" si="26"/>
        <v>1</v>
      </c>
      <c r="J142" s="632"/>
      <c r="K142" s="21">
        <f t="shared" si="27"/>
        <v>1</v>
      </c>
      <c r="L142" s="632"/>
      <c r="M142" s="21">
        <f t="shared" si="28"/>
        <v>1</v>
      </c>
      <c r="N142" s="632"/>
      <c r="O142" s="21">
        <f t="shared" si="29"/>
        <v>1</v>
      </c>
      <c r="P142" s="632"/>
      <c r="Q142" s="21">
        <f t="shared" si="30"/>
        <v>1</v>
      </c>
      <c r="R142" s="21">
        <f t="shared" si="31"/>
        <v>162430</v>
      </c>
      <c r="S142" s="306">
        <f t="shared" si="32"/>
        <v>530</v>
      </c>
    </row>
    <row r="143" spans="1:19">
      <c r="A143" s="3180">
        <f>面积!B798</f>
        <v>-1122</v>
      </c>
      <c r="B143" s="3181">
        <f>面积!C798</f>
        <v>32.61</v>
      </c>
      <c r="C143" s="21">
        <f t="shared" si="23"/>
        <v>1</v>
      </c>
      <c r="D143" s="632"/>
      <c r="E143" s="21">
        <f t="shared" si="24"/>
        <v>1</v>
      </c>
      <c r="F143" s="632"/>
      <c r="G143" s="21">
        <f t="shared" si="25"/>
        <v>1</v>
      </c>
      <c r="H143" s="632"/>
      <c r="I143" s="21">
        <f t="shared" si="26"/>
        <v>1</v>
      </c>
      <c r="J143" s="632"/>
      <c r="K143" s="21">
        <f t="shared" si="27"/>
        <v>1</v>
      </c>
      <c r="L143" s="632"/>
      <c r="M143" s="21">
        <f t="shared" si="28"/>
        <v>1</v>
      </c>
      <c r="N143" s="632"/>
      <c r="O143" s="21">
        <f t="shared" si="29"/>
        <v>1</v>
      </c>
      <c r="P143" s="632"/>
      <c r="Q143" s="21">
        <f t="shared" si="30"/>
        <v>1</v>
      </c>
      <c r="R143" s="21">
        <f t="shared" si="31"/>
        <v>162430</v>
      </c>
      <c r="S143" s="306">
        <f t="shared" si="32"/>
        <v>530</v>
      </c>
    </row>
    <row r="144" spans="1:19">
      <c r="A144" s="3180">
        <f>面积!B799</f>
        <v>-1123</v>
      </c>
      <c r="B144" s="3181">
        <f>面积!C799</f>
        <v>32.61</v>
      </c>
      <c r="C144" s="21">
        <f t="shared" si="23"/>
        <v>1</v>
      </c>
      <c r="D144" s="632"/>
      <c r="E144" s="21">
        <f t="shared" si="24"/>
        <v>1</v>
      </c>
      <c r="F144" s="632"/>
      <c r="G144" s="21">
        <f t="shared" si="25"/>
        <v>1</v>
      </c>
      <c r="H144" s="632"/>
      <c r="I144" s="21">
        <f t="shared" si="26"/>
        <v>1</v>
      </c>
      <c r="J144" s="632"/>
      <c r="K144" s="21">
        <f t="shared" si="27"/>
        <v>1</v>
      </c>
      <c r="L144" s="632"/>
      <c r="M144" s="21">
        <f t="shared" si="28"/>
        <v>1</v>
      </c>
      <c r="N144" s="632"/>
      <c r="O144" s="21">
        <f t="shared" si="29"/>
        <v>1</v>
      </c>
      <c r="P144" s="632"/>
      <c r="Q144" s="21">
        <f t="shared" si="30"/>
        <v>1</v>
      </c>
      <c r="R144" s="21">
        <f t="shared" si="31"/>
        <v>162430</v>
      </c>
      <c r="S144" s="306">
        <f t="shared" si="32"/>
        <v>530</v>
      </c>
    </row>
    <row r="145" spans="1:19">
      <c r="A145" s="3180">
        <f>面积!B800</f>
        <v>-1124</v>
      </c>
      <c r="B145" s="3181">
        <f>面积!C800</f>
        <v>32.61</v>
      </c>
      <c r="C145" s="21">
        <f t="shared" si="23"/>
        <v>1</v>
      </c>
      <c r="D145" s="632"/>
      <c r="E145" s="21">
        <f t="shared" si="24"/>
        <v>1</v>
      </c>
      <c r="F145" s="632"/>
      <c r="G145" s="21">
        <f t="shared" si="25"/>
        <v>1</v>
      </c>
      <c r="H145" s="632"/>
      <c r="I145" s="21">
        <f t="shared" si="26"/>
        <v>1</v>
      </c>
      <c r="J145" s="632"/>
      <c r="K145" s="21">
        <f t="shared" si="27"/>
        <v>1</v>
      </c>
      <c r="L145" s="632"/>
      <c r="M145" s="21">
        <f t="shared" si="28"/>
        <v>1</v>
      </c>
      <c r="N145" s="632"/>
      <c r="O145" s="21">
        <f t="shared" si="29"/>
        <v>1</v>
      </c>
      <c r="P145" s="632"/>
      <c r="Q145" s="21">
        <f t="shared" si="30"/>
        <v>1</v>
      </c>
      <c r="R145" s="21">
        <f t="shared" si="31"/>
        <v>162430</v>
      </c>
      <c r="S145" s="306">
        <f t="shared" si="32"/>
        <v>530</v>
      </c>
    </row>
    <row r="146" spans="1:19">
      <c r="A146" s="3180">
        <f>面积!B801</f>
        <v>-1125</v>
      </c>
      <c r="B146" s="3181">
        <f>面积!C801</f>
        <v>32.61</v>
      </c>
      <c r="C146" s="21">
        <f t="shared" si="23"/>
        <v>1</v>
      </c>
      <c r="D146" s="632"/>
      <c r="E146" s="21">
        <f t="shared" si="24"/>
        <v>1</v>
      </c>
      <c r="F146" s="632"/>
      <c r="G146" s="21">
        <f t="shared" si="25"/>
        <v>1</v>
      </c>
      <c r="H146" s="632"/>
      <c r="I146" s="21">
        <f t="shared" si="26"/>
        <v>1</v>
      </c>
      <c r="J146" s="632"/>
      <c r="K146" s="21">
        <f t="shared" si="27"/>
        <v>1</v>
      </c>
      <c r="L146" s="632"/>
      <c r="M146" s="21">
        <f t="shared" si="28"/>
        <v>1</v>
      </c>
      <c r="N146" s="632"/>
      <c r="O146" s="21">
        <f t="shared" si="29"/>
        <v>1</v>
      </c>
      <c r="P146" s="632"/>
      <c r="Q146" s="21">
        <f t="shared" si="30"/>
        <v>1</v>
      </c>
      <c r="R146" s="21">
        <f t="shared" si="31"/>
        <v>162430</v>
      </c>
      <c r="S146" s="306">
        <f t="shared" si="32"/>
        <v>530</v>
      </c>
    </row>
    <row r="147" spans="1:19">
      <c r="A147" s="3180">
        <f>面积!B802</f>
        <v>-1126</v>
      </c>
      <c r="B147" s="3181">
        <f>面积!C802</f>
        <v>32.61</v>
      </c>
      <c r="C147" s="21">
        <f t="shared" si="23"/>
        <v>1</v>
      </c>
      <c r="D147" s="632"/>
      <c r="E147" s="21">
        <f t="shared" si="24"/>
        <v>1</v>
      </c>
      <c r="F147" s="632"/>
      <c r="G147" s="21">
        <f t="shared" si="25"/>
        <v>1</v>
      </c>
      <c r="H147" s="632"/>
      <c r="I147" s="21">
        <f t="shared" si="26"/>
        <v>1</v>
      </c>
      <c r="J147" s="632"/>
      <c r="K147" s="21">
        <f t="shared" si="27"/>
        <v>1</v>
      </c>
      <c r="L147" s="632"/>
      <c r="M147" s="21">
        <f t="shared" si="28"/>
        <v>1</v>
      </c>
      <c r="N147" s="632"/>
      <c r="O147" s="21">
        <f t="shared" si="29"/>
        <v>1</v>
      </c>
      <c r="P147" s="632"/>
      <c r="Q147" s="21">
        <f t="shared" si="30"/>
        <v>1</v>
      </c>
      <c r="R147" s="21">
        <f t="shared" si="31"/>
        <v>162430</v>
      </c>
      <c r="S147" s="306">
        <f t="shared" si="32"/>
        <v>530</v>
      </c>
    </row>
    <row r="148" spans="1:19">
      <c r="A148" s="3180">
        <f>面积!B803</f>
        <v>-1127</v>
      </c>
      <c r="B148" s="3181">
        <f>面积!C803</f>
        <v>32.61</v>
      </c>
      <c r="C148" s="21">
        <f t="shared" si="23"/>
        <v>1</v>
      </c>
      <c r="D148" s="632"/>
      <c r="E148" s="21">
        <f t="shared" si="24"/>
        <v>1</v>
      </c>
      <c r="F148" s="632"/>
      <c r="G148" s="21">
        <f t="shared" si="25"/>
        <v>1</v>
      </c>
      <c r="H148" s="632"/>
      <c r="I148" s="21">
        <f t="shared" si="26"/>
        <v>1</v>
      </c>
      <c r="J148" s="632"/>
      <c r="K148" s="21">
        <f t="shared" si="27"/>
        <v>1</v>
      </c>
      <c r="L148" s="632"/>
      <c r="M148" s="21">
        <f t="shared" si="28"/>
        <v>1</v>
      </c>
      <c r="N148" s="632"/>
      <c r="O148" s="21">
        <f t="shared" si="29"/>
        <v>1</v>
      </c>
      <c r="P148" s="632"/>
      <c r="Q148" s="21">
        <f t="shared" si="30"/>
        <v>1</v>
      </c>
      <c r="R148" s="21">
        <f t="shared" si="31"/>
        <v>162430</v>
      </c>
      <c r="S148" s="306">
        <f t="shared" si="32"/>
        <v>530</v>
      </c>
    </row>
    <row r="149" spans="1:19">
      <c r="A149" s="3180">
        <f>面积!B804</f>
        <v>-1128</v>
      </c>
      <c r="B149" s="3181">
        <f>面积!C804</f>
        <v>32.61</v>
      </c>
      <c r="C149" s="21">
        <f t="shared" si="23"/>
        <v>1</v>
      </c>
      <c r="D149" s="632"/>
      <c r="E149" s="21">
        <f t="shared" si="24"/>
        <v>1</v>
      </c>
      <c r="F149" s="632"/>
      <c r="G149" s="21">
        <f t="shared" si="25"/>
        <v>1</v>
      </c>
      <c r="H149" s="632"/>
      <c r="I149" s="21">
        <f t="shared" si="26"/>
        <v>1</v>
      </c>
      <c r="J149" s="632"/>
      <c r="K149" s="21">
        <f t="shared" si="27"/>
        <v>1</v>
      </c>
      <c r="L149" s="632"/>
      <c r="M149" s="21">
        <f t="shared" si="28"/>
        <v>1</v>
      </c>
      <c r="N149" s="632"/>
      <c r="O149" s="21">
        <f t="shared" si="29"/>
        <v>1</v>
      </c>
      <c r="P149" s="632"/>
      <c r="Q149" s="21">
        <f t="shared" si="30"/>
        <v>1</v>
      </c>
      <c r="R149" s="21">
        <f t="shared" si="31"/>
        <v>162430</v>
      </c>
      <c r="S149" s="306">
        <f t="shared" si="32"/>
        <v>530</v>
      </c>
    </row>
    <row r="150" spans="1:19">
      <c r="A150" s="3180">
        <f>面积!B805</f>
        <v>-1129</v>
      </c>
      <c r="B150" s="3181">
        <f>面积!C805</f>
        <v>32.61</v>
      </c>
      <c r="C150" s="21">
        <f t="shared" si="23"/>
        <v>1</v>
      </c>
      <c r="D150" s="632"/>
      <c r="E150" s="21">
        <f t="shared" si="24"/>
        <v>1</v>
      </c>
      <c r="F150" s="632"/>
      <c r="G150" s="21">
        <f t="shared" si="25"/>
        <v>1</v>
      </c>
      <c r="H150" s="632"/>
      <c r="I150" s="21">
        <f t="shared" si="26"/>
        <v>1</v>
      </c>
      <c r="J150" s="632"/>
      <c r="K150" s="21">
        <f t="shared" si="27"/>
        <v>1</v>
      </c>
      <c r="L150" s="632"/>
      <c r="M150" s="21">
        <f t="shared" si="28"/>
        <v>1</v>
      </c>
      <c r="N150" s="632"/>
      <c r="O150" s="21">
        <f t="shared" si="29"/>
        <v>1</v>
      </c>
      <c r="P150" s="632"/>
      <c r="Q150" s="21">
        <f t="shared" si="30"/>
        <v>1</v>
      </c>
      <c r="R150" s="21">
        <f t="shared" si="31"/>
        <v>162430</v>
      </c>
      <c r="S150" s="306">
        <f t="shared" si="32"/>
        <v>530</v>
      </c>
    </row>
    <row r="151" spans="1:19">
      <c r="A151" s="3180">
        <f>面积!B806</f>
        <v>-1130</v>
      </c>
      <c r="B151" s="3181">
        <f>面积!C806</f>
        <v>32.61</v>
      </c>
      <c r="C151" s="21">
        <f t="shared" si="23"/>
        <v>1</v>
      </c>
      <c r="D151" s="632"/>
      <c r="E151" s="21">
        <f t="shared" si="24"/>
        <v>1</v>
      </c>
      <c r="F151" s="632"/>
      <c r="G151" s="21">
        <f t="shared" si="25"/>
        <v>1</v>
      </c>
      <c r="H151" s="632"/>
      <c r="I151" s="21">
        <f t="shared" si="26"/>
        <v>1</v>
      </c>
      <c r="J151" s="632"/>
      <c r="K151" s="21">
        <f t="shared" si="27"/>
        <v>1</v>
      </c>
      <c r="L151" s="632"/>
      <c r="M151" s="21">
        <f t="shared" si="28"/>
        <v>1</v>
      </c>
      <c r="N151" s="632"/>
      <c r="O151" s="21">
        <f t="shared" si="29"/>
        <v>1</v>
      </c>
      <c r="P151" s="632"/>
      <c r="Q151" s="21">
        <f t="shared" si="30"/>
        <v>1</v>
      </c>
      <c r="R151" s="21">
        <f t="shared" si="31"/>
        <v>162430</v>
      </c>
      <c r="S151" s="306">
        <f t="shared" si="32"/>
        <v>530</v>
      </c>
    </row>
    <row r="152" spans="1:19">
      <c r="A152" s="3180">
        <f>面积!B807</f>
        <v>-1131</v>
      </c>
      <c r="B152" s="3181">
        <f>面积!C807</f>
        <v>32.61</v>
      </c>
      <c r="C152" s="21">
        <f t="shared" si="23"/>
        <v>1</v>
      </c>
      <c r="D152" s="632"/>
      <c r="E152" s="21">
        <f t="shared" si="24"/>
        <v>1</v>
      </c>
      <c r="F152" s="632"/>
      <c r="G152" s="21">
        <f t="shared" si="25"/>
        <v>1</v>
      </c>
      <c r="H152" s="632"/>
      <c r="I152" s="21">
        <f t="shared" si="26"/>
        <v>1</v>
      </c>
      <c r="J152" s="632"/>
      <c r="K152" s="21">
        <f t="shared" si="27"/>
        <v>1</v>
      </c>
      <c r="L152" s="632"/>
      <c r="M152" s="21">
        <f t="shared" si="28"/>
        <v>1</v>
      </c>
      <c r="N152" s="632"/>
      <c r="O152" s="21">
        <f t="shared" si="29"/>
        <v>1</v>
      </c>
      <c r="P152" s="632"/>
      <c r="Q152" s="21">
        <f t="shared" si="30"/>
        <v>1</v>
      </c>
      <c r="R152" s="21">
        <f t="shared" si="31"/>
        <v>162430</v>
      </c>
      <c r="S152" s="306">
        <f t="shared" si="32"/>
        <v>530</v>
      </c>
    </row>
    <row r="153" spans="1:19">
      <c r="A153" s="3180">
        <f>面积!B808</f>
        <v>-1132</v>
      </c>
      <c r="B153" s="3181">
        <f>面积!C808</f>
        <v>32.61</v>
      </c>
      <c r="C153" s="21">
        <f t="shared" si="23"/>
        <v>1</v>
      </c>
      <c r="D153" s="632"/>
      <c r="E153" s="21">
        <f t="shared" si="24"/>
        <v>1</v>
      </c>
      <c r="F153" s="632"/>
      <c r="G153" s="21">
        <f t="shared" si="25"/>
        <v>1</v>
      </c>
      <c r="H153" s="632"/>
      <c r="I153" s="21">
        <f t="shared" si="26"/>
        <v>1</v>
      </c>
      <c r="J153" s="632"/>
      <c r="K153" s="21">
        <f t="shared" si="27"/>
        <v>1</v>
      </c>
      <c r="L153" s="632"/>
      <c r="M153" s="21">
        <f t="shared" si="28"/>
        <v>1</v>
      </c>
      <c r="N153" s="632"/>
      <c r="O153" s="21">
        <f t="shared" si="29"/>
        <v>1</v>
      </c>
      <c r="P153" s="632"/>
      <c r="Q153" s="21">
        <f t="shared" si="30"/>
        <v>1</v>
      </c>
      <c r="R153" s="21">
        <f t="shared" si="31"/>
        <v>162430</v>
      </c>
      <c r="S153" s="306">
        <f t="shared" si="32"/>
        <v>530</v>
      </c>
    </row>
    <row r="154" spans="1:19">
      <c r="A154" s="3180">
        <f>面积!B809</f>
        <v>-1133</v>
      </c>
      <c r="B154" s="3181">
        <f>面积!C809</f>
        <v>32.61</v>
      </c>
      <c r="C154" s="21">
        <f t="shared" ref="C154:C217" si="33">IF(B154="",1,(LOOKUP(B154,$3:$3,$4:$4)-LOOKUP($B$24,$3:$3,$4:$4)+100)/100)</f>
        <v>1</v>
      </c>
      <c r="D154" s="632"/>
      <c r="E154" s="21">
        <f t="shared" ref="E154:E217" si="34">(SUMIF($5:$5,D154,$6:$6)-SUMIF($5:$5,$D$24,$6:$6)+100)/100</f>
        <v>1</v>
      </c>
      <c r="F154" s="632"/>
      <c r="G154" s="21">
        <f t="shared" ref="G154:G217" si="35">(SUMIF($7:$7,F154,$8:$8)-SUMIF($7:$7,$F$24,$8:$8)+100)/100</f>
        <v>1</v>
      </c>
      <c r="H154" s="632"/>
      <c r="I154" s="21">
        <f t="shared" ref="I154:I217" si="36">(SUMIF($9:$9,H154,$10:$10)-SUMIF($9:$9,$H$24,$10:$10)+100)/100</f>
        <v>1</v>
      </c>
      <c r="J154" s="632"/>
      <c r="K154" s="21">
        <f t="shared" ref="K154:K217" si="37">(SUMIF($11:$11,J154,$12:$12)-SUMIF($11:$11,$J$24,$12:$12)+100)/100</f>
        <v>1</v>
      </c>
      <c r="L154" s="632"/>
      <c r="M154" s="21">
        <f t="shared" ref="M154:M217" si="38">(SUMIF($13:$13,L154,$14:$14)-SUMIF($13:$13,$L$24,$14:$14)+100)/100</f>
        <v>1</v>
      </c>
      <c r="N154" s="632"/>
      <c r="O154" s="21">
        <f t="shared" ref="O154:O217" si="39">(SUMIF($15:$15,N154,$16:$16)-SUMIF($15:$15,$N$24,$16:$16)+100)/100</f>
        <v>1</v>
      </c>
      <c r="P154" s="632"/>
      <c r="Q154" s="21">
        <f t="shared" ref="Q154:Q217" si="40">(SUMIF($17:$17,P154,$18:$18)-SUMIF($17:$17,$P$24,$18:$18)+100)/100</f>
        <v>1</v>
      </c>
      <c r="R154" s="21">
        <f t="shared" ref="R154:R217" si="41">IF(B154="",0,ROUND($R$24*C154*E154*G154*I154*K154*M154*O154*Q154,0))</f>
        <v>162430</v>
      </c>
      <c r="S154" s="306">
        <f t="shared" si="32"/>
        <v>530</v>
      </c>
    </row>
    <row r="155" spans="1:19">
      <c r="A155" s="3180">
        <f>面积!B810</f>
        <v>-1134</v>
      </c>
      <c r="B155" s="3181">
        <f>面积!C810</f>
        <v>32.61</v>
      </c>
      <c r="C155" s="21">
        <f t="shared" si="33"/>
        <v>1</v>
      </c>
      <c r="D155" s="632"/>
      <c r="E155" s="21">
        <f t="shared" si="34"/>
        <v>1</v>
      </c>
      <c r="F155" s="632"/>
      <c r="G155" s="21">
        <f t="shared" si="35"/>
        <v>1</v>
      </c>
      <c r="H155" s="632"/>
      <c r="I155" s="21">
        <f t="shared" si="36"/>
        <v>1</v>
      </c>
      <c r="J155" s="632"/>
      <c r="K155" s="21">
        <f t="shared" si="37"/>
        <v>1</v>
      </c>
      <c r="L155" s="632"/>
      <c r="M155" s="21">
        <f t="shared" si="38"/>
        <v>1</v>
      </c>
      <c r="N155" s="632"/>
      <c r="O155" s="21">
        <f t="shared" si="39"/>
        <v>1</v>
      </c>
      <c r="P155" s="632"/>
      <c r="Q155" s="21">
        <f t="shared" si="40"/>
        <v>1</v>
      </c>
      <c r="R155" s="21">
        <f t="shared" si="41"/>
        <v>162430</v>
      </c>
      <c r="S155" s="306">
        <f t="shared" si="32"/>
        <v>530</v>
      </c>
    </row>
    <row r="156" spans="1:19">
      <c r="A156" s="3180">
        <f>面积!B811</f>
        <v>-1135</v>
      </c>
      <c r="B156" s="3181">
        <f>面积!C811</f>
        <v>32.61</v>
      </c>
      <c r="C156" s="21">
        <f t="shared" si="33"/>
        <v>1</v>
      </c>
      <c r="D156" s="632"/>
      <c r="E156" s="21">
        <f t="shared" si="34"/>
        <v>1</v>
      </c>
      <c r="F156" s="632"/>
      <c r="G156" s="21">
        <f t="shared" si="35"/>
        <v>1</v>
      </c>
      <c r="H156" s="632"/>
      <c r="I156" s="21">
        <f t="shared" si="36"/>
        <v>1</v>
      </c>
      <c r="J156" s="632"/>
      <c r="K156" s="21">
        <f t="shared" si="37"/>
        <v>1</v>
      </c>
      <c r="L156" s="632"/>
      <c r="M156" s="21">
        <f t="shared" si="38"/>
        <v>1</v>
      </c>
      <c r="N156" s="632"/>
      <c r="O156" s="21">
        <f t="shared" si="39"/>
        <v>1</v>
      </c>
      <c r="P156" s="632"/>
      <c r="Q156" s="21">
        <f t="shared" si="40"/>
        <v>1</v>
      </c>
      <c r="R156" s="21">
        <f t="shared" si="41"/>
        <v>162430</v>
      </c>
      <c r="S156" s="306">
        <f t="shared" si="32"/>
        <v>530</v>
      </c>
    </row>
    <row r="157" spans="1:19">
      <c r="A157" s="3180">
        <f>面积!B812</f>
        <v>-1136</v>
      </c>
      <c r="B157" s="3181">
        <f>面积!C812</f>
        <v>32.61</v>
      </c>
      <c r="C157" s="21">
        <f t="shared" si="33"/>
        <v>1</v>
      </c>
      <c r="D157" s="632"/>
      <c r="E157" s="21">
        <f t="shared" si="34"/>
        <v>1</v>
      </c>
      <c r="F157" s="632"/>
      <c r="G157" s="21">
        <f t="shared" si="35"/>
        <v>1</v>
      </c>
      <c r="H157" s="632"/>
      <c r="I157" s="21">
        <f t="shared" si="36"/>
        <v>1</v>
      </c>
      <c r="J157" s="632"/>
      <c r="K157" s="21">
        <f t="shared" si="37"/>
        <v>1</v>
      </c>
      <c r="L157" s="632"/>
      <c r="M157" s="21">
        <f t="shared" si="38"/>
        <v>1</v>
      </c>
      <c r="N157" s="632"/>
      <c r="O157" s="21">
        <f t="shared" si="39"/>
        <v>1</v>
      </c>
      <c r="P157" s="632"/>
      <c r="Q157" s="21">
        <f t="shared" si="40"/>
        <v>1</v>
      </c>
      <c r="R157" s="21">
        <f t="shared" si="41"/>
        <v>162430</v>
      </c>
      <c r="S157" s="306">
        <f t="shared" si="32"/>
        <v>530</v>
      </c>
    </row>
    <row r="158" spans="1:19">
      <c r="A158" s="3180">
        <f>面积!B813</f>
        <v>-1137</v>
      </c>
      <c r="B158" s="3181">
        <f>面积!C813</f>
        <v>32.61</v>
      </c>
      <c r="C158" s="21">
        <f t="shared" si="33"/>
        <v>1</v>
      </c>
      <c r="D158" s="632"/>
      <c r="E158" s="21">
        <f t="shared" si="34"/>
        <v>1</v>
      </c>
      <c r="F158" s="632"/>
      <c r="G158" s="21">
        <f t="shared" si="35"/>
        <v>1</v>
      </c>
      <c r="H158" s="632"/>
      <c r="I158" s="21">
        <f t="shared" si="36"/>
        <v>1</v>
      </c>
      <c r="J158" s="632"/>
      <c r="K158" s="21">
        <f t="shared" si="37"/>
        <v>1</v>
      </c>
      <c r="L158" s="632"/>
      <c r="M158" s="21">
        <f t="shared" si="38"/>
        <v>1</v>
      </c>
      <c r="N158" s="632"/>
      <c r="O158" s="21">
        <f t="shared" si="39"/>
        <v>1</v>
      </c>
      <c r="P158" s="632"/>
      <c r="Q158" s="21">
        <f t="shared" si="40"/>
        <v>1</v>
      </c>
      <c r="R158" s="21">
        <f t="shared" si="41"/>
        <v>162430</v>
      </c>
      <c r="S158" s="306">
        <f t="shared" si="32"/>
        <v>530</v>
      </c>
    </row>
    <row r="159" spans="1:19">
      <c r="A159" s="3180">
        <f>面积!B814</f>
        <v>-1138</v>
      </c>
      <c r="B159" s="3181">
        <f>面积!C814</f>
        <v>32.61</v>
      </c>
      <c r="C159" s="21">
        <f t="shared" si="33"/>
        <v>1</v>
      </c>
      <c r="D159" s="632"/>
      <c r="E159" s="21">
        <f t="shared" si="34"/>
        <v>1</v>
      </c>
      <c r="F159" s="632"/>
      <c r="G159" s="21">
        <f t="shared" si="35"/>
        <v>1</v>
      </c>
      <c r="H159" s="632"/>
      <c r="I159" s="21">
        <f t="shared" si="36"/>
        <v>1</v>
      </c>
      <c r="J159" s="632"/>
      <c r="K159" s="21">
        <f t="shared" si="37"/>
        <v>1</v>
      </c>
      <c r="L159" s="632"/>
      <c r="M159" s="21">
        <f t="shared" si="38"/>
        <v>1</v>
      </c>
      <c r="N159" s="632"/>
      <c r="O159" s="21">
        <f t="shared" si="39"/>
        <v>1</v>
      </c>
      <c r="P159" s="632"/>
      <c r="Q159" s="21">
        <f t="shared" si="40"/>
        <v>1</v>
      </c>
      <c r="R159" s="21">
        <f t="shared" si="41"/>
        <v>162430</v>
      </c>
      <c r="S159" s="306">
        <f t="shared" si="32"/>
        <v>530</v>
      </c>
    </row>
    <row r="160" spans="1:19">
      <c r="A160" s="3180">
        <f>面积!B815</f>
        <v>-1139</v>
      </c>
      <c r="B160" s="3181">
        <f>面积!C815</f>
        <v>32.61</v>
      </c>
      <c r="C160" s="21">
        <f t="shared" si="33"/>
        <v>1</v>
      </c>
      <c r="D160" s="632"/>
      <c r="E160" s="21">
        <f t="shared" si="34"/>
        <v>1</v>
      </c>
      <c r="F160" s="632"/>
      <c r="G160" s="21">
        <f t="shared" si="35"/>
        <v>1</v>
      </c>
      <c r="H160" s="632"/>
      <c r="I160" s="21">
        <f t="shared" si="36"/>
        <v>1</v>
      </c>
      <c r="J160" s="632"/>
      <c r="K160" s="21">
        <f t="shared" si="37"/>
        <v>1</v>
      </c>
      <c r="L160" s="632"/>
      <c r="M160" s="21">
        <f t="shared" si="38"/>
        <v>1</v>
      </c>
      <c r="N160" s="632"/>
      <c r="O160" s="21">
        <f t="shared" si="39"/>
        <v>1</v>
      </c>
      <c r="P160" s="632"/>
      <c r="Q160" s="21">
        <f t="shared" si="40"/>
        <v>1</v>
      </c>
      <c r="R160" s="21">
        <f t="shared" si="41"/>
        <v>162430</v>
      </c>
      <c r="S160" s="306">
        <f t="shared" si="32"/>
        <v>530</v>
      </c>
    </row>
    <row r="161" spans="1:19">
      <c r="A161" s="3180">
        <f>面积!B816</f>
        <v>-1140</v>
      </c>
      <c r="B161" s="3181">
        <f>面积!C816</f>
        <v>32.61</v>
      </c>
      <c r="C161" s="21">
        <f t="shared" si="33"/>
        <v>1</v>
      </c>
      <c r="D161" s="632"/>
      <c r="E161" s="21">
        <f t="shared" si="34"/>
        <v>1</v>
      </c>
      <c r="F161" s="632"/>
      <c r="G161" s="21">
        <f t="shared" si="35"/>
        <v>1</v>
      </c>
      <c r="H161" s="632"/>
      <c r="I161" s="21">
        <f t="shared" si="36"/>
        <v>1</v>
      </c>
      <c r="J161" s="632"/>
      <c r="K161" s="21">
        <f t="shared" si="37"/>
        <v>1</v>
      </c>
      <c r="L161" s="632"/>
      <c r="M161" s="21">
        <f t="shared" si="38"/>
        <v>1</v>
      </c>
      <c r="N161" s="632"/>
      <c r="O161" s="21">
        <f t="shared" si="39"/>
        <v>1</v>
      </c>
      <c r="P161" s="632"/>
      <c r="Q161" s="21">
        <f t="shared" si="40"/>
        <v>1</v>
      </c>
      <c r="R161" s="21">
        <f t="shared" si="41"/>
        <v>162430</v>
      </c>
      <c r="S161" s="306">
        <f t="shared" si="32"/>
        <v>530</v>
      </c>
    </row>
    <row r="162" spans="1:19">
      <c r="A162" s="3180">
        <f>面积!B817</f>
        <v>-1141</v>
      </c>
      <c r="B162" s="3181">
        <f>面积!C817</f>
        <v>32.61</v>
      </c>
      <c r="C162" s="21">
        <f t="shared" si="33"/>
        <v>1</v>
      </c>
      <c r="D162" s="632"/>
      <c r="E162" s="21">
        <f t="shared" si="34"/>
        <v>1</v>
      </c>
      <c r="F162" s="632"/>
      <c r="G162" s="21">
        <f t="shared" si="35"/>
        <v>1</v>
      </c>
      <c r="H162" s="632"/>
      <c r="I162" s="21">
        <f t="shared" si="36"/>
        <v>1</v>
      </c>
      <c r="J162" s="632"/>
      <c r="K162" s="21">
        <f t="shared" si="37"/>
        <v>1</v>
      </c>
      <c r="L162" s="632"/>
      <c r="M162" s="21">
        <f t="shared" si="38"/>
        <v>1</v>
      </c>
      <c r="N162" s="632"/>
      <c r="O162" s="21">
        <f t="shared" si="39"/>
        <v>1</v>
      </c>
      <c r="P162" s="632"/>
      <c r="Q162" s="21">
        <f t="shared" si="40"/>
        <v>1</v>
      </c>
      <c r="R162" s="21">
        <f t="shared" si="41"/>
        <v>162430</v>
      </c>
      <c r="S162" s="306">
        <f t="shared" si="32"/>
        <v>530</v>
      </c>
    </row>
    <row r="163" spans="1:19">
      <c r="A163" s="3180">
        <f>面积!B818</f>
        <v>-1142</v>
      </c>
      <c r="B163" s="3181">
        <f>面积!C818</f>
        <v>32.61</v>
      </c>
      <c r="C163" s="21">
        <f t="shared" si="33"/>
        <v>1</v>
      </c>
      <c r="D163" s="632"/>
      <c r="E163" s="21">
        <f t="shared" si="34"/>
        <v>1</v>
      </c>
      <c r="F163" s="632"/>
      <c r="G163" s="21">
        <f t="shared" si="35"/>
        <v>1</v>
      </c>
      <c r="H163" s="632"/>
      <c r="I163" s="21">
        <f t="shared" si="36"/>
        <v>1</v>
      </c>
      <c r="J163" s="632"/>
      <c r="K163" s="21">
        <f t="shared" si="37"/>
        <v>1</v>
      </c>
      <c r="L163" s="632"/>
      <c r="M163" s="21">
        <f t="shared" si="38"/>
        <v>1</v>
      </c>
      <c r="N163" s="632"/>
      <c r="O163" s="21">
        <f t="shared" si="39"/>
        <v>1</v>
      </c>
      <c r="P163" s="632"/>
      <c r="Q163" s="21">
        <f t="shared" si="40"/>
        <v>1</v>
      </c>
      <c r="R163" s="21">
        <f t="shared" si="41"/>
        <v>162430</v>
      </c>
      <c r="S163" s="306">
        <f t="shared" si="32"/>
        <v>530</v>
      </c>
    </row>
    <row r="164" spans="1:19">
      <c r="A164" s="3180">
        <f>面积!B819</f>
        <v>-1143</v>
      </c>
      <c r="B164" s="3181">
        <f>面积!C819</f>
        <v>32.61</v>
      </c>
      <c r="C164" s="21">
        <f t="shared" si="33"/>
        <v>1</v>
      </c>
      <c r="D164" s="632"/>
      <c r="E164" s="21">
        <f t="shared" si="34"/>
        <v>1</v>
      </c>
      <c r="F164" s="632"/>
      <c r="G164" s="21">
        <f t="shared" si="35"/>
        <v>1</v>
      </c>
      <c r="H164" s="632"/>
      <c r="I164" s="21">
        <f t="shared" si="36"/>
        <v>1</v>
      </c>
      <c r="J164" s="632"/>
      <c r="K164" s="21">
        <f t="shared" si="37"/>
        <v>1</v>
      </c>
      <c r="L164" s="632"/>
      <c r="M164" s="21">
        <f t="shared" si="38"/>
        <v>1</v>
      </c>
      <c r="N164" s="632"/>
      <c r="O164" s="21">
        <f t="shared" si="39"/>
        <v>1</v>
      </c>
      <c r="P164" s="632"/>
      <c r="Q164" s="21">
        <f t="shared" si="40"/>
        <v>1</v>
      </c>
      <c r="R164" s="21">
        <f t="shared" si="41"/>
        <v>162430</v>
      </c>
      <c r="S164" s="306">
        <f t="shared" si="32"/>
        <v>530</v>
      </c>
    </row>
    <row r="165" spans="1:19">
      <c r="A165" s="3180">
        <f>面积!B820</f>
        <v>-1144</v>
      </c>
      <c r="B165" s="3181">
        <f>面积!C820</f>
        <v>32.61</v>
      </c>
      <c r="C165" s="21">
        <f t="shared" si="33"/>
        <v>1</v>
      </c>
      <c r="D165" s="632"/>
      <c r="E165" s="21">
        <f t="shared" si="34"/>
        <v>1</v>
      </c>
      <c r="F165" s="632"/>
      <c r="G165" s="21">
        <f t="shared" si="35"/>
        <v>1</v>
      </c>
      <c r="H165" s="632"/>
      <c r="I165" s="21">
        <f t="shared" si="36"/>
        <v>1</v>
      </c>
      <c r="J165" s="632"/>
      <c r="K165" s="21">
        <f t="shared" si="37"/>
        <v>1</v>
      </c>
      <c r="L165" s="632"/>
      <c r="M165" s="21">
        <f t="shared" si="38"/>
        <v>1</v>
      </c>
      <c r="N165" s="632"/>
      <c r="O165" s="21">
        <f t="shared" si="39"/>
        <v>1</v>
      </c>
      <c r="P165" s="632"/>
      <c r="Q165" s="21">
        <f t="shared" si="40"/>
        <v>1</v>
      </c>
      <c r="R165" s="21">
        <f t="shared" si="41"/>
        <v>162430</v>
      </c>
      <c r="S165" s="306">
        <f t="shared" si="32"/>
        <v>530</v>
      </c>
    </row>
    <row r="166" spans="1:19">
      <c r="A166" s="3180">
        <f>面积!B821</f>
        <v>-1145</v>
      </c>
      <c r="B166" s="3181">
        <f>面积!C821</f>
        <v>32.61</v>
      </c>
      <c r="C166" s="21">
        <f t="shared" si="33"/>
        <v>1</v>
      </c>
      <c r="D166" s="632"/>
      <c r="E166" s="21">
        <f t="shared" si="34"/>
        <v>1</v>
      </c>
      <c r="F166" s="632"/>
      <c r="G166" s="21">
        <f t="shared" si="35"/>
        <v>1</v>
      </c>
      <c r="H166" s="632"/>
      <c r="I166" s="21">
        <f t="shared" si="36"/>
        <v>1</v>
      </c>
      <c r="J166" s="632"/>
      <c r="K166" s="21">
        <f t="shared" si="37"/>
        <v>1</v>
      </c>
      <c r="L166" s="632"/>
      <c r="M166" s="21">
        <f t="shared" si="38"/>
        <v>1</v>
      </c>
      <c r="N166" s="632"/>
      <c r="O166" s="21">
        <f t="shared" si="39"/>
        <v>1</v>
      </c>
      <c r="P166" s="632"/>
      <c r="Q166" s="21">
        <f t="shared" si="40"/>
        <v>1</v>
      </c>
      <c r="R166" s="21">
        <f t="shared" si="41"/>
        <v>162430</v>
      </c>
      <c r="S166" s="306">
        <f t="shared" si="32"/>
        <v>530</v>
      </c>
    </row>
    <row r="167" spans="1:19">
      <c r="A167" s="3180">
        <f>面积!B822</f>
        <v>-1146</v>
      </c>
      <c r="B167" s="3181">
        <f>面积!C822</f>
        <v>32.61</v>
      </c>
      <c r="C167" s="21">
        <f t="shared" si="33"/>
        <v>1</v>
      </c>
      <c r="D167" s="632"/>
      <c r="E167" s="21">
        <f t="shared" si="34"/>
        <v>1</v>
      </c>
      <c r="F167" s="632"/>
      <c r="G167" s="21">
        <f t="shared" si="35"/>
        <v>1</v>
      </c>
      <c r="H167" s="632"/>
      <c r="I167" s="21">
        <f t="shared" si="36"/>
        <v>1</v>
      </c>
      <c r="J167" s="632"/>
      <c r="K167" s="21">
        <f t="shared" si="37"/>
        <v>1</v>
      </c>
      <c r="L167" s="632"/>
      <c r="M167" s="21">
        <f t="shared" si="38"/>
        <v>1</v>
      </c>
      <c r="N167" s="632"/>
      <c r="O167" s="21">
        <f t="shared" si="39"/>
        <v>1</v>
      </c>
      <c r="P167" s="632"/>
      <c r="Q167" s="21">
        <f t="shared" si="40"/>
        <v>1</v>
      </c>
      <c r="R167" s="21">
        <f t="shared" si="41"/>
        <v>162430</v>
      </c>
      <c r="S167" s="306">
        <f t="shared" si="32"/>
        <v>530</v>
      </c>
    </row>
    <row r="168" spans="1:19">
      <c r="A168" s="3180">
        <f>面积!B823</f>
        <v>-1147</v>
      </c>
      <c r="B168" s="3181">
        <f>面积!C823</f>
        <v>32.61</v>
      </c>
      <c r="C168" s="21">
        <f t="shared" si="33"/>
        <v>1</v>
      </c>
      <c r="D168" s="632"/>
      <c r="E168" s="21">
        <f t="shared" si="34"/>
        <v>1</v>
      </c>
      <c r="F168" s="632"/>
      <c r="G168" s="21">
        <f t="shared" si="35"/>
        <v>1</v>
      </c>
      <c r="H168" s="632"/>
      <c r="I168" s="21">
        <f t="shared" si="36"/>
        <v>1</v>
      </c>
      <c r="J168" s="632"/>
      <c r="K168" s="21">
        <f t="shared" si="37"/>
        <v>1</v>
      </c>
      <c r="L168" s="632"/>
      <c r="M168" s="21">
        <f t="shared" si="38"/>
        <v>1</v>
      </c>
      <c r="N168" s="632"/>
      <c r="O168" s="21">
        <f t="shared" si="39"/>
        <v>1</v>
      </c>
      <c r="P168" s="632"/>
      <c r="Q168" s="21">
        <f t="shared" si="40"/>
        <v>1</v>
      </c>
      <c r="R168" s="21">
        <f t="shared" si="41"/>
        <v>162430</v>
      </c>
      <c r="S168" s="306">
        <f t="shared" si="32"/>
        <v>530</v>
      </c>
    </row>
    <row r="169" spans="1:19">
      <c r="A169" s="3180">
        <f>面积!B824</f>
        <v>-1148</v>
      </c>
      <c r="B169" s="3181">
        <f>面积!C824</f>
        <v>32.61</v>
      </c>
      <c r="C169" s="21">
        <f t="shared" si="33"/>
        <v>1</v>
      </c>
      <c r="D169" s="632"/>
      <c r="E169" s="21">
        <f t="shared" si="34"/>
        <v>1</v>
      </c>
      <c r="F169" s="632"/>
      <c r="G169" s="21">
        <f t="shared" si="35"/>
        <v>1</v>
      </c>
      <c r="H169" s="632"/>
      <c r="I169" s="21">
        <f t="shared" si="36"/>
        <v>1</v>
      </c>
      <c r="J169" s="632"/>
      <c r="K169" s="21">
        <f t="shared" si="37"/>
        <v>1</v>
      </c>
      <c r="L169" s="632"/>
      <c r="M169" s="21">
        <f t="shared" si="38"/>
        <v>1</v>
      </c>
      <c r="N169" s="632"/>
      <c r="O169" s="21">
        <f t="shared" si="39"/>
        <v>1</v>
      </c>
      <c r="P169" s="632"/>
      <c r="Q169" s="21">
        <f t="shared" si="40"/>
        <v>1</v>
      </c>
      <c r="R169" s="21">
        <f t="shared" si="41"/>
        <v>162430</v>
      </c>
      <c r="S169" s="306">
        <f t="shared" si="32"/>
        <v>530</v>
      </c>
    </row>
    <row r="170" spans="1:19">
      <c r="A170" s="3180">
        <f>面积!B825</f>
        <v>-1149</v>
      </c>
      <c r="B170" s="3181">
        <f>面积!C825</f>
        <v>32.61</v>
      </c>
      <c r="C170" s="21">
        <f t="shared" si="33"/>
        <v>1</v>
      </c>
      <c r="D170" s="632"/>
      <c r="E170" s="21">
        <f t="shared" si="34"/>
        <v>1</v>
      </c>
      <c r="F170" s="632"/>
      <c r="G170" s="21">
        <f t="shared" si="35"/>
        <v>1</v>
      </c>
      <c r="H170" s="632"/>
      <c r="I170" s="21">
        <f t="shared" si="36"/>
        <v>1</v>
      </c>
      <c r="J170" s="632"/>
      <c r="K170" s="21">
        <f t="shared" si="37"/>
        <v>1</v>
      </c>
      <c r="L170" s="632"/>
      <c r="M170" s="21">
        <f t="shared" si="38"/>
        <v>1</v>
      </c>
      <c r="N170" s="632"/>
      <c r="O170" s="21">
        <f t="shared" si="39"/>
        <v>1</v>
      </c>
      <c r="P170" s="632"/>
      <c r="Q170" s="21">
        <f t="shared" si="40"/>
        <v>1</v>
      </c>
      <c r="R170" s="21">
        <f t="shared" si="41"/>
        <v>162430</v>
      </c>
      <c r="S170" s="306">
        <f t="shared" si="32"/>
        <v>530</v>
      </c>
    </row>
    <row r="171" spans="1:19">
      <c r="A171" s="3180">
        <f>面积!B826</f>
        <v>-1150</v>
      </c>
      <c r="B171" s="3181">
        <f>面积!C826</f>
        <v>32.61</v>
      </c>
      <c r="C171" s="21">
        <f t="shared" si="33"/>
        <v>1</v>
      </c>
      <c r="D171" s="632"/>
      <c r="E171" s="21">
        <f t="shared" si="34"/>
        <v>1</v>
      </c>
      <c r="F171" s="632"/>
      <c r="G171" s="21">
        <f t="shared" si="35"/>
        <v>1</v>
      </c>
      <c r="H171" s="632"/>
      <c r="I171" s="21">
        <f t="shared" si="36"/>
        <v>1</v>
      </c>
      <c r="J171" s="632"/>
      <c r="K171" s="21">
        <f t="shared" si="37"/>
        <v>1</v>
      </c>
      <c r="L171" s="632"/>
      <c r="M171" s="21">
        <f t="shared" si="38"/>
        <v>1</v>
      </c>
      <c r="N171" s="632"/>
      <c r="O171" s="21">
        <f t="shared" si="39"/>
        <v>1</v>
      </c>
      <c r="P171" s="632"/>
      <c r="Q171" s="21">
        <f t="shared" si="40"/>
        <v>1</v>
      </c>
      <c r="R171" s="21">
        <f t="shared" si="41"/>
        <v>162430</v>
      </c>
      <c r="S171" s="306">
        <f t="shared" si="32"/>
        <v>530</v>
      </c>
    </row>
    <row r="172" spans="1:19">
      <c r="A172" s="3180">
        <f>面积!B827</f>
        <v>-1151</v>
      </c>
      <c r="B172" s="3181">
        <f>面积!C827</f>
        <v>32.61</v>
      </c>
      <c r="C172" s="21">
        <f t="shared" si="33"/>
        <v>1</v>
      </c>
      <c r="D172" s="632"/>
      <c r="E172" s="21">
        <f t="shared" si="34"/>
        <v>1</v>
      </c>
      <c r="F172" s="632"/>
      <c r="G172" s="21">
        <f t="shared" si="35"/>
        <v>1</v>
      </c>
      <c r="H172" s="632"/>
      <c r="I172" s="21">
        <f t="shared" si="36"/>
        <v>1</v>
      </c>
      <c r="J172" s="632"/>
      <c r="K172" s="21">
        <f t="shared" si="37"/>
        <v>1</v>
      </c>
      <c r="L172" s="632"/>
      <c r="M172" s="21">
        <f t="shared" si="38"/>
        <v>1</v>
      </c>
      <c r="N172" s="632"/>
      <c r="O172" s="21">
        <f t="shared" si="39"/>
        <v>1</v>
      </c>
      <c r="P172" s="632"/>
      <c r="Q172" s="21">
        <f t="shared" si="40"/>
        <v>1</v>
      </c>
      <c r="R172" s="21">
        <f t="shared" si="41"/>
        <v>162430</v>
      </c>
      <c r="S172" s="306">
        <f t="shared" si="32"/>
        <v>530</v>
      </c>
    </row>
    <row r="173" spans="1:19">
      <c r="A173" s="3180">
        <f>面积!B828</f>
        <v>-1152</v>
      </c>
      <c r="B173" s="3181">
        <f>面积!C828</f>
        <v>32.61</v>
      </c>
      <c r="C173" s="21">
        <f t="shared" si="33"/>
        <v>1</v>
      </c>
      <c r="D173" s="632"/>
      <c r="E173" s="21">
        <f t="shared" si="34"/>
        <v>1</v>
      </c>
      <c r="F173" s="632"/>
      <c r="G173" s="21">
        <f t="shared" si="35"/>
        <v>1</v>
      </c>
      <c r="H173" s="632"/>
      <c r="I173" s="21">
        <f t="shared" si="36"/>
        <v>1</v>
      </c>
      <c r="J173" s="632"/>
      <c r="K173" s="21">
        <f t="shared" si="37"/>
        <v>1</v>
      </c>
      <c r="L173" s="632"/>
      <c r="M173" s="21">
        <f t="shared" si="38"/>
        <v>1</v>
      </c>
      <c r="N173" s="632"/>
      <c r="O173" s="21">
        <f t="shared" si="39"/>
        <v>1</v>
      </c>
      <c r="P173" s="632"/>
      <c r="Q173" s="21">
        <f t="shared" si="40"/>
        <v>1</v>
      </c>
      <c r="R173" s="21">
        <f t="shared" si="41"/>
        <v>162430</v>
      </c>
      <c r="S173" s="306">
        <f t="shared" si="32"/>
        <v>530</v>
      </c>
    </row>
    <row r="174" spans="1:19">
      <c r="A174" s="3180">
        <f>面积!B829</f>
        <v>-1153</v>
      </c>
      <c r="B174" s="3181">
        <f>面积!C829</f>
        <v>32.61</v>
      </c>
      <c r="C174" s="21">
        <f t="shared" si="33"/>
        <v>1</v>
      </c>
      <c r="D174" s="632"/>
      <c r="E174" s="21">
        <f t="shared" si="34"/>
        <v>1</v>
      </c>
      <c r="F174" s="632"/>
      <c r="G174" s="21">
        <f t="shared" si="35"/>
        <v>1</v>
      </c>
      <c r="H174" s="632"/>
      <c r="I174" s="21">
        <f t="shared" si="36"/>
        <v>1</v>
      </c>
      <c r="J174" s="632"/>
      <c r="K174" s="21">
        <f t="shared" si="37"/>
        <v>1</v>
      </c>
      <c r="L174" s="632"/>
      <c r="M174" s="21">
        <f t="shared" si="38"/>
        <v>1</v>
      </c>
      <c r="N174" s="632"/>
      <c r="O174" s="21">
        <f t="shared" si="39"/>
        <v>1</v>
      </c>
      <c r="P174" s="632"/>
      <c r="Q174" s="21">
        <f t="shared" si="40"/>
        <v>1</v>
      </c>
      <c r="R174" s="21">
        <f t="shared" si="41"/>
        <v>162430</v>
      </c>
      <c r="S174" s="306">
        <f t="shared" si="32"/>
        <v>530</v>
      </c>
    </row>
    <row r="175" spans="1:19">
      <c r="A175" s="3180">
        <f>面积!B830</f>
        <v>-1154</v>
      </c>
      <c r="B175" s="3181">
        <f>面积!C830</f>
        <v>32.61</v>
      </c>
      <c r="C175" s="21">
        <f t="shared" si="33"/>
        <v>1</v>
      </c>
      <c r="D175" s="632"/>
      <c r="E175" s="21">
        <f t="shared" si="34"/>
        <v>1</v>
      </c>
      <c r="F175" s="632"/>
      <c r="G175" s="21">
        <f t="shared" si="35"/>
        <v>1</v>
      </c>
      <c r="H175" s="632"/>
      <c r="I175" s="21">
        <f t="shared" si="36"/>
        <v>1</v>
      </c>
      <c r="J175" s="632"/>
      <c r="K175" s="21">
        <f t="shared" si="37"/>
        <v>1</v>
      </c>
      <c r="L175" s="632"/>
      <c r="M175" s="21">
        <f t="shared" si="38"/>
        <v>1</v>
      </c>
      <c r="N175" s="632"/>
      <c r="O175" s="21">
        <f t="shared" si="39"/>
        <v>1</v>
      </c>
      <c r="P175" s="632"/>
      <c r="Q175" s="21">
        <f t="shared" si="40"/>
        <v>1</v>
      </c>
      <c r="R175" s="21">
        <f t="shared" si="41"/>
        <v>162430</v>
      </c>
      <c r="S175" s="306">
        <f t="shared" si="32"/>
        <v>530</v>
      </c>
    </row>
    <row r="176" spans="1:19">
      <c r="A176" s="3180">
        <f>面积!B831</f>
        <v>-1155</v>
      </c>
      <c r="B176" s="3181">
        <f>面积!C831</f>
        <v>32.61</v>
      </c>
      <c r="C176" s="21">
        <f t="shared" si="33"/>
        <v>1</v>
      </c>
      <c r="D176" s="632"/>
      <c r="E176" s="21">
        <f t="shared" si="34"/>
        <v>1</v>
      </c>
      <c r="F176" s="632"/>
      <c r="G176" s="21">
        <f t="shared" si="35"/>
        <v>1</v>
      </c>
      <c r="H176" s="632"/>
      <c r="I176" s="21">
        <f t="shared" si="36"/>
        <v>1</v>
      </c>
      <c r="J176" s="632"/>
      <c r="K176" s="21">
        <f t="shared" si="37"/>
        <v>1</v>
      </c>
      <c r="L176" s="632"/>
      <c r="M176" s="21">
        <f t="shared" si="38"/>
        <v>1</v>
      </c>
      <c r="N176" s="632"/>
      <c r="O176" s="21">
        <f t="shared" si="39"/>
        <v>1</v>
      </c>
      <c r="P176" s="632"/>
      <c r="Q176" s="21">
        <f t="shared" si="40"/>
        <v>1</v>
      </c>
      <c r="R176" s="21">
        <f t="shared" si="41"/>
        <v>162430</v>
      </c>
      <c r="S176" s="306">
        <f t="shared" si="32"/>
        <v>530</v>
      </c>
    </row>
    <row r="177" spans="1:19">
      <c r="A177" s="3180">
        <f>面积!B832</f>
        <v>-1156</v>
      </c>
      <c r="B177" s="3181">
        <f>面积!C832</f>
        <v>32.61</v>
      </c>
      <c r="C177" s="21">
        <f t="shared" si="33"/>
        <v>1</v>
      </c>
      <c r="D177" s="632"/>
      <c r="E177" s="21">
        <f t="shared" si="34"/>
        <v>1</v>
      </c>
      <c r="F177" s="632"/>
      <c r="G177" s="21">
        <f t="shared" si="35"/>
        <v>1</v>
      </c>
      <c r="H177" s="632"/>
      <c r="I177" s="21">
        <f t="shared" si="36"/>
        <v>1</v>
      </c>
      <c r="J177" s="632"/>
      <c r="K177" s="21">
        <f t="shared" si="37"/>
        <v>1</v>
      </c>
      <c r="L177" s="632"/>
      <c r="M177" s="21">
        <f t="shared" si="38"/>
        <v>1</v>
      </c>
      <c r="N177" s="632"/>
      <c r="O177" s="21">
        <f t="shared" si="39"/>
        <v>1</v>
      </c>
      <c r="P177" s="632"/>
      <c r="Q177" s="21">
        <f t="shared" si="40"/>
        <v>1</v>
      </c>
      <c r="R177" s="21">
        <f t="shared" si="41"/>
        <v>162430</v>
      </c>
      <c r="S177" s="306">
        <f t="shared" si="32"/>
        <v>530</v>
      </c>
    </row>
    <row r="178" spans="1:19">
      <c r="A178" s="3180">
        <f>面积!B833</f>
        <v>-1157</v>
      </c>
      <c r="B178" s="3181">
        <f>面积!C833</f>
        <v>32.61</v>
      </c>
      <c r="C178" s="21">
        <f t="shared" si="33"/>
        <v>1</v>
      </c>
      <c r="D178" s="632"/>
      <c r="E178" s="21">
        <f t="shared" si="34"/>
        <v>1</v>
      </c>
      <c r="F178" s="632"/>
      <c r="G178" s="21">
        <f t="shared" si="35"/>
        <v>1</v>
      </c>
      <c r="H178" s="632"/>
      <c r="I178" s="21">
        <f t="shared" si="36"/>
        <v>1</v>
      </c>
      <c r="J178" s="632"/>
      <c r="K178" s="21">
        <f t="shared" si="37"/>
        <v>1</v>
      </c>
      <c r="L178" s="632"/>
      <c r="M178" s="21">
        <f t="shared" si="38"/>
        <v>1</v>
      </c>
      <c r="N178" s="632"/>
      <c r="O178" s="21">
        <f t="shared" si="39"/>
        <v>1</v>
      </c>
      <c r="P178" s="632"/>
      <c r="Q178" s="21">
        <f t="shared" si="40"/>
        <v>1</v>
      </c>
      <c r="R178" s="21">
        <f t="shared" si="41"/>
        <v>162430</v>
      </c>
      <c r="S178" s="306">
        <f t="shared" si="32"/>
        <v>530</v>
      </c>
    </row>
    <row r="179" spans="1:19">
      <c r="A179" s="3180">
        <f>面积!B834</f>
        <v>-1158</v>
      </c>
      <c r="B179" s="3181">
        <f>面积!C834</f>
        <v>32.61</v>
      </c>
      <c r="C179" s="21">
        <f t="shared" si="33"/>
        <v>1</v>
      </c>
      <c r="D179" s="632"/>
      <c r="E179" s="21">
        <f t="shared" si="34"/>
        <v>1</v>
      </c>
      <c r="F179" s="632"/>
      <c r="G179" s="21">
        <f t="shared" si="35"/>
        <v>1</v>
      </c>
      <c r="H179" s="632"/>
      <c r="I179" s="21">
        <f t="shared" si="36"/>
        <v>1</v>
      </c>
      <c r="J179" s="632"/>
      <c r="K179" s="21">
        <f t="shared" si="37"/>
        <v>1</v>
      </c>
      <c r="L179" s="632"/>
      <c r="M179" s="21">
        <f t="shared" si="38"/>
        <v>1</v>
      </c>
      <c r="N179" s="632"/>
      <c r="O179" s="21">
        <f t="shared" si="39"/>
        <v>1</v>
      </c>
      <c r="P179" s="632"/>
      <c r="Q179" s="21">
        <f t="shared" si="40"/>
        <v>1</v>
      </c>
      <c r="R179" s="21">
        <f t="shared" si="41"/>
        <v>162430</v>
      </c>
      <c r="S179" s="306">
        <f t="shared" si="32"/>
        <v>530</v>
      </c>
    </row>
    <row r="180" spans="1:19">
      <c r="A180" s="3180">
        <f>面积!B835</f>
        <v>-1159</v>
      </c>
      <c r="B180" s="3181">
        <f>面积!C835</f>
        <v>32.61</v>
      </c>
      <c r="C180" s="21">
        <f t="shared" si="33"/>
        <v>1</v>
      </c>
      <c r="D180" s="632"/>
      <c r="E180" s="21">
        <f t="shared" si="34"/>
        <v>1</v>
      </c>
      <c r="F180" s="632"/>
      <c r="G180" s="21">
        <f t="shared" si="35"/>
        <v>1</v>
      </c>
      <c r="H180" s="632"/>
      <c r="I180" s="21">
        <f t="shared" si="36"/>
        <v>1</v>
      </c>
      <c r="J180" s="632"/>
      <c r="K180" s="21">
        <f t="shared" si="37"/>
        <v>1</v>
      </c>
      <c r="L180" s="632"/>
      <c r="M180" s="21">
        <f t="shared" si="38"/>
        <v>1</v>
      </c>
      <c r="N180" s="632"/>
      <c r="O180" s="21">
        <f t="shared" si="39"/>
        <v>1</v>
      </c>
      <c r="P180" s="632"/>
      <c r="Q180" s="21">
        <f t="shared" si="40"/>
        <v>1</v>
      </c>
      <c r="R180" s="21">
        <f t="shared" si="41"/>
        <v>162430</v>
      </c>
      <c r="S180" s="306">
        <f t="shared" si="32"/>
        <v>530</v>
      </c>
    </row>
    <row r="181" spans="1:19">
      <c r="A181" s="3180">
        <f>面积!B836</f>
        <v>-1160</v>
      </c>
      <c r="B181" s="3181">
        <f>面积!C836</f>
        <v>32.61</v>
      </c>
      <c r="C181" s="21">
        <f t="shared" si="33"/>
        <v>1</v>
      </c>
      <c r="D181" s="632"/>
      <c r="E181" s="21">
        <f t="shared" si="34"/>
        <v>1</v>
      </c>
      <c r="F181" s="632"/>
      <c r="G181" s="21">
        <f t="shared" si="35"/>
        <v>1</v>
      </c>
      <c r="H181" s="632"/>
      <c r="I181" s="21">
        <f t="shared" si="36"/>
        <v>1</v>
      </c>
      <c r="J181" s="632"/>
      <c r="K181" s="21">
        <f t="shared" si="37"/>
        <v>1</v>
      </c>
      <c r="L181" s="632"/>
      <c r="M181" s="21">
        <f t="shared" si="38"/>
        <v>1</v>
      </c>
      <c r="N181" s="632"/>
      <c r="O181" s="21">
        <f t="shared" si="39"/>
        <v>1</v>
      </c>
      <c r="P181" s="632"/>
      <c r="Q181" s="21">
        <f t="shared" si="40"/>
        <v>1</v>
      </c>
      <c r="R181" s="21">
        <f t="shared" si="41"/>
        <v>162430</v>
      </c>
      <c r="S181" s="306">
        <f t="shared" si="32"/>
        <v>530</v>
      </c>
    </row>
    <row r="182" spans="1:19">
      <c r="A182" s="3180">
        <f>面积!B837</f>
        <v>-1161</v>
      </c>
      <c r="B182" s="3181">
        <f>面积!C837</f>
        <v>32.61</v>
      </c>
      <c r="C182" s="21">
        <f t="shared" si="33"/>
        <v>1</v>
      </c>
      <c r="D182" s="632"/>
      <c r="E182" s="21">
        <f t="shared" si="34"/>
        <v>1</v>
      </c>
      <c r="F182" s="632"/>
      <c r="G182" s="21">
        <f t="shared" si="35"/>
        <v>1</v>
      </c>
      <c r="H182" s="632"/>
      <c r="I182" s="21">
        <f t="shared" si="36"/>
        <v>1</v>
      </c>
      <c r="J182" s="632"/>
      <c r="K182" s="21">
        <f t="shared" si="37"/>
        <v>1</v>
      </c>
      <c r="L182" s="632"/>
      <c r="M182" s="21">
        <f t="shared" si="38"/>
        <v>1</v>
      </c>
      <c r="N182" s="632"/>
      <c r="O182" s="21">
        <f t="shared" si="39"/>
        <v>1</v>
      </c>
      <c r="P182" s="632"/>
      <c r="Q182" s="21">
        <f t="shared" si="40"/>
        <v>1</v>
      </c>
      <c r="R182" s="21">
        <f t="shared" si="41"/>
        <v>162430</v>
      </c>
      <c r="S182" s="306">
        <f t="shared" si="32"/>
        <v>530</v>
      </c>
    </row>
    <row r="183" spans="1:19">
      <c r="A183" s="3180">
        <f>面积!B838</f>
        <v>-1162</v>
      </c>
      <c r="B183" s="3181">
        <f>面积!C838</f>
        <v>32.61</v>
      </c>
      <c r="C183" s="21">
        <f t="shared" si="33"/>
        <v>1</v>
      </c>
      <c r="D183" s="632"/>
      <c r="E183" s="21">
        <f t="shared" si="34"/>
        <v>1</v>
      </c>
      <c r="F183" s="632"/>
      <c r="G183" s="21">
        <f t="shared" si="35"/>
        <v>1</v>
      </c>
      <c r="H183" s="632"/>
      <c r="I183" s="21">
        <f t="shared" si="36"/>
        <v>1</v>
      </c>
      <c r="J183" s="632"/>
      <c r="K183" s="21">
        <f t="shared" si="37"/>
        <v>1</v>
      </c>
      <c r="L183" s="632"/>
      <c r="M183" s="21">
        <f t="shared" si="38"/>
        <v>1</v>
      </c>
      <c r="N183" s="632"/>
      <c r="O183" s="21">
        <f t="shared" si="39"/>
        <v>1</v>
      </c>
      <c r="P183" s="632"/>
      <c r="Q183" s="21">
        <f t="shared" si="40"/>
        <v>1</v>
      </c>
      <c r="R183" s="21">
        <f t="shared" si="41"/>
        <v>162430</v>
      </c>
      <c r="S183" s="306">
        <f t="shared" si="32"/>
        <v>530</v>
      </c>
    </row>
    <row r="184" spans="1:19">
      <c r="A184" s="3180">
        <f>面积!B839</f>
        <v>-1163</v>
      </c>
      <c r="B184" s="3181">
        <f>面积!C839</f>
        <v>32.61</v>
      </c>
      <c r="C184" s="21">
        <f t="shared" si="33"/>
        <v>1</v>
      </c>
      <c r="D184" s="632"/>
      <c r="E184" s="21">
        <f t="shared" si="34"/>
        <v>1</v>
      </c>
      <c r="F184" s="632"/>
      <c r="G184" s="21">
        <f t="shared" si="35"/>
        <v>1</v>
      </c>
      <c r="H184" s="632"/>
      <c r="I184" s="21">
        <f t="shared" si="36"/>
        <v>1</v>
      </c>
      <c r="J184" s="632"/>
      <c r="K184" s="21">
        <f t="shared" si="37"/>
        <v>1</v>
      </c>
      <c r="L184" s="632"/>
      <c r="M184" s="21">
        <f t="shared" si="38"/>
        <v>1</v>
      </c>
      <c r="N184" s="632"/>
      <c r="O184" s="21">
        <f t="shared" si="39"/>
        <v>1</v>
      </c>
      <c r="P184" s="632"/>
      <c r="Q184" s="21">
        <f t="shared" si="40"/>
        <v>1</v>
      </c>
      <c r="R184" s="21">
        <f t="shared" si="41"/>
        <v>162430</v>
      </c>
      <c r="S184" s="306">
        <f t="shared" si="32"/>
        <v>530</v>
      </c>
    </row>
    <row r="185" spans="1:19">
      <c r="A185" s="3180">
        <f>面积!B840</f>
        <v>-1164</v>
      </c>
      <c r="B185" s="3181">
        <f>面积!C840</f>
        <v>32.61</v>
      </c>
      <c r="C185" s="21">
        <f t="shared" si="33"/>
        <v>1</v>
      </c>
      <c r="D185" s="632"/>
      <c r="E185" s="21">
        <f t="shared" si="34"/>
        <v>1</v>
      </c>
      <c r="F185" s="632"/>
      <c r="G185" s="21">
        <f t="shared" si="35"/>
        <v>1</v>
      </c>
      <c r="H185" s="632"/>
      <c r="I185" s="21">
        <f t="shared" si="36"/>
        <v>1</v>
      </c>
      <c r="J185" s="632"/>
      <c r="K185" s="21">
        <f t="shared" si="37"/>
        <v>1</v>
      </c>
      <c r="L185" s="632"/>
      <c r="M185" s="21">
        <f t="shared" si="38"/>
        <v>1</v>
      </c>
      <c r="N185" s="632"/>
      <c r="O185" s="21">
        <f t="shared" si="39"/>
        <v>1</v>
      </c>
      <c r="P185" s="632"/>
      <c r="Q185" s="21">
        <f t="shared" si="40"/>
        <v>1</v>
      </c>
      <c r="R185" s="21">
        <f t="shared" si="41"/>
        <v>162430</v>
      </c>
      <c r="S185" s="306">
        <f t="shared" si="32"/>
        <v>530</v>
      </c>
    </row>
    <row r="186" spans="1:19">
      <c r="A186" s="3180">
        <f>面积!B841</f>
        <v>-1165</v>
      </c>
      <c r="B186" s="3181">
        <f>面积!C841</f>
        <v>32.61</v>
      </c>
      <c r="C186" s="21">
        <f t="shared" si="33"/>
        <v>1</v>
      </c>
      <c r="D186" s="632"/>
      <c r="E186" s="21">
        <f t="shared" si="34"/>
        <v>1</v>
      </c>
      <c r="F186" s="632"/>
      <c r="G186" s="21">
        <f t="shared" si="35"/>
        <v>1</v>
      </c>
      <c r="H186" s="632"/>
      <c r="I186" s="21">
        <f t="shared" si="36"/>
        <v>1</v>
      </c>
      <c r="J186" s="632"/>
      <c r="K186" s="21">
        <f t="shared" si="37"/>
        <v>1</v>
      </c>
      <c r="L186" s="632"/>
      <c r="M186" s="21">
        <f t="shared" si="38"/>
        <v>1</v>
      </c>
      <c r="N186" s="632"/>
      <c r="O186" s="21">
        <f t="shared" si="39"/>
        <v>1</v>
      </c>
      <c r="P186" s="632"/>
      <c r="Q186" s="21">
        <f t="shared" si="40"/>
        <v>1</v>
      </c>
      <c r="R186" s="21">
        <f t="shared" si="41"/>
        <v>162430</v>
      </c>
      <c r="S186" s="306">
        <f t="shared" si="32"/>
        <v>530</v>
      </c>
    </row>
    <row r="187" spans="1:19">
      <c r="A187" s="3180">
        <f>面积!B842</f>
        <v>-1166</v>
      </c>
      <c r="B187" s="3181">
        <f>面积!C842</f>
        <v>32.61</v>
      </c>
      <c r="C187" s="21">
        <f t="shared" si="33"/>
        <v>1</v>
      </c>
      <c r="D187" s="632"/>
      <c r="E187" s="21">
        <f t="shared" si="34"/>
        <v>1</v>
      </c>
      <c r="F187" s="632"/>
      <c r="G187" s="21">
        <f t="shared" si="35"/>
        <v>1</v>
      </c>
      <c r="H187" s="632"/>
      <c r="I187" s="21">
        <f t="shared" si="36"/>
        <v>1</v>
      </c>
      <c r="J187" s="632"/>
      <c r="K187" s="21">
        <f t="shared" si="37"/>
        <v>1</v>
      </c>
      <c r="L187" s="632"/>
      <c r="M187" s="21">
        <f t="shared" si="38"/>
        <v>1</v>
      </c>
      <c r="N187" s="632"/>
      <c r="O187" s="21">
        <f t="shared" si="39"/>
        <v>1</v>
      </c>
      <c r="P187" s="632"/>
      <c r="Q187" s="21">
        <f t="shared" si="40"/>
        <v>1</v>
      </c>
      <c r="R187" s="21">
        <f t="shared" si="41"/>
        <v>162430</v>
      </c>
      <c r="S187" s="306">
        <f t="shared" ref="S187:S222" si="42">ROUND(R187*B187/10000,0)</f>
        <v>530</v>
      </c>
    </row>
    <row r="188" spans="1:19">
      <c r="A188" s="3180">
        <f>面积!B843</f>
        <v>-1167</v>
      </c>
      <c r="B188" s="3181">
        <f>面积!C843</f>
        <v>32.61</v>
      </c>
      <c r="C188" s="21">
        <f t="shared" si="33"/>
        <v>1</v>
      </c>
      <c r="D188" s="632"/>
      <c r="E188" s="21">
        <f t="shared" si="34"/>
        <v>1</v>
      </c>
      <c r="F188" s="632"/>
      <c r="G188" s="21">
        <f t="shared" si="35"/>
        <v>1</v>
      </c>
      <c r="H188" s="632"/>
      <c r="I188" s="21">
        <f t="shared" si="36"/>
        <v>1</v>
      </c>
      <c r="J188" s="632"/>
      <c r="K188" s="21">
        <f t="shared" si="37"/>
        <v>1</v>
      </c>
      <c r="L188" s="632"/>
      <c r="M188" s="21">
        <f t="shared" si="38"/>
        <v>1</v>
      </c>
      <c r="N188" s="632"/>
      <c r="O188" s="21">
        <f t="shared" si="39"/>
        <v>1</v>
      </c>
      <c r="P188" s="632"/>
      <c r="Q188" s="21">
        <f t="shared" si="40"/>
        <v>1</v>
      </c>
      <c r="R188" s="21">
        <f t="shared" si="41"/>
        <v>162430</v>
      </c>
      <c r="S188" s="306">
        <f t="shared" si="42"/>
        <v>530</v>
      </c>
    </row>
    <row r="189" spans="1:19">
      <c r="A189" s="3180">
        <f>面积!B844</f>
        <v>-1168</v>
      </c>
      <c r="B189" s="3181">
        <f>面积!C844</f>
        <v>32.61</v>
      </c>
      <c r="C189" s="21">
        <f t="shared" si="33"/>
        <v>1</v>
      </c>
      <c r="D189" s="632"/>
      <c r="E189" s="21">
        <f t="shared" si="34"/>
        <v>1</v>
      </c>
      <c r="F189" s="632"/>
      <c r="G189" s="21">
        <f t="shared" si="35"/>
        <v>1</v>
      </c>
      <c r="H189" s="632"/>
      <c r="I189" s="21">
        <f t="shared" si="36"/>
        <v>1</v>
      </c>
      <c r="J189" s="632"/>
      <c r="K189" s="21">
        <f t="shared" si="37"/>
        <v>1</v>
      </c>
      <c r="L189" s="632"/>
      <c r="M189" s="21">
        <f t="shared" si="38"/>
        <v>1</v>
      </c>
      <c r="N189" s="632"/>
      <c r="O189" s="21">
        <f t="shared" si="39"/>
        <v>1</v>
      </c>
      <c r="P189" s="632"/>
      <c r="Q189" s="21">
        <f t="shared" si="40"/>
        <v>1</v>
      </c>
      <c r="R189" s="21">
        <f t="shared" si="41"/>
        <v>162430</v>
      </c>
      <c r="S189" s="306">
        <f t="shared" si="42"/>
        <v>530</v>
      </c>
    </row>
    <row r="190" spans="1:19">
      <c r="A190" s="3180">
        <f>面积!B845</f>
        <v>-1169</v>
      </c>
      <c r="B190" s="3181">
        <f>面积!C845</f>
        <v>32.61</v>
      </c>
      <c r="C190" s="21">
        <f t="shared" si="33"/>
        <v>1</v>
      </c>
      <c r="D190" s="632"/>
      <c r="E190" s="21">
        <f t="shared" si="34"/>
        <v>1</v>
      </c>
      <c r="F190" s="632"/>
      <c r="G190" s="21">
        <f t="shared" si="35"/>
        <v>1</v>
      </c>
      <c r="H190" s="632"/>
      <c r="I190" s="21">
        <f t="shared" si="36"/>
        <v>1</v>
      </c>
      <c r="J190" s="632"/>
      <c r="K190" s="21">
        <f t="shared" si="37"/>
        <v>1</v>
      </c>
      <c r="L190" s="632"/>
      <c r="M190" s="21">
        <f t="shared" si="38"/>
        <v>1</v>
      </c>
      <c r="N190" s="632"/>
      <c r="O190" s="21">
        <f t="shared" si="39"/>
        <v>1</v>
      </c>
      <c r="P190" s="632"/>
      <c r="Q190" s="21">
        <f t="shared" si="40"/>
        <v>1</v>
      </c>
      <c r="R190" s="21">
        <f t="shared" si="41"/>
        <v>162430</v>
      </c>
      <c r="S190" s="306">
        <f t="shared" si="42"/>
        <v>530</v>
      </c>
    </row>
    <row r="191" spans="1:19">
      <c r="A191" s="3180">
        <f>面积!B846</f>
        <v>-1170</v>
      </c>
      <c r="B191" s="3181">
        <f>面积!C846</f>
        <v>32.61</v>
      </c>
      <c r="C191" s="21">
        <f t="shared" si="33"/>
        <v>1</v>
      </c>
      <c r="D191" s="632"/>
      <c r="E191" s="21">
        <f t="shared" si="34"/>
        <v>1</v>
      </c>
      <c r="F191" s="632"/>
      <c r="G191" s="21">
        <f t="shared" si="35"/>
        <v>1</v>
      </c>
      <c r="H191" s="632"/>
      <c r="I191" s="21">
        <f t="shared" si="36"/>
        <v>1</v>
      </c>
      <c r="J191" s="632"/>
      <c r="K191" s="21">
        <f t="shared" si="37"/>
        <v>1</v>
      </c>
      <c r="L191" s="632"/>
      <c r="M191" s="21">
        <f t="shared" si="38"/>
        <v>1</v>
      </c>
      <c r="N191" s="632"/>
      <c r="O191" s="21">
        <f t="shared" si="39"/>
        <v>1</v>
      </c>
      <c r="P191" s="632"/>
      <c r="Q191" s="21">
        <f t="shared" si="40"/>
        <v>1</v>
      </c>
      <c r="R191" s="21">
        <f t="shared" si="41"/>
        <v>162430</v>
      </c>
      <c r="S191" s="306">
        <f t="shared" si="42"/>
        <v>530</v>
      </c>
    </row>
    <row r="192" spans="1:19">
      <c r="A192" s="3180">
        <f>面积!B847</f>
        <v>-1171</v>
      </c>
      <c r="B192" s="3181">
        <f>面积!C847</f>
        <v>32.61</v>
      </c>
      <c r="C192" s="21">
        <f t="shared" si="33"/>
        <v>1</v>
      </c>
      <c r="D192" s="632"/>
      <c r="E192" s="21">
        <f t="shared" si="34"/>
        <v>1</v>
      </c>
      <c r="F192" s="632"/>
      <c r="G192" s="21">
        <f t="shared" si="35"/>
        <v>1</v>
      </c>
      <c r="H192" s="632"/>
      <c r="I192" s="21">
        <f t="shared" si="36"/>
        <v>1</v>
      </c>
      <c r="J192" s="632"/>
      <c r="K192" s="21">
        <f t="shared" si="37"/>
        <v>1</v>
      </c>
      <c r="L192" s="632"/>
      <c r="M192" s="21">
        <f t="shared" si="38"/>
        <v>1</v>
      </c>
      <c r="N192" s="632"/>
      <c r="O192" s="21">
        <f t="shared" si="39"/>
        <v>1</v>
      </c>
      <c r="P192" s="632"/>
      <c r="Q192" s="21">
        <f t="shared" si="40"/>
        <v>1</v>
      </c>
      <c r="R192" s="21">
        <f t="shared" si="41"/>
        <v>162430</v>
      </c>
      <c r="S192" s="306">
        <f t="shared" si="42"/>
        <v>530</v>
      </c>
    </row>
    <row r="193" spans="1:19">
      <c r="A193" s="3180">
        <f>面积!B848</f>
        <v>-1172</v>
      </c>
      <c r="B193" s="3181">
        <f>面积!C848</f>
        <v>32.61</v>
      </c>
      <c r="C193" s="21">
        <f t="shared" si="33"/>
        <v>1</v>
      </c>
      <c r="D193" s="632"/>
      <c r="E193" s="21">
        <f t="shared" si="34"/>
        <v>1</v>
      </c>
      <c r="F193" s="632"/>
      <c r="G193" s="21">
        <f t="shared" si="35"/>
        <v>1</v>
      </c>
      <c r="H193" s="632"/>
      <c r="I193" s="21">
        <f t="shared" si="36"/>
        <v>1</v>
      </c>
      <c r="J193" s="632"/>
      <c r="K193" s="21">
        <f t="shared" si="37"/>
        <v>1</v>
      </c>
      <c r="L193" s="632"/>
      <c r="M193" s="21">
        <f t="shared" si="38"/>
        <v>1</v>
      </c>
      <c r="N193" s="632"/>
      <c r="O193" s="21">
        <f t="shared" si="39"/>
        <v>1</v>
      </c>
      <c r="P193" s="632"/>
      <c r="Q193" s="21">
        <f t="shared" si="40"/>
        <v>1</v>
      </c>
      <c r="R193" s="21">
        <f t="shared" si="41"/>
        <v>162430</v>
      </c>
      <c r="S193" s="306">
        <f t="shared" si="42"/>
        <v>530</v>
      </c>
    </row>
    <row r="194" spans="1:19">
      <c r="A194" s="3180">
        <f>面积!B849</f>
        <v>-1173</v>
      </c>
      <c r="B194" s="3181">
        <f>面积!C849</f>
        <v>32.61</v>
      </c>
      <c r="C194" s="21">
        <f t="shared" si="33"/>
        <v>1</v>
      </c>
      <c r="D194" s="632"/>
      <c r="E194" s="21">
        <f t="shared" si="34"/>
        <v>1</v>
      </c>
      <c r="F194" s="632"/>
      <c r="G194" s="21">
        <f t="shared" si="35"/>
        <v>1</v>
      </c>
      <c r="H194" s="632"/>
      <c r="I194" s="21">
        <f t="shared" si="36"/>
        <v>1</v>
      </c>
      <c r="J194" s="632"/>
      <c r="K194" s="21">
        <f t="shared" si="37"/>
        <v>1</v>
      </c>
      <c r="L194" s="632"/>
      <c r="M194" s="21">
        <f t="shared" si="38"/>
        <v>1</v>
      </c>
      <c r="N194" s="632"/>
      <c r="O194" s="21">
        <f t="shared" si="39"/>
        <v>1</v>
      </c>
      <c r="P194" s="632"/>
      <c r="Q194" s="21">
        <f t="shared" si="40"/>
        <v>1</v>
      </c>
      <c r="R194" s="21">
        <f t="shared" si="41"/>
        <v>162430</v>
      </c>
      <c r="S194" s="306">
        <f t="shared" si="42"/>
        <v>530</v>
      </c>
    </row>
    <row r="195" spans="1:19">
      <c r="A195" s="3180">
        <f>面积!B850</f>
        <v>-1174</v>
      </c>
      <c r="B195" s="3181">
        <f>面积!C850</f>
        <v>32.61</v>
      </c>
      <c r="C195" s="21">
        <f t="shared" si="33"/>
        <v>1</v>
      </c>
      <c r="D195" s="632"/>
      <c r="E195" s="21">
        <f t="shared" si="34"/>
        <v>1</v>
      </c>
      <c r="F195" s="632"/>
      <c r="G195" s="21">
        <f t="shared" si="35"/>
        <v>1</v>
      </c>
      <c r="H195" s="632"/>
      <c r="I195" s="21">
        <f t="shared" si="36"/>
        <v>1</v>
      </c>
      <c r="J195" s="632"/>
      <c r="K195" s="21">
        <f t="shared" si="37"/>
        <v>1</v>
      </c>
      <c r="L195" s="632"/>
      <c r="M195" s="21">
        <f t="shared" si="38"/>
        <v>1</v>
      </c>
      <c r="N195" s="632"/>
      <c r="O195" s="21">
        <f t="shared" si="39"/>
        <v>1</v>
      </c>
      <c r="P195" s="632"/>
      <c r="Q195" s="21">
        <f t="shared" si="40"/>
        <v>1</v>
      </c>
      <c r="R195" s="21">
        <f t="shared" si="41"/>
        <v>162430</v>
      </c>
      <c r="S195" s="306">
        <f t="shared" si="42"/>
        <v>530</v>
      </c>
    </row>
    <row r="196" spans="1:19">
      <c r="A196" s="3180">
        <f>面积!B851</f>
        <v>-1175</v>
      </c>
      <c r="B196" s="3181">
        <f>面积!C851</f>
        <v>32.61</v>
      </c>
      <c r="C196" s="21">
        <f t="shared" si="33"/>
        <v>1</v>
      </c>
      <c r="D196" s="632"/>
      <c r="E196" s="21">
        <f t="shared" si="34"/>
        <v>1</v>
      </c>
      <c r="F196" s="632"/>
      <c r="G196" s="21">
        <f t="shared" si="35"/>
        <v>1</v>
      </c>
      <c r="H196" s="632"/>
      <c r="I196" s="21">
        <f t="shared" si="36"/>
        <v>1</v>
      </c>
      <c r="J196" s="632"/>
      <c r="K196" s="21">
        <f t="shared" si="37"/>
        <v>1</v>
      </c>
      <c r="L196" s="632"/>
      <c r="M196" s="21">
        <f t="shared" si="38"/>
        <v>1</v>
      </c>
      <c r="N196" s="632"/>
      <c r="O196" s="21">
        <f t="shared" si="39"/>
        <v>1</v>
      </c>
      <c r="P196" s="632"/>
      <c r="Q196" s="21">
        <f t="shared" si="40"/>
        <v>1</v>
      </c>
      <c r="R196" s="21">
        <f t="shared" si="41"/>
        <v>162430</v>
      </c>
      <c r="S196" s="306">
        <f t="shared" si="42"/>
        <v>530</v>
      </c>
    </row>
    <row r="197" spans="1:19">
      <c r="A197" s="3180">
        <f>面积!B852</f>
        <v>-1176</v>
      </c>
      <c r="B197" s="3181">
        <f>面积!C852</f>
        <v>32.61</v>
      </c>
      <c r="C197" s="21">
        <f t="shared" si="33"/>
        <v>1</v>
      </c>
      <c r="D197" s="632"/>
      <c r="E197" s="21">
        <f t="shared" si="34"/>
        <v>1</v>
      </c>
      <c r="F197" s="632"/>
      <c r="G197" s="21">
        <f t="shared" si="35"/>
        <v>1</v>
      </c>
      <c r="H197" s="632"/>
      <c r="I197" s="21">
        <f t="shared" si="36"/>
        <v>1</v>
      </c>
      <c r="J197" s="632"/>
      <c r="K197" s="21">
        <f t="shared" si="37"/>
        <v>1</v>
      </c>
      <c r="L197" s="632"/>
      <c r="M197" s="21">
        <f t="shared" si="38"/>
        <v>1</v>
      </c>
      <c r="N197" s="632"/>
      <c r="O197" s="21">
        <f t="shared" si="39"/>
        <v>1</v>
      </c>
      <c r="P197" s="632"/>
      <c r="Q197" s="21">
        <f t="shared" si="40"/>
        <v>1</v>
      </c>
      <c r="R197" s="21">
        <f t="shared" si="41"/>
        <v>162430</v>
      </c>
      <c r="S197" s="306">
        <f t="shared" si="42"/>
        <v>530</v>
      </c>
    </row>
    <row r="198" spans="1:19">
      <c r="A198" s="3180">
        <f>面积!B853</f>
        <v>-1177</v>
      </c>
      <c r="B198" s="3181">
        <f>面积!C853</f>
        <v>32.61</v>
      </c>
      <c r="C198" s="21">
        <f t="shared" si="33"/>
        <v>1</v>
      </c>
      <c r="D198" s="632"/>
      <c r="E198" s="21">
        <f t="shared" si="34"/>
        <v>1</v>
      </c>
      <c r="F198" s="632"/>
      <c r="G198" s="21">
        <f t="shared" si="35"/>
        <v>1</v>
      </c>
      <c r="H198" s="632"/>
      <c r="I198" s="21">
        <f t="shared" si="36"/>
        <v>1</v>
      </c>
      <c r="J198" s="632"/>
      <c r="K198" s="21">
        <f t="shared" si="37"/>
        <v>1</v>
      </c>
      <c r="L198" s="632"/>
      <c r="M198" s="21">
        <f t="shared" si="38"/>
        <v>1</v>
      </c>
      <c r="N198" s="632"/>
      <c r="O198" s="21">
        <f t="shared" si="39"/>
        <v>1</v>
      </c>
      <c r="P198" s="632"/>
      <c r="Q198" s="21">
        <f t="shared" si="40"/>
        <v>1</v>
      </c>
      <c r="R198" s="21">
        <f t="shared" si="41"/>
        <v>162430</v>
      </c>
      <c r="S198" s="306">
        <f t="shared" si="42"/>
        <v>530</v>
      </c>
    </row>
    <row r="199" spans="1:19">
      <c r="A199" s="3180">
        <f>面积!B854</f>
        <v>-1178</v>
      </c>
      <c r="B199" s="3181">
        <f>面积!C854</f>
        <v>32.61</v>
      </c>
      <c r="C199" s="21">
        <f t="shared" si="33"/>
        <v>1</v>
      </c>
      <c r="D199" s="632"/>
      <c r="E199" s="21">
        <f t="shared" si="34"/>
        <v>1</v>
      </c>
      <c r="F199" s="632"/>
      <c r="G199" s="21">
        <f t="shared" si="35"/>
        <v>1</v>
      </c>
      <c r="H199" s="632"/>
      <c r="I199" s="21">
        <f t="shared" si="36"/>
        <v>1</v>
      </c>
      <c r="J199" s="632"/>
      <c r="K199" s="21">
        <f t="shared" si="37"/>
        <v>1</v>
      </c>
      <c r="L199" s="632"/>
      <c r="M199" s="21">
        <f t="shared" si="38"/>
        <v>1</v>
      </c>
      <c r="N199" s="632"/>
      <c r="O199" s="21">
        <f t="shared" si="39"/>
        <v>1</v>
      </c>
      <c r="P199" s="632"/>
      <c r="Q199" s="21">
        <f t="shared" si="40"/>
        <v>1</v>
      </c>
      <c r="R199" s="21">
        <f t="shared" si="41"/>
        <v>162430</v>
      </c>
      <c r="S199" s="306">
        <f t="shared" si="42"/>
        <v>530</v>
      </c>
    </row>
    <row r="200" spans="1:19">
      <c r="A200" s="3180">
        <f>面积!B855</f>
        <v>-1179</v>
      </c>
      <c r="B200" s="3181">
        <f>面积!C855</f>
        <v>32.61</v>
      </c>
      <c r="C200" s="21">
        <f t="shared" si="33"/>
        <v>1</v>
      </c>
      <c r="D200" s="632"/>
      <c r="E200" s="21">
        <f t="shared" si="34"/>
        <v>1</v>
      </c>
      <c r="F200" s="632"/>
      <c r="G200" s="21">
        <f t="shared" si="35"/>
        <v>1</v>
      </c>
      <c r="H200" s="632"/>
      <c r="I200" s="21">
        <f t="shared" si="36"/>
        <v>1</v>
      </c>
      <c r="J200" s="632"/>
      <c r="K200" s="21">
        <f t="shared" si="37"/>
        <v>1</v>
      </c>
      <c r="L200" s="632"/>
      <c r="M200" s="21">
        <f t="shared" si="38"/>
        <v>1</v>
      </c>
      <c r="N200" s="632"/>
      <c r="O200" s="21">
        <f t="shared" si="39"/>
        <v>1</v>
      </c>
      <c r="P200" s="632"/>
      <c r="Q200" s="21">
        <f t="shared" si="40"/>
        <v>1</v>
      </c>
      <c r="R200" s="21">
        <f t="shared" si="41"/>
        <v>162430</v>
      </c>
      <c r="S200" s="306">
        <f t="shared" si="42"/>
        <v>530</v>
      </c>
    </row>
    <row r="201" spans="1:19">
      <c r="A201" s="3180">
        <f>面积!B856</f>
        <v>-1180</v>
      </c>
      <c r="B201" s="3181">
        <f>面积!C856</f>
        <v>32.61</v>
      </c>
      <c r="C201" s="21">
        <f t="shared" si="33"/>
        <v>1</v>
      </c>
      <c r="D201" s="632"/>
      <c r="E201" s="21">
        <f t="shared" si="34"/>
        <v>1</v>
      </c>
      <c r="F201" s="632"/>
      <c r="G201" s="21">
        <f t="shared" si="35"/>
        <v>1</v>
      </c>
      <c r="H201" s="632"/>
      <c r="I201" s="21">
        <f t="shared" si="36"/>
        <v>1</v>
      </c>
      <c r="J201" s="632"/>
      <c r="K201" s="21">
        <f t="shared" si="37"/>
        <v>1</v>
      </c>
      <c r="L201" s="632"/>
      <c r="M201" s="21">
        <f t="shared" si="38"/>
        <v>1</v>
      </c>
      <c r="N201" s="632"/>
      <c r="O201" s="21">
        <f t="shared" si="39"/>
        <v>1</v>
      </c>
      <c r="P201" s="632"/>
      <c r="Q201" s="21">
        <f t="shared" si="40"/>
        <v>1</v>
      </c>
      <c r="R201" s="21">
        <f t="shared" si="41"/>
        <v>162430</v>
      </c>
      <c r="S201" s="306">
        <f t="shared" si="42"/>
        <v>530</v>
      </c>
    </row>
    <row r="202" spans="1:19">
      <c r="A202" s="3180">
        <f>面积!B857</f>
        <v>-1181</v>
      </c>
      <c r="B202" s="3181">
        <f>面积!C857</f>
        <v>32.61</v>
      </c>
      <c r="C202" s="21">
        <f t="shared" si="33"/>
        <v>1</v>
      </c>
      <c r="D202" s="632"/>
      <c r="E202" s="21">
        <f t="shared" si="34"/>
        <v>1</v>
      </c>
      <c r="F202" s="632"/>
      <c r="G202" s="21">
        <f t="shared" si="35"/>
        <v>1</v>
      </c>
      <c r="H202" s="632"/>
      <c r="I202" s="21">
        <f t="shared" si="36"/>
        <v>1</v>
      </c>
      <c r="J202" s="632"/>
      <c r="K202" s="21">
        <f t="shared" si="37"/>
        <v>1</v>
      </c>
      <c r="L202" s="632"/>
      <c r="M202" s="21">
        <f t="shared" si="38"/>
        <v>1</v>
      </c>
      <c r="N202" s="632"/>
      <c r="O202" s="21">
        <f t="shared" si="39"/>
        <v>1</v>
      </c>
      <c r="P202" s="632"/>
      <c r="Q202" s="21">
        <f t="shared" si="40"/>
        <v>1</v>
      </c>
      <c r="R202" s="21">
        <f t="shared" si="41"/>
        <v>162430</v>
      </c>
      <c r="S202" s="306">
        <f t="shared" si="42"/>
        <v>530</v>
      </c>
    </row>
    <row r="203" spans="1:19">
      <c r="A203" s="3180">
        <f>面积!B858</f>
        <v>-1182</v>
      </c>
      <c r="B203" s="3181">
        <f>面积!C858</f>
        <v>32.61</v>
      </c>
      <c r="C203" s="21">
        <f t="shared" si="33"/>
        <v>1</v>
      </c>
      <c r="D203" s="632"/>
      <c r="E203" s="21">
        <f t="shared" si="34"/>
        <v>1</v>
      </c>
      <c r="F203" s="632"/>
      <c r="G203" s="21">
        <f t="shared" si="35"/>
        <v>1</v>
      </c>
      <c r="H203" s="632"/>
      <c r="I203" s="21">
        <f t="shared" si="36"/>
        <v>1</v>
      </c>
      <c r="J203" s="632"/>
      <c r="K203" s="21">
        <f t="shared" si="37"/>
        <v>1</v>
      </c>
      <c r="L203" s="632"/>
      <c r="M203" s="21">
        <f t="shared" si="38"/>
        <v>1</v>
      </c>
      <c r="N203" s="632"/>
      <c r="O203" s="21">
        <f t="shared" si="39"/>
        <v>1</v>
      </c>
      <c r="P203" s="632"/>
      <c r="Q203" s="21">
        <f t="shared" si="40"/>
        <v>1</v>
      </c>
      <c r="R203" s="21">
        <f t="shared" si="41"/>
        <v>162430</v>
      </c>
      <c r="S203" s="306">
        <f t="shared" si="42"/>
        <v>530</v>
      </c>
    </row>
    <row r="204" spans="1:19">
      <c r="A204" s="3180">
        <f>面积!B859</f>
        <v>-1183</v>
      </c>
      <c r="B204" s="3181">
        <f>面积!C859</f>
        <v>32.61</v>
      </c>
      <c r="C204" s="21">
        <f t="shared" si="33"/>
        <v>1</v>
      </c>
      <c r="D204" s="632"/>
      <c r="E204" s="21">
        <f t="shared" si="34"/>
        <v>1</v>
      </c>
      <c r="F204" s="632"/>
      <c r="G204" s="21">
        <f t="shared" si="35"/>
        <v>1</v>
      </c>
      <c r="H204" s="632"/>
      <c r="I204" s="21">
        <f t="shared" si="36"/>
        <v>1</v>
      </c>
      <c r="J204" s="632"/>
      <c r="K204" s="21">
        <f t="shared" si="37"/>
        <v>1</v>
      </c>
      <c r="L204" s="632"/>
      <c r="M204" s="21">
        <f t="shared" si="38"/>
        <v>1</v>
      </c>
      <c r="N204" s="632"/>
      <c r="O204" s="21">
        <f t="shared" si="39"/>
        <v>1</v>
      </c>
      <c r="P204" s="632"/>
      <c r="Q204" s="21">
        <f t="shared" si="40"/>
        <v>1</v>
      </c>
      <c r="R204" s="21">
        <f t="shared" si="41"/>
        <v>162430</v>
      </c>
      <c r="S204" s="306">
        <f t="shared" si="42"/>
        <v>530</v>
      </c>
    </row>
    <row r="205" spans="1:19">
      <c r="A205" s="3180">
        <f>面积!B860</f>
        <v>-1184</v>
      </c>
      <c r="B205" s="3181">
        <f>面积!C860</f>
        <v>32.61</v>
      </c>
      <c r="C205" s="21">
        <f t="shared" si="33"/>
        <v>1</v>
      </c>
      <c r="D205" s="632"/>
      <c r="E205" s="21">
        <f t="shared" si="34"/>
        <v>1</v>
      </c>
      <c r="F205" s="632"/>
      <c r="G205" s="21">
        <f t="shared" si="35"/>
        <v>1</v>
      </c>
      <c r="H205" s="632"/>
      <c r="I205" s="21">
        <f t="shared" si="36"/>
        <v>1</v>
      </c>
      <c r="J205" s="632"/>
      <c r="K205" s="21">
        <f t="shared" si="37"/>
        <v>1</v>
      </c>
      <c r="L205" s="632"/>
      <c r="M205" s="21">
        <f t="shared" si="38"/>
        <v>1</v>
      </c>
      <c r="N205" s="632"/>
      <c r="O205" s="21">
        <f t="shared" si="39"/>
        <v>1</v>
      </c>
      <c r="P205" s="632"/>
      <c r="Q205" s="21">
        <f t="shared" si="40"/>
        <v>1</v>
      </c>
      <c r="R205" s="21">
        <f t="shared" si="41"/>
        <v>162430</v>
      </c>
      <c r="S205" s="306">
        <f t="shared" si="42"/>
        <v>530</v>
      </c>
    </row>
    <row r="206" spans="1:19">
      <c r="A206" s="3180">
        <f>面积!B861</f>
        <v>-1185</v>
      </c>
      <c r="B206" s="3181">
        <f>面积!C861</f>
        <v>32.61</v>
      </c>
      <c r="C206" s="21">
        <f t="shared" si="33"/>
        <v>1</v>
      </c>
      <c r="D206" s="632"/>
      <c r="E206" s="21">
        <f t="shared" si="34"/>
        <v>1</v>
      </c>
      <c r="F206" s="632"/>
      <c r="G206" s="21">
        <f t="shared" si="35"/>
        <v>1</v>
      </c>
      <c r="H206" s="632"/>
      <c r="I206" s="21">
        <f t="shared" si="36"/>
        <v>1</v>
      </c>
      <c r="J206" s="632"/>
      <c r="K206" s="21">
        <f t="shared" si="37"/>
        <v>1</v>
      </c>
      <c r="L206" s="632"/>
      <c r="M206" s="21">
        <f t="shared" si="38"/>
        <v>1</v>
      </c>
      <c r="N206" s="632"/>
      <c r="O206" s="21">
        <f t="shared" si="39"/>
        <v>1</v>
      </c>
      <c r="P206" s="632"/>
      <c r="Q206" s="21">
        <f t="shared" si="40"/>
        <v>1</v>
      </c>
      <c r="R206" s="21">
        <f t="shared" si="41"/>
        <v>162430</v>
      </c>
      <c r="S206" s="306">
        <f t="shared" si="42"/>
        <v>530</v>
      </c>
    </row>
    <row r="207" spans="1:19">
      <c r="A207" s="3180">
        <f>面积!B862</f>
        <v>-1186</v>
      </c>
      <c r="B207" s="3181">
        <f>面积!C862</f>
        <v>32.61</v>
      </c>
      <c r="C207" s="21">
        <f t="shared" si="33"/>
        <v>1</v>
      </c>
      <c r="D207" s="632"/>
      <c r="E207" s="21">
        <f t="shared" si="34"/>
        <v>1</v>
      </c>
      <c r="F207" s="632"/>
      <c r="G207" s="21">
        <f t="shared" si="35"/>
        <v>1</v>
      </c>
      <c r="H207" s="632"/>
      <c r="I207" s="21">
        <f t="shared" si="36"/>
        <v>1</v>
      </c>
      <c r="J207" s="632"/>
      <c r="K207" s="21">
        <f t="shared" si="37"/>
        <v>1</v>
      </c>
      <c r="L207" s="632"/>
      <c r="M207" s="21">
        <f t="shared" si="38"/>
        <v>1</v>
      </c>
      <c r="N207" s="632"/>
      <c r="O207" s="21">
        <f t="shared" si="39"/>
        <v>1</v>
      </c>
      <c r="P207" s="632"/>
      <c r="Q207" s="21">
        <f t="shared" si="40"/>
        <v>1</v>
      </c>
      <c r="R207" s="21">
        <f t="shared" si="41"/>
        <v>162430</v>
      </c>
      <c r="S207" s="306">
        <f t="shared" si="42"/>
        <v>530</v>
      </c>
    </row>
    <row r="208" spans="1:19">
      <c r="A208" s="3180">
        <f>面积!B863</f>
        <v>-1187</v>
      </c>
      <c r="B208" s="3181">
        <f>面积!C863</f>
        <v>32.61</v>
      </c>
      <c r="C208" s="21">
        <f t="shared" si="33"/>
        <v>1</v>
      </c>
      <c r="D208" s="632"/>
      <c r="E208" s="21">
        <f t="shared" si="34"/>
        <v>1</v>
      </c>
      <c r="F208" s="632"/>
      <c r="G208" s="21">
        <f t="shared" si="35"/>
        <v>1</v>
      </c>
      <c r="H208" s="632"/>
      <c r="I208" s="21">
        <f t="shared" si="36"/>
        <v>1</v>
      </c>
      <c r="J208" s="632"/>
      <c r="K208" s="21">
        <f t="shared" si="37"/>
        <v>1</v>
      </c>
      <c r="L208" s="632"/>
      <c r="M208" s="21">
        <f t="shared" si="38"/>
        <v>1</v>
      </c>
      <c r="N208" s="632"/>
      <c r="O208" s="21">
        <f t="shared" si="39"/>
        <v>1</v>
      </c>
      <c r="P208" s="632"/>
      <c r="Q208" s="21">
        <f t="shared" si="40"/>
        <v>1</v>
      </c>
      <c r="R208" s="21">
        <f t="shared" si="41"/>
        <v>162430</v>
      </c>
      <c r="S208" s="306">
        <f t="shared" si="42"/>
        <v>530</v>
      </c>
    </row>
    <row r="209" spans="1:19">
      <c r="A209" s="3180">
        <f>面积!B864</f>
        <v>-1188</v>
      </c>
      <c r="B209" s="3181">
        <f>面积!C864</f>
        <v>32.61</v>
      </c>
      <c r="C209" s="21">
        <f t="shared" si="33"/>
        <v>1</v>
      </c>
      <c r="D209" s="632"/>
      <c r="E209" s="21">
        <f t="shared" si="34"/>
        <v>1</v>
      </c>
      <c r="F209" s="632"/>
      <c r="G209" s="21">
        <f t="shared" si="35"/>
        <v>1</v>
      </c>
      <c r="H209" s="632"/>
      <c r="I209" s="21">
        <f t="shared" si="36"/>
        <v>1</v>
      </c>
      <c r="J209" s="632"/>
      <c r="K209" s="21">
        <f t="shared" si="37"/>
        <v>1</v>
      </c>
      <c r="L209" s="632"/>
      <c r="M209" s="21">
        <f t="shared" si="38"/>
        <v>1</v>
      </c>
      <c r="N209" s="632"/>
      <c r="O209" s="21">
        <f t="shared" si="39"/>
        <v>1</v>
      </c>
      <c r="P209" s="632"/>
      <c r="Q209" s="21">
        <f t="shared" si="40"/>
        <v>1</v>
      </c>
      <c r="R209" s="21">
        <f t="shared" si="41"/>
        <v>162430</v>
      </c>
      <c r="S209" s="306">
        <f t="shared" si="42"/>
        <v>530</v>
      </c>
    </row>
    <row r="210" spans="1:19">
      <c r="A210" s="3180">
        <f>面积!B865</f>
        <v>-1189</v>
      </c>
      <c r="B210" s="3181">
        <f>面积!C865</f>
        <v>32.61</v>
      </c>
      <c r="C210" s="21">
        <f t="shared" si="33"/>
        <v>1</v>
      </c>
      <c r="D210" s="632"/>
      <c r="E210" s="21">
        <f t="shared" si="34"/>
        <v>1</v>
      </c>
      <c r="F210" s="632"/>
      <c r="G210" s="21">
        <f t="shared" si="35"/>
        <v>1</v>
      </c>
      <c r="H210" s="632"/>
      <c r="I210" s="21">
        <f t="shared" si="36"/>
        <v>1</v>
      </c>
      <c r="J210" s="632"/>
      <c r="K210" s="21">
        <f t="shared" si="37"/>
        <v>1</v>
      </c>
      <c r="L210" s="632"/>
      <c r="M210" s="21">
        <f t="shared" si="38"/>
        <v>1</v>
      </c>
      <c r="N210" s="632"/>
      <c r="O210" s="21">
        <f t="shared" si="39"/>
        <v>1</v>
      </c>
      <c r="P210" s="632"/>
      <c r="Q210" s="21">
        <f t="shared" si="40"/>
        <v>1</v>
      </c>
      <c r="R210" s="21">
        <f t="shared" si="41"/>
        <v>162430</v>
      </c>
      <c r="S210" s="306">
        <f t="shared" si="42"/>
        <v>530</v>
      </c>
    </row>
    <row r="211" spans="1:19">
      <c r="A211" s="3180">
        <f>面积!B866</f>
        <v>-1190</v>
      </c>
      <c r="B211" s="3181">
        <f>面积!C866</f>
        <v>32.61</v>
      </c>
      <c r="C211" s="21">
        <f t="shared" si="33"/>
        <v>1</v>
      </c>
      <c r="D211" s="632"/>
      <c r="E211" s="21">
        <f t="shared" si="34"/>
        <v>1</v>
      </c>
      <c r="F211" s="632"/>
      <c r="G211" s="21">
        <f t="shared" si="35"/>
        <v>1</v>
      </c>
      <c r="H211" s="632"/>
      <c r="I211" s="21">
        <f t="shared" si="36"/>
        <v>1</v>
      </c>
      <c r="J211" s="632"/>
      <c r="K211" s="21">
        <f t="shared" si="37"/>
        <v>1</v>
      </c>
      <c r="L211" s="632"/>
      <c r="M211" s="21">
        <f t="shared" si="38"/>
        <v>1</v>
      </c>
      <c r="N211" s="632"/>
      <c r="O211" s="21">
        <f t="shared" si="39"/>
        <v>1</v>
      </c>
      <c r="P211" s="632"/>
      <c r="Q211" s="21">
        <f t="shared" si="40"/>
        <v>1</v>
      </c>
      <c r="R211" s="21">
        <f t="shared" si="41"/>
        <v>162430</v>
      </c>
      <c r="S211" s="306">
        <f t="shared" si="42"/>
        <v>530</v>
      </c>
    </row>
    <row r="212" spans="1:19">
      <c r="A212" s="3180">
        <f>面积!B867</f>
        <v>-1191</v>
      </c>
      <c r="B212" s="3181">
        <f>面积!C867</f>
        <v>32.61</v>
      </c>
      <c r="C212" s="21">
        <f t="shared" si="33"/>
        <v>1</v>
      </c>
      <c r="D212" s="632"/>
      <c r="E212" s="21">
        <f t="shared" si="34"/>
        <v>1</v>
      </c>
      <c r="F212" s="632"/>
      <c r="G212" s="21">
        <f t="shared" si="35"/>
        <v>1</v>
      </c>
      <c r="H212" s="632"/>
      <c r="I212" s="21">
        <f t="shared" si="36"/>
        <v>1</v>
      </c>
      <c r="J212" s="632"/>
      <c r="K212" s="21">
        <f t="shared" si="37"/>
        <v>1</v>
      </c>
      <c r="L212" s="632"/>
      <c r="M212" s="21">
        <f t="shared" si="38"/>
        <v>1</v>
      </c>
      <c r="N212" s="632"/>
      <c r="O212" s="21">
        <f t="shared" si="39"/>
        <v>1</v>
      </c>
      <c r="P212" s="632"/>
      <c r="Q212" s="21">
        <f t="shared" si="40"/>
        <v>1</v>
      </c>
      <c r="R212" s="21">
        <f t="shared" si="41"/>
        <v>162430</v>
      </c>
      <c r="S212" s="306">
        <f t="shared" si="42"/>
        <v>530</v>
      </c>
    </row>
    <row r="213" spans="1:19">
      <c r="A213" s="3180">
        <f>面积!B868</f>
        <v>-1192</v>
      </c>
      <c r="B213" s="3181">
        <f>面积!C868</f>
        <v>32.61</v>
      </c>
      <c r="C213" s="21">
        <f t="shared" si="33"/>
        <v>1</v>
      </c>
      <c r="D213" s="632"/>
      <c r="E213" s="21">
        <f t="shared" si="34"/>
        <v>1</v>
      </c>
      <c r="F213" s="632"/>
      <c r="G213" s="21">
        <f t="shared" si="35"/>
        <v>1</v>
      </c>
      <c r="H213" s="632"/>
      <c r="I213" s="21">
        <f t="shared" si="36"/>
        <v>1</v>
      </c>
      <c r="J213" s="632"/>
      <c r="K213" s="21">
        <f t="shared" si="37"/>
        <v>1</v>
      </c>
      <c r="L213" s="632"/>
      <c r="M213" s="21">
        <f t="shared" si="38"/>
        <v>1</v>
      </c>
      <c r="N213" s="632"/>
      <c r="O213" s="21">
        <f t="shared" si="39"/>
        <v>1</v>
      </c>
      <c r="P213" s="632"/>
      <c r="Q213" s="21">
        <f t="shared" si="40"/>
        <v>1</v>
      </c>
      <c r="R213" s="21">
        <f t="shared" si="41"/>
        <v>162430</v>
      </c>
      <c r="S213" s="306">
        <f t="shared" si="42"/>
        <v>530</v>
      </c>
    </row>
    <row r="214" spans="1:19">
      <c r="A214" s="3180">
        <f>面积!B869</f>
        <v>-1193</v>
      </c>
      <c r="B214" s="3181">
        <f>面积!C869</f>
        <v>32.61</v>
      </c>
      <c r="C214" s="21">
        <f t="shared" si="33"/>
        <v>1</v>
      </c>
      <c r="D214" s="632"/>
      <c r="E214" s="21">
        <f t="shared" si="34"/>
        <v>1</v>
      </c>
      <c r="F214" s="632"/>
      <c r="G214" s="21">
        <f t="shared" si="35"/>
        <v>1</v>
      </c>
      <c r="H214" s="632"/>
      <c r="I214" s="21">
        <f t="shared" si="36"/>
        <v>1</v>
      </c>
      <c r="J214" s="632"/>
      <c r="K214" s="21">
        <f t="shared" si="37"/>
        <v>1</v>
      </c>
      <c r="L214" s="632"/>
      <c r="M214" s="21">
        <f t="shared" si="38"/>
        <v>1</v>
      </c>
      <c r="N214" s="632"/>
      <c r="O214" s="21">
        <f t="shared" si="39"/>
        <v>1</v>
      </c>
      <c r="P214" s="632"/>
      <c r="Q214" s="21">
        <f t="shared" si="40"/>
        <v>1</v>
      </c>
      <c r="R214" s="21">
        <f t="shared" si="41"/>
        <v>162430</v>
      </c>
      <c r="S214" s="306">
        <f t="shared" si="42"/>
        <v>530</v>
      </c>
    </row>
    <row r="215" spans="1:19">
      <c r="A215" s="3180">
        <f>面积!B870</f>
        <v>-1194</v>
      </c>
      <c r="B215" s="3181">
        <f>面积!C870</f>
        <v>32.61</v>
      </c>
      <c r="C215" s="21">
        <f t="shared" si="33"/>
        <v>1</v>
      </c>
      <c r="D215" s="632"/>
      <c r="E215" s="21">
        <f t="shared" si="34"/>
        <v>1</v>
      </c>
      <c r="F215" s="632"/>
      <c r="G215" s="21">
        <f t="shared" si="35"/>
        <v>1</v>
      </c>
      <c r="H215" s="632"/>
      <c r="I215" s="21">
        <f t="shared" si="36"/>
        <v>1</v>
      </c>
      <c r="J215" s="632"/>
      <c r="K215" s="21">
        <f t="shared" si="37"/>
        <v>1</v>
      </c>
      <c r="L215" s="632"/>
      <c r="M215" s="21">
        <f t="shared" si="38"/>
        <v>1</v>
      </c>
      <c r="N215" s="632"/>
      <c r="O215" s="21">
        <f t="shared" si="39"/>
        <v>1</v>
      </c>
      <c r="P215" s="632"/>
      <c r="Q215" s="21">
        <f t="shared" si="40"/>
        <v>1</v>
      </c>
      <c r="R215" s="21">
        <f t="shared" si="41"/>
        <v>162430</v>
      </c>
      <c r="S215" s="306">
        <f t="shared" si="42"/>
        <v>530</v>
      </c>
    </row>
    <row r="216" spans="1:19">
      <c r="A216" s="3180">
        <f>面积!B871</f>
        <v>-1195</v>
      </c>
      <c r="B216" s="3181">
        <f>面积!C871</f>
        <v>32.61</v>
      </c>
      <c r="C216" s="21">
        <f t="shared" si="33"/>
        <v>1</v>
      </c>
      <c r="D216" s="632"/>
      <c r="E216" s="21">
        <f t="shared" si="34"/>
        <v>1</v>
      </c>
      <c r="F216" s="632"/>
      <c r="G216" s="21">
        <f t="shared" si="35"/>
        <v>1</v>
      </c>
      <c r="H216" s="632"/>
      <c r="I216" s="21">
        <f t="shared" si="36"/>
        <v>1</v>
      </c>
      <c r="J216" s="632"/>
      <c r="K216" s="21">
        <f t="shared" si="37"/>
        <v>1</v>
      </c>
      <c r="L216" s="632"/>
      <c r="M216" s="21">
        <f t="shared" si="38"/>
        <v>1</v>
      </c>
      <c r="N216" s="632"/>
      <c r="O216" s="21">
        <f t="shared" si="39"/>
        <v>1</v>
      </c>
      <c r="P216" s="632"/>
      <c r="Q216" s="21">
        <f t="shared" si="40"/>
        <v>1</v>
      </c>
      <c r="R216" s="21">
        <f t="shared" si="41"/>
        <v>162430</v>
      </c>
      <c r="S216" s="306">
        <f t="shared" si="42"/>
        <v>530</v>
      </c>
    </row>
    <row r="217" spans="1:19">
      <c r="A217" s="3180">
        <f>面积!B872</f>
        <v>-1196</v>
      </c>
      <c r="B217" s="3181">
        <f>面积!C872</f>
        <v>32.61</v>
      </c>
      <c r="C217" s="21">
        <f t="shared" si="33"/>
        <v>1</v>
      </c>
      <c r="D217" s="632"/>
      <c r="E217" s="21">
        <f t="shared" si="34"/>
        <v>1</v>
      </c>
      <c r="F217" s="632"/>
      <c r="G217" s="21">
        <f t="shared" si="35"/>
        <v>1</v>
      </c>
      <c r="H217" s="632"/>
      <c r="I217" s="21">
        <f t="shared" si="36"/>
        <v>1</v>
      </c>
      <c r="J217" s="632"/>
      <c r="K217" s="21">
        <f t="shared" si="37"/>
        <v>1</v>
      </c>
      <c r="L217" s="632"/>
      <c r="M217" s="21">
        <f t="shared" si="38"/>
        <v>1</v>
      </c>
      <c r="N217" s="632"/>
      <c r="O217" s="21">
        <f t="shared" si="39"/>
        <v>1</v>
      </c>
      <c r="P217" s="632"/>
      <c r="Q217" s="21">
        <f t="shared" si="40"/>
        <v>1</v>
      </c>
      <c r="R217" s="21">
        <f t="shared" si="41"/>
        <v>162430</v>
      </c>
      <c r="S217" s="306">
        <f t="shared" si="42"/>
        <v>530</v>
      </c>
    </row>
    <row r="218" spans="1:19">
      <c r="A218" s="3180">
        <f>面积!B873</f>
        <v>-1197</v>
      </c>
      <c r="B218" s="3181">
        <f>面积!C873</f>
        <v>32.61</v>
      </c>
      <c r="C218" s="21">
        <f t="shared" ref="C218:C281" si="43">IF(B218="",1,(LOOKUP(B218,$3:$3,$4:$4)-LOOKUP($B$24,$3:$3,$4:$4)+100)/100)</f>
        <v>1</v>
      </c>
      <c r="D218" s="632"/>
      <c r="E218" s="21">
        <f t="shared" ref="E218:E281" si="44">(SUMIF($5:$5,D218,$6:$6)-SUMIF($5:$5,$D$24,$6:$6)+100)/100</f>
        <v>1</v>
      </c>
      <c r="F218" s="632"/>
      <c r="G218" s="21">
        <f t="shared" ref="G218:G281" si="45">(SUMIF($7:$7,F218,$8:$8)-SUMIF($7:$7,$F$24,$8:$8)+100)/100</f>
        <v>1</v>
      </c>
      <c r="H218" s="632"/>
      <c r="I218" s="21">
        <f t="shared" ref="I218:I281" si="46">(SUMIF($9:$9,H218,$10:$10)-SUMIF($9:$9,$H$24,$10:$10)+100)/100</f>
        <v>1</v>
      </c>
      <c r="J218" s="632"/>
      <c r="K218" s="21">
        <f t="shared" ref="K218:K281" si="47">(SUMIF($11:$11,J218,$12:$12)-SUMIF($11:$11,$J$24,$12:$12)+100)/100</f>
        <v>1</v>
      </c>
      <c r="L218" s="632"/>
      <c r="M218" s="21">
        <f t="shared" ref="M218:M281" si="48">(SUMIF($13:$13,L218,$14:$14)-SUMIF($13:$13,$L$24,$14:$14)+100)/100</f>
        <v>1</v>
      </c>
      <c r="N218" s="632"/>
      <c r="O218" s="21">
        <f t="shared" ref="O218:O281" si="49">(SUMIF($15:$15,N218,$16:$16)-SUMIF($15:$15,$N$24,$16:$16)+100)/100</f>
        <v>1</v>
      </c>
      <c r="P218" s="632"/>
      <c r="Q218" s="21">
        <f t="shared" ref="Q218:Q281" si="50">(SUMIF($17:$17,P218,$18:$18)-SUMIF($17:$17,$P$24,$18:$18)+100)/100</f>
        <v>1</v>
      </c>
      <c r="R218" s="21">
        <f t="shared" ref="R218:R281" si="51">IF(B218="",0,ROUND($R$24*C218*E218*G218*I218*K218*M218*O218*Q218,0))</f>
        <v>162430</v>
      </c>
      <c r="S218" s="306">
        <f t="shared" si="42"/>
        <v>530</v>
      </c>
    </row>
    <row r="219" spans="1:19">
      <c r="A219" s="3180">
        <f>面积!B874</f>
        <v>-1198</v>
      </c>
      <c r="B219" s="3181">
        <f>面积!C874</f>
        <v>32.61</v>
      </c>
      <c r="C219" s="21">
        <f t="shared" si="43"/>
        <v>1</v>
      </c>
      <c r="D219" s="632"/>
      <c r="E219" s="21">
        <f t="shared" si="44"/>
        <v>1</v>
      </c>
      <c r="F219" s="632"/>
      <c r="G219" s="21">
        <f t="shared" si="45"/>
        <v>1</v>
      </c>
      <c r="H219" s="632"/>
      <c r="I219" s="21">
        <f t="shared" si="46"/>
        <v>1</v>
      </c>
      <c r="J219" s="632"/>
      <c r="K219" s="21">
        <f t="shared" si="47"/>
        <v>1</v>
      </c>
      <c r="L219" s="632"/>
      <c r="M219" s="21">
        <f t="shared" si="48"/>
        <v>1</v>
      </c>
      <c r="N219" s="632"/>
      <c r="O219" s="21">
        <f t="shared" si="49"/>
        <v>1</v>
      </c>
      <c r="P219" s="632"/>
      <c r="Q219" s="21">
        <f t="shared" si="50"/>
        <v>1</v>
      </c>
      <c r="R219" s="21">
        <f t="shared" si="51"/>
        <v>162430</v>
      </c>
      <c r="S219" s="306">
        <f t="shared" si="42"/>
        <v>530</v>
      </c>
    </row>
    <row r="220" spans="1:19">
      <c r="A220" s="3180">
        <f>面积!B875</f>
        <v>-1199</v>
      </c>
      <c r="B220" s="3181">
        <f>面积!C875</f>
        <v>32.61</v>
      </c>
      <c r="C220" s="21">
        <f t="shared" si="43"/>
        <v>1</v>
      </c>
      <c r="D220" s="632"/>
      <c r="E220" s="21">
        <f t="shared" si="44"/>
        <v>1</v>
      </c>
      <c r="F220" s="632"/>
      <c r="G220" s="21">
        <f t="shared" si="45"/>
        <v>1</v>
      </c>
      <c r="H220" s="632"/>
      <c r="I220" s="21">
        <f t="shared" si="46"/>
        <v>1</v>
      </c>
      <c r="J220" s="632"/>
      <c r="K220" s="21">
        <f t="shared" si="47"/>
        <v>1</v>
      </c>
      <c r="L220" s="632"/>
      <c r="M220" s="21">
        <f t="shared" si="48"/>
        <v>1</v>
      </c>
      <c r="N220" s="632"/>
      <c r="O220" s="21">
        <f t="shared" si="49"/>
        <v>1</v>
      </c>
      <c r="P220" s="632"/>
      <c r="Q220" s="21">
        <f t="shared" si="50"/>
        <v>1</v>
      </c>
      <c r="R220" s="21">
        <f t="shared" si="51"/>
        <v>162430</v>
      </c>
      <c r="S220" s="306">
        <f t="shared" si="42"/>
        <v>530</v>
      </c>
    </row>
    <row r="221" spans="1:19">
      <c r="A221" s="3180">
        <f>面积!B876</f>
        <v>-1200</v>
      </c>
      <c r="B221" s="3181">
        <f>面积!C876</f>
        <v>32.61</v>
      </c>
      <c r="C221" s="21">
        <f t="shared" si="43"/>
        <v>1</v>
      </c>
      <c r="D221" s="632"/>
      <c r="E221" s="21">
        <f t="shared" si="44"/>
        <v>1</v>
      </c>
      <c r="F221" s="632"/>
      <c r="G221" s="21">
        <f t="shared" si="45"/>
        <v>1</v>
      </c>
      <c r="H221" s="632"/>
      <c r="I221" s="21">
        <f t="shared" si="46"/>
        <v>1</v>
      </c>
      <c r="J221" s="632"/>
      <c r="K221" s="21">
        <f t="shared" si="47"/>
        <v>1</v>
      </c>
      <c r="L221" s="632"/>
      <c r="M221" s="21">
        <f t="shared" si="48"/>
        <v>1</v>
      </c>
      <c r="N221" s="632"/>
      <c r="O221" s="21">
        <f t="shared" si="49"/>
        <v>1</v>
      </c>
      <c r="P221" s="632"/>
      <c r="Q221" s="21">
        <f t="shared" si="50"/>
        <v>1</v>
      </c>
      <c r="R221" s="21">
        <f t="shared" si="51"/>
        <v>162430</v>
      </c>
      <c r="S221" s="306">
        <f t="shared" si="42"/>
        <v>530</v>
      </c>
    </row>
    <row r="222" spans="1:19">
      <c r="A222" s="3180">
        <f>面积!B877</f>
        <v>-1201</v>
      </c>
      <c r="B222" s="3181">
        <f>面积!C877</f>
        <v>32.61</v>
      </c>
      <c r="C222" s="21">
        <f t="shared" si="43"/>
        <v>1</v>
      </c>
      <c r="D222" s="632"/>
      <c r="E222" s="21">
        <f t="shared" si="44"/>
        <v>1</v>
      </c>
      <c r="F222" s="632"/>
      <c r="G222" s="21">
        <f t="shared" si="45"/>
        <v>1</v>
      </c>
      <c r="H222" s="632"/>
      <c r="I222" s="21">
        <f t="shared" si="46"/>
        <v>1</v>
      </c>
      <c r="J222" s="632"/>
      <c r="K222" s="21">
        <f t="shared" si="47"/>
        <v>1</v>
      </c>
      <c r="L222" s="632"/>
      <c r="M222" s="21">
        <f t="shared" si="48"/>
        <v>1</v>
      </c>
      <c r="N222" s="632"/>
      <c r="O222" s="21">
        <f t="shared" si="49"/>
        <v>1</v>
      </c>
      <c r="P222" s="632"/>
      <c r="Q222" s="21">
        <f t="shared" si="50"/>
        <v>1</v>
      </c>
      <c r="R222" s="21">
        <f t="shared" si="51"/>
        <v>162430</v>
      </c>
      <c r="S222" s="306">
        <f t="shared" si="42"/>
        <v>530</v>
      </c>
    </row>
    <row r="223" spans="1:19">
      <c r="A223" s="3180">
        <f>面积!B878</f>
        <v>-1202</v>
      </c>
      <c r="B223" s="3181">
        <f>面积!C878</f>
        <v>32.61</v>
      </c>
      <c r="C223" s="21">
        <f t="shared" si="43"/>
        <v>1</v>
      </c>
      <c r="D223" s="632"/>
      <c r="E223" s="21">
        <f t="shared" si="44"/>
        <v>1</v>
      </c>
      <c r="F223" s="632"/>
      <c r="G223" s="21">
        <f t="shared" si="45"/>
        <v>1</v>
      </c>
      <c r="H223" s="632"/>
      <c r="I223" s="21">
        <f t="shared" si="46"/>
        <v>1</v>
      </c>
      <c r="J223" s="632"/>
      <c r="K223" s="21">
        <f t="shared" si="47"/>
        <v>1</v>
      </c>
      <c r="L223" s="632"/>
      <c r="M223" s="21">
        <f t="shared" si="48"/>
        <v>1</v>
      </c>
      <c r="N223" s="632"/>
      <c r="O223" s="21">
        <f t="shared" si="49"/>
        <v>1</v>
      </c>
      <c r="P223" s="632"/>
      <c r="Q223" s="21">
        <f t="shared" si="50"/>
        <v>1</v>
      </c>
      <c r="R223" s="21">
        <f t="shared" si="51"/>
        <v>162430</v>
      </c>
      <c r="S223" s="306">
        <f t="shared" ref="S223:S286" si="52">ROUND(R223*B223/10000,0)</f>
        <v>530</v>
      </c>
    </row>
    <row r="224" spans="1:19">
      <c r="A224" s="3180">
        <f>面积!B879</f>
        <v>-1203</v>
      </c>
      <c r="B224" s="3181">
        <f>面积!C879</f>
        <v>32.61</v>
      </c>
      <c r="C224" s="21">
        <f t="shared" si="43"/>
        <v>1</v>
      </c>
      <c r="D224" s="632"/>
      <c r="E224" s="21">
        <f t="shared" si="44"/>
        <v>1</v>
      </c>
      <c r="F224" s="632"/>
      <c r="G224" s="21">
        <f t="shared" si="45"/>
        <v>1</v>
      </c>
      <c r="H224" s="632"/>
      <c r="I224" s="21">
        <f t="shared" si="46"/>
        <v>1</v>
      </c>
      <c r="J224" s="632"/>
      <c r="K224" s="21">
        <f t="shared" si="47"/>
        <v>1</v>
      </c>
      <c r="L224" s="632"/>
      <c r="M224" s="21">
        <f t="shared" si="48"/>
        <v>1</v>
      </c>
      <c r="N224" s="632"/>
      <c r="O224" s="21">
        <f t="shared" si="49"/>
        <v>1</v>
      </c>
      <c r="P224" s="632"/>
      <c r="Q224" s="21">
        <f t="shared" si="50"/>
        <v>1</v>
      </c>
      <c r="R224" s="21">
        <f t="shared" si="51"/>
        <v>162430</v>
      </c>
      <c r="S224" s="306">
        <f t="shared" si="52"/>
        <v>530</v>
      </c>
    </row>
    <row r="225" spans="1:19">
      <c r="A225" s="3180">
        <f>面积!B880</f>
        <v>-1204</v>
      </c>
      <c r="B225" s="3181">
        <f>面积!C880</f>
        <v>32.61</v>
      </c>
      <c r="C225" s="21">
        <f t="shared" si="43"/>
        <v>1</v>
      </c>
      <c r="D225" s="632"/>
      <c r="E225" s="21">
        <f t="shared" si="44"/>
        <v>1</v>
      </c>
      <c r="F225" s="632"/>
      <c r="G225" s="21">
        <f t="shared" si="45"/>
        <v>1</v>
      </c>
      <c r="H225" s="632"/>
      <c r="I225" s="21">
        <f t="shared" si="46"/>
        <v>1</v>
      </c>
      <c r="J225" s="632"/>
      <c r="K225" s="21">
        <f t="shared" si="47"/>
        <v>1</v>
      </c>
      <c r="L225" s="632"/>
      <c r="M225" s="21">
        <f t="shared" si="48"/>
        <v>1</v>
      </c>
      <c r="N225" s="632"/>
      <c r="O225" s="21">
        <f t="shared" si="49"/>
        <v>1</v>
      </c>
      <c r="P225" s="632"/>
      <c r="Q225" s="21">
        <f t="shared" si="50"/>
        <v>1</v>
      </c>
      <c r="R225" s="21">
        <f t="shared" si="51"/>
        <v>162430</v>
      </c>
      <c r="S225" s="306">
        <f t="shared" si="52"/>
        <v>530</v>
      </c>
    </row>
    <row r="226" spans="1:19">
      <c r="A226" s="3180">
        <f>面积!B881</f>
        <v>-1205</v>
      </c>
      <c r="B226" s="3181">
        <f>面积!C881</f>
        <v>32.61</v>
      </c>
      <c r="C226" s="21">
        <f t="shared" si="43"/>
        <v>1</v>
      </c>
      <c r="D226" s="632"/>
      <c r="E226" s="21">
        <f t="shared" si="44"/>
        <v>1</v>
      </c>
      <c r="F226" s="632"/>
      <c r="G226" s="21">
        <f t="shared" si="45"/>
        <v>1</v>
      </c>
      <c r="H226" s="632"/>
      <c r="I226" s="21">
        <f t="shared" si="46"/>
        <v>1</v>
      </c>
      <c r="J226" s="632"/>
      <c r="K226" s="21">
        <f t="shared" si="47"/>
        <v>1</v>
      </c>
      <c r="L226" s="632"/>
      <c r="M226" s="21">
        <f t="shared" si="48"/>
        <v>1</v>
      </c>
      <c r="N226" s="632"/>
      <c r="O226" s="21">
        <f t="shared" si="49"/>
        <v>1</v>
      </c>
      <c r="P226" s="632"/>
      <c r="Q226" s="21">
        <f t="shared" si="50"/>
        <v>1</v>
      </c>
      <c r="R226" s="21">
        <f t="shared" si="51"/>
        <v>162430</v>
      </c>
      <c r="S226" s="306">
        <f t="shared" si="52"/>
        <v>530</v>
      </c>
    </row>
    <row r="227" spans="1:19">
      <c r="A227" s="3180">
        <f>面积!B882</f>
        <v>-1206</v>
      </c>
      <c r="B227" s="3181">
        <f>面积!C882</f>
        <v>32.61</v>
      </c>
      <c r="C227" s="21">
        <f t="shared" si="43"/>
        <v>1</v>
      </c>
      <c r="D227" s="632"/>
      <c r="E227" s="21">
        <f t="shared" si="44"/>
        <v>1</v>
      </c>
      <c r="F227" s="632"/>
      <c r="G227" s="21">
        <f t="shared" si="45"/>
        <v>1</v>
      </c>
      <c r="H227" s="632"/>
      <c r="I227" s="21">
        <f t="shared" si="46"/>
        <v>1</v>
      </c>
      <c r="J227" s="632"/>
      <c r="K227" s="21">
        <f t="shared" si="47"/>
        <v>1</v>
      </c>
      <c r="L227" s="632"/>
      <c r="M227" s="21">
        <f t="shared" si="48"/>
        <v>1</v>
      </c>
      <c r="N227" s="632"/>
      <c r="O227" s="21">
        <f t="shared" si="49"/>
        <v>1</v>
      </c>
      <c r="P227" s="632"/>
      <c r="Q227" s="21">
        <f t="shared" si="50"/>
        <v>1</v>
      </c>
      <c r="R227" s="21">
        <f t="shared" si="51"/>
        <v>162430</v>
      </c>
      <c r="S227" s="306">
        <f t="shared" si="52"/>
        <v>530</v>
      </c>
    </row>
    <row r="228" spans="1:19">
      <c r="A228" s="3180">
        <f>面积!B883</f>
        <v>-1207</v>
      </c>
      <c r="B228" s="3181">
        <f>面积!C883</f>
        <v>32.61</v>
      </c>
      <c r="C228" s="21">
        <f t="shared" si="43"/>
        <v>1</v>
      </c>
      <c r="D228" s="632"/>
      <c r="E228" s="21">
        <f t="shared" si="44"/>
        <v>1</v>
      </c>
      <c r="F228" s="632"/>
      <c r="G228" s="21">
        <f t="shared" si="45"/>
        <v>1</v>
      </c>
      <c r="H228" s="632"/>
      <c r="I228" s="21">
        <f t="shared" si="46"/>
        <v>1</v>
      </c>
      <c r="J228" s="632"/>
      <c r="K228" s="21">
        <f t="shared" si="47"/>
        <v>1</v>
      </c>
      <c r="L228" s="632"/>
      <c r="M228" s="21">
        <f t="shared" si="48"/>
        <v>1</v>
      </c>
      <c r="N228" s="632"/>
      <c r="O228" s="21">
        <f t="shared" si="49"/>
        <v>1</v>
      </c>
      <c r="P228" s="632"/>
      <c r="Q228" s="21">
        <f t="shared" si="50"/>
        <v>1</v>
      </c>
      <c r="R228" s="21">
        <f t="shared" si="51"/>
        <v>162430</v>
      </c>
      <c r="S228" s="306">
        <f t="shared" si="52"/>
        <v>530</v>
      </c>
    </row>
    <row r="229" spans="1:19">
      <c r="A229" s="3180">
        <f>面积!B884</f>
        <v>-1208</v>
      </c>
      <c r="B229" s="3181">
        <f>面积!C884</f>
        <v>32.61</v>
      </c>
      <c r="C229" s="21">
        <f t="shared" si="43"/>
        <v>1</v>
      </c>
      <c r="D229" s="632"/>
      <c r="E229" s="21">
        <f t="shared" si="44"/>
        <v>1</v>
      </c>
      <c r="F229" s="632"/>
      <c r="G229" s="21">
        <f t="shared" si="45"/>
        <v>1</v>
      </c>
      <c r="H229" s="632"/>
      <c r="I229" s="21">
        <f t="shared" si="46"/>
        <v>1</v>
      </c>
      <c r="J229" s="632"/>
      <c r="K229" s="21">
        <f t="shared" si="47"/>
        <v>1</v>
      </c>
      <c r="L229" s="632"/>
      <c r="M229" s="21">
        <f t="shared" si="48"/>
        <v>1</v>
      </c>
      <c r="N229" s="632"/>
      <c r="O229" s="21">
        <f t="shared" si="49"/>
        <v>1</v>
      </c>
      <c r="P229" s="632"/>
      <c r="Q229" s="21">
        <f t="shared" si="50"/>
        <v>1</v>
      </c>
      <c r="R229" s="21">
        <f t="shared" si="51"/>
        <v>162430</v>
      </c>
      <c r="S229" s="306">
        <f t="shared" si="52"/>
        <v>530</v>
      </c>
    </row>
    <row r="230" spans="1:19">
      <c r="A230" s="3180">
        <f>面积!B885</f>
        <v>-1209</v>
      </c>
      <c r="B230" s="3181">
        <f>面积!C885</f>
        <v>32.61</v>
      </c>
      <c r="C230" s="21">
        <f t="shared" si="43"/>
        <v>1</v>
      </c>
      <c r="D230" s="632"/>
      <c r="E230" s="21">
        <f t="shared" si="44"/>
        <v>1</v>
      </c>
      <c r="F230" s="632"/>
      <c r="G230" s="21">
        <f t="shared" si="45"/>
        <v>1</v>
      </c>
      <c r="H230" s="632"/>
      <c r="I230" s="21">
        <f t="shared" si="46"/>
        <v>1</v>
      </c>
      <c r="J230" s="632"/>
      <c r="K230" s="21">
        <f t="shared" si="47"/>
        <v>1</v>
      </c>
      <c r="L230" s="632"/>
      <c r="M230" s="21">
        <f t="shared" si="48"/>
        <v>1</v>
      </c>
      <c r="N230" s="632"/>
      <c r="O230" s="21">
        <f t="shared" si="49"/>
        <v>1</v>
      </c>
      <c r="P230" s="632"/>
      <c r="Q230" s="21">
        <f t="shared" si="50"/>
        <v>1</v>
      </c>
      <c r="R230" s="21">
        <f t="shared" si="51"/>
        <v>162430</v>
      </c>
      <c r="S230" s="306">
        <f t="shared" si="52"/>
        <v>530</v>
      </c>
    </row>
    <row r="231" spans="1:19">
      <c r="A231" s="3180">
        <f>面积!B886</f>
        <v>-1210</v>
      </c>
      <c r="B231" s="3181">
        <f>面积!C886</f>
        <v>32.61</v>
      </c>
      <c r="C231" s="21">
        <f t="shared" si="43"/>
        <v>1</v>
      </c>
      <c r="D231" s="632"/>
      <c r="E231" s="21">
        <f t="shared" si="44"/>
        <v>1</v>
      </c>
      <c r="F231" s="632"/>
      <c r="G231" s="21">
        <f t="shared" si="45"/>
        <v>1</v>
      </c>
      <c r="H231" s="632"/>
      <c r="I231" s="21">
        <f t="shared" si="46"/>
        <v>1</v>
      </c>
      <c r="J231" s="632"/>
      <c r="K231" s="21">
        <f t="shared" si="47"/>
        <v>1</v>
      </c>
      <c r="L231" s="632"/>
      <c r="M231" s="21">
        <f t="shared" si="48"/>
        <v>1</v>
      </c>
      <c r="N231" s="632"/>
      <c r="O231" s="21">
        <f t="shared" si="49"/>
        <v>1</v>
      </c>
      <c r="P231" s="632"/>
      <c r="Q231" s="21">
        <f t="shared" si="50"/>
        <v>1</v>
      </c>
      <c r="R231" s="21">
        <f t="shared" si="51"/>
        <v>162430</v>
      </c>
      <c r="S231" s="306">
        <f t="shared" si="52"/>
        <v>530</v>
      </c>
    </row>
    <row r="232" spans="1:19">
      <c r="A232" s="3180">
        <f>面积!B887</f>
        <v>-1212</v>
      </c>
      <c r="B232" s="3181">
        <f>面积!C887</f>
        <v>32.61</v>
      </c>
      <c r="C232" s="21">
        <f t="shared" si="43"/>
        <v>1</v>
      </c>
      <c r="D232" s="632"/>
      <c r="E232" s="21">
        <f t="shared" si="44"/>
        <v>1</v>
      </c>
      <c r="F232" s="632"/>
      <c r="G232" s="21">
        <f t="shared" si="45"/>
        <v>1</v>
      </c>
      <c r="H232" s="632"/>
      <c r="I232" s="21">
        <f t="shared" si="46"/>
        <v>1</v>
      </c>
      <c r="J232" s="632"/>
      <c r="K232" s="21">
        <f t="shared" si="47"/>
        <v>1</v>
      </c>
      <c r="L232" s="632"/>
      <c r="M232" s="21">
        <f t="shared" si="48"/>
        <v>1</v>
      </c>
      <c r="N232" s="632"/>
      <c r="O232" s="21">
        <f t="shared" si="49"/>
        <v>1</v>
      </c>
      <c r="P232" s="632"/>
      <c r="Q232" s="21">
        <f t="shared" si="50"/>
        <v>1</v>
      </c>
      <c r="R232" s="21">
        <f t="shared" si="51"/>
        <v>162430</v>
      </c>
      <c r="S232" s="306">
        <f t="shared" si="52"/>
        <v>530</v>
      </c>
    </row>
    <row r="233" spans="1:19">
      <c r="A233" s="3180">
        <f>面积!B888</f>
        <v>-1213</v>
      </c>
      <c r="B233" s="3181">
        <f>面积!C888</f>
        <v>32.61</v>
      </c>
      <c r="C233" s="21">
        <f t="shared" si="43"/>
        <v>1</v>
      </c>
      <c r="D233" s="632"/>
      <c r="E233" s="21">
        <f t="shared" si="44"/>
        <v>1</v>
      </c>
      <c r="F233" s="632"/>
      <c r="G233" s="21">
        <f t="shared" si="45"/>
        <v>1</v>
      </c>
      <c r="H233" s="632"/>
      <c r="I233" s="21">
        <f t="shared" si="46"/>
        <v>1</v>
      </c>
      <c r="J233" s="632"/>
      <c r="K233" s="21">
        <f t="shared" si="47"/>
        <v>1</v>
      </c>
      <c r="L233" s="632"/>
      <c r="M233" s="21">
        <f t="shared" si="48"/>
        <v>1</v>
      </c>
      <c r="N233" s="632"/>
      <c r="O233" s="21">
        <f t="shared" si="49"/>
        <v>1</v>
      </c>
      <c r="P233" s="632"/>
      <c r="Q233" s="21">
        <f t="shared" si="50"/>
        <v>1</v>
      </c>
      <c r="R233" s="21">
        <f t="shared" si="51"/>
        <v>162430</v>
      </c>
      <c r="S233" s="306">
        <f t="shared" si="52"/>
        <v>530</v>
      </c>
    </row>
    <row r="234" spans="1:19">
      <c r="A234" s="3180">
        <f>面积!B889</f>
        <v>-1214</v>
      </c>
      <c r="B234" s="3181">
        <f>面积!C889</f>
        <v>32.61</v>
      </c>
      <c r="C234" s="21">
        <f t="shared" si="43"/>
        <v>1</v>
      </c>
      <c r="D234" s="632"/>
      <c r="E234" s="21">
        <f t="shared" si="44"/>
        <v>1</v>
      </c>
      <c r="F234" s="632"/>
      <c r="G234" s="21">
        <f t="shared" si="45"/>
        <v>1</v>
      </c>
      <c r="H234" s="632"/>
      <c r="I234" s="21">
        <f t="shared" si="46"/>
        <v>1</v>
      </c>
      <c r="J234" s="632"/>
      <c r="K234" s="21">
        <f t="shared" si="47"/>
        <v>1</v>
      </c>
      <c r="L234" s="632"/>
      <c r="M234" s="21">
        <f t="shared" si="48"/>
        <v>1</v>
      </c>
      <c r="N234" s="632"/>
      <c r="O234" s="21">
        <f t="shared" si="49"/>
        <v>1</v>
      </c>
      <c r="P234" s="632"/>
      <c r="Q234" s="21">
        <f t="shared" si="50"/>
        <v>1</v>
      </c>
      <c r="R234" s="21">
        <f t="shared" si="51"/>
        <v>162430</v>
      </c>
      <c r="S234" s="306">
        <f t="shared" si="52"/>
        <v>530</v>
      </c>
    </row>
    <row r="235" spans="1:19">
      <c r="A235" s="3180">
        <f>面积!B890</f>
        <v>-1215</v>
      </c>
      <c r="B235" s="3181">
        <f>面积!C890</f>
        <v>32.61</v>
      </c>
      <c r="C235" s="21">
        <f t="shared" si="43"/>
        <v>1</v>
      </c>
      <c r="D235" s="632"/>
      <c r="E235" s="21">
        <f t="shared" si="44"/>
        <v>1</v>
      </c>
      <c r="F235" s="632"/>
      <c r="G235" s="21">
        <f t="shared" si="45"/>
        <v>1</v>
      </c>
      <c r="H235" s="632"/>
      <c r="I235" s="21">
        <f t="shared" si="46"/>
        <v>1</v>
      </c>
      <c r="J235" s="632"/>
      <c r="K235" s="21">
        <f t="shared" si="47"/>
        <v>1</v>
      </c>
      <c r="L235" s="632"/>
      <c r="M235" s="21">
        <f t="shared" si="48"/>
        <v>1</v>
      </c>
      <c r="N235" s="632"/>
      <c r="O235" s="21">
        <f t="shared" si="49"/>
        <v>1</v>
      </c>
      <c r="P235" s="632"/>
      <c r="Q235" s="21">
        <f t="shared" si="50"/>
        <v>1</v>
      </c>
      <c r="R235" s="21">
        <f t="shared" si="51"/>
        <v>162430</v>
      </c>
      <c r="S235" s="306">
        <f t="shared" si="52"/>
        <v>530</v>
      </c>
    </row>
    <row r="236" spans="1:19">
      <c r="A236" s="3180">
        <f>面积!B891</f>
        <v>-1216</v>
      </c>
      <c r="B236" s="3181">
        <f>面积!C891</f>
        <v>32.61</v>
      </c>
      <c r="C236" s="21">
        <f t="shared" si="43"/>
        <v>1</v>
      </c>
      <c r="D236" s="632"/>
      <c r="E236" s="21">
        <f t="shared" si="44"/>
        <v>1</v>
      </c>
      <c r="F236" s="632"/>
      <c r="G236" s="21">
        <f t="shared" si="45"/>
        <v>1</v>
      </c>
      <c r="H236" s="632"/>
      <c r="I236" s="21">
        <f t="shared" si="46"/>
        <v>1</v>
      </c>
      <c r="J236" s="632"/>
      <c r="K236" s="21">
        <f t="shared" si="47"/>
        <v>1</v>
      </c>
      <c r="L236" s="632"/>
      <c r="M236" s="21">
        <f t="shared" si="48"/>
        <v>1</v>
      </c>
      <c r="N236" s="632"/>
      <c r="O236" s="21">
        <f t="shared" si="49"/>
        <v>1</v>
      </c>
      <c r="P236" s="632"/>
      <c r="Q236" s="21">
        <f t="shared" si="50"/>
        <v>1</v>
      </c>
      <c r="R236" s="21">
        <f t="shared" si="51"/>
        <v>162430</v>
      </c>
      <c r="S236" s="306">
        <f t="shared" si="52"/>
        <v>530</v>
      </c>
    </row>
    <row r="237" spans="1:19">
      <c r="A237" s="3180">
        <f>面积!B892</f>
        <v>-1217</v>
      </c>
      <c r="B237" s="3181">
        <f>面积!C892</f>
        <v>32.61</v>
      </c>
      <c r="C237" s="21">
        <f t="shared" si="43"/>
        <v>1</v>
      </c>
      <c r="D237" s="632"/>
      <c r="E237" s="21">
        <f t="shared" si="44"/>
        <v>1</v>
      </c>
      <c r="F237" s="632"/>
      <c r="G237" s="21">
        <f t="shared" si="45"/>
        <v>1</v>
      </c>
      <c r="H237" s="632"/>
      <c r="I237" s="21">
        <f t="shared" si="46"/>
        <v>1</v>
      </c>
      <c r="J237" s="632"/>
      <c r="K237" s="21">
        <f t="shared" si="47"/>
        <v>1</v>
      </c>
      <c r="L237" s="632"/>
      <c r="M237" s="21">
        <f t="shared" si="48"/>
        <v>1</v>
      </c>
      <c r="N237" s="632"/>
      <c r="O237" s="21">
        <f t="shared" si="49"/>
        <v>1</v>
      </c>
      <c r="P237" s="632"/>
      <c r="Q237" s="21">
        <f t="shared" si="50"/>
        <v>1</v>
      </c>
      <c r="R237" s="21">
        <f t="shared" si="51"/>
        <v>162430</v>
      </c>
      <c r="S237" s="306">
        <f t="shared" si="52"/>
        <v>530</v>
      </c>
    </row>
    <row r="238" spans="1:19">
      <c r="A238" s="3180">
        <f>面积!B893</f>
        <v>-1218</v>
      </c>
      <c r="B238" s="3181">
        <f>面积!C893</f>
        <v>32.61</v>
      </c>
      <c r="C238" s="21">
        <f t="shared" si="43"/>
        <v>1</v>
      </c>
      <c r="D238" s="632"/>
      <c r="E238" s="21">
        <f t="shared" si="44"/>
        <v>1</v>
      </c>
      <c r="F238" s="632"/>
      <c r="G238" s="21">
        <f t="shared" si="45"/>
        <v>1</v>
      </c>
      <c r="H238" s="632"/>
      <c r="I238" s="21">
        <f t="shared" si="46"/>
        <v>1</v>
      </c>
      <c r="J238" s="632"/>
      <c r="K238" s="21">
        <f t="shared" si="47"/>
        <v>1</v>
      </c>
      <c r="L238" s="632"/>
      <c r="M238" s="21">
        <f t="shared" si="48"/>
        <v>1</v>
      </c>
      <c r="N238" s="632"/>
      <c r="O238" s="21">
        <f t="shared" si="49"/>
        <v>1</v>
      </c>
      <c r="P238" s="632"/>
      <c r="Q238" s="21">
        <f t="shared" si="50"/>
        <v>1</v>
      </c>
      <c r="R238" s="21">
        <f t="shared" si="51"/>
        <v>162430</v>
      </c>
      <c r="S238" s="306">
        <f t="shared" si="52"/>
        <v>530</v>
      </c>
    </row>
    <row r="239" spans="1:19">
      <c r="A239" s="3180">
        <f>面积!B894</f>
        <v>-1219</v>
      </c>
      <c r="B239" s="3181">
        <f>面积!C894</f>
        <v>32.61</v>
      </c>
      <c r="C239" s="21">
        <f t="shared" si="43"/>
        <v>1</v>
      </c>
      <c r="D239" s="632"/>
      <c r="E239" s="21">
        <f t="shared" si="44"/>
        <v>1</v>
      </c>
      <c r="F239" s="632"/>
      <c r="G239" s="21">
        <f t="shared" si="45"/>
        <v>1</v>
      </c>
      <c r="H239" s="632"/>
      <c r="I239" s="21">
        <f t="shared" si="46"/>
        <v>1</v>
      </c>
      <c r="J239" s="632"/>
      <c r="K239" s="21">
        <f t="shared" si="47"/>
        <v>1</v>
      </c>
      <c r="L239" s="632"/>
      <c r="M239" s="21">
        <f t="shared" si="48"/>
        <v>1</v>
      </c>
      <c r="N239" s="632"/>
      <c r="O239" s="21">
        <f t="shared" si="49"/>
        <v>1</v>
      </c>
      <c r="P239" s="632"/>
      <c r="Q239" s="21">
        <f t="shared" si="50"/>
        <v>1</v>
      </c>
      <c r="R239" s="21">
        <f t="shared" si="51"/>
        <v>162430</v>
      </c>
      <c r="S239" s="306">
        <f t="shared" si="52"/>
        <v>530</v>
      </c>
    </row>
    <row r="240" spans="1:19">
      <c r="A240" s="3180">
        <f>面积!B895</f>
        <v>-1220</v>
      </c>
      <c r="B240" s="3181">
        <f>面积!C895</f>
        <v>32.61</v>
      </c>
      <c r="C240" s="21">
        <f t="shared" si="43"/>
        <v>1</v>
      </c>
      <c r="D240" s="632"/>
      <c r="E240" s="21">
        <f t="shared" si="44"/>
        <v>1</v>
      </c>
      <c r="F240" s="632"/>
      <c r="G240" s="21">
        <f t="shared" si="45"/>
        <v>1</v>
      </c>
      <c r="H240" s="632"/>
      <c r="I240" s="21">
        <f t="shared" si="46"/>
        <v>1</v>
      </c>
      <c r="J240" s="632"/>
      <c r="K240" s="21">
        <f t="shared" si="47"/>
        <v>1</v>
      </c>
      <c r="L240" s="632"/>
      <c r="M240" s="21">
        <f t="shared" si="48"/>
        <v>1</v>
      </c>
      <c r="N240" s="632"/>
      <c r="O240" s="21">
        <f t="shared" si="49"/>
        <v>1</v>
      </c>
      <c r="P240" s="632"/>
      <c r="Q240" s="21">
        <f t="shared" si="50"/>
        <v>1</v>
      </c>
      <c r="R240" s="21">
        <f t="shared" si="51"/>
        <v>162430</v>
      </c>
      <c r="S240" s="306">
        <f t="shared" si="52"/>
        <v>530</v>
      </c>
    </row>
    <row r="241" spans="1:19">
      <c r="A241" s="3180">
        <f>面积!B896</f>
        <v>-1221</v>
      </c>
      <c r="B241" s="3181">
        <f>面积!C896</f>
        <v>32.61</v>
      </c>
      <c r="C241" s="21">
        <f t="shared" si="43"/>
        <v>1</v>
      </c>
      <c r="D241" s="632"/>
      <c r="E241" s="21">
        <f t="shared" si="44"/>
        <v>1</v>
      </c>
      <c r="F241" s="632"/>
      <c r="G241" s="21">
        <f t="shared" si="45"/>
        <v>1</v>
      </c>
      <c r="H241" s="632"/>
      <c r="I241" s="21">
        <f t="shared" si="46"/>
        <v>1</v>
      </c>
      <c r="J241" s="632"/>
      <c r="K241" s="21">
        <f t="shared" si="47"/>
        <v>1</v>
      </c>
      <c r="L241" s="632"/>
      <c r="M241" s="21">
        <f t="shared" si="48"/>
        <v>1</v>
      </c>
      <c r="N241" s="632"/>
      <c r="O241" s="21">
        <f t="shared" si="49"/>
        <v>1</v>
      </c>
      <c r="P241" s="632"/>
      <c r="Q241" s="21">
        <f t="shared" si="50"/>
        <v>1</v>
      </c>
      <c r="R241" s="21">
        <f t="shared" si="51"/>
        <v>162430</v>
      </c>
      <c r="S241" s="306">
        <f t="shared" si="52"/>
        <v>530</v>
      </c>
    </row>
    <row r="242" spans="1:19">
      <c r="A242" s="3180">
        <f>面积!B897</f>
        <v>-1222</v>
      </c>
      <c r="B242" s="3181">
        <f>面积!C897</f>
        <v>32.61</v>
      </c>
      <c r="C242" s="21">
        <f t="shared" si="43"/>
        <v>1</v>
      </c>
      <c r="D242" s="632"/>
      <c r="E242" s="21">
        <f t="shared" si="44"/>
        <v>1</v>
      </c>
      <c r="F242" s="632"/>
      <c r="G242" s="21">
        <f t="shared" si="45"/>
        <v>1</v>
      </c>
      <c r="H242" s="632"/>
      <c r="I242" s="21">
        <f t="shared" si="46"/>
        <v>1</v>
      </c>
      <c r="J242" s="632"/>
      <c r="K242" s="21">
        <f t="shared" si="47"/>
        <v>1</v>
      </c>
      <c r="L242" s="632"/>
      <c r="M242" s="21">
        <f t="shared" si="48"/>
        <v>1</v>
      </c>
      <c r="N242" s="632"/>
      <c r="O242" s="21">
        <f t="shared" si="49"/>
        <v>1</v>
      </c>
      <c r="P242" s="632"/>
      <c r="Q242" s="21">
        <f t="shared" si="50"/>
        <v>1</v>
      </c>
      <c r="R242" s="21">
        <f t="shared" si="51"/>
        <v>162430</v>
      </c>
      <c r="S242" s="306">
        <f t="shared" si="52"/>
        <v>530</v>
      </c>
    </row>
    <row r="243" spans="1:19">
      <c r="A243" s="3180">
        <f>面积!B898</f>
        <v>-1223</v>
      </c>
      <c r="B243" s="3181">
        <f>面积!C898</f>
        <v>32.61</v>
      </c>
      <c r="C243" s="21">
        <f t="shared" si="43"/>
        <v>1</v>
      </c>
      <c r="D243" s="632"/>
      <c r="E243" s="21">
        <f t="shared" si="44"/>
        <v>1</v>
      </c>
      <c r="F243" s="632"/>
      <c r="G243" s="21">
        <f t="shared" si="45"/>
        <v>1</v>
      </c>
      <c r="H243" s="632"/>
      <c r="I243" s="21">
        <f t="shared" si="46"/>
        <v>1</v>
      </c>
      <c r="J243" s="632"/>
      <c r="K243" s="21">
        <f t="shared" si="47"/>
        <v>1</v>
      </c>
      <c r="L243" s="632"/>
      <c r="M243" s="21">
        <f t="shared" si="48"/>
        <v>1</v>
      </c>
      <c r="N243" s="632"/>
      <c r="O243" s="21">
        <f t="shared" si="49"/>
        <v>1</v>
      </c>
      <c r="P243" s="632"/>
      <c r="Q243" s="21">
        <f t="shared" si="50"/>
        <v>1</v>
      </c>
      <c r="R243" s="21">
        <f t="shared" si="51"/>
        <v>162430</v>
      </c>
      <c r="S243" s="306">
        <f t="shared" si="52"/>
        <v>530</v>
      </c>
    </row>
    <row r="244" spans="1:19">
      <c r="A244" s="3180">
        <f>面积!B899</f>
        <v>-1224</v>
      </c>
      <c r="B244" s="3181">
        <f>面积!C899</f>
        <v>32.61</v>
      </c>
      <c r="C244" s="21">
        <f t="shared" si="43"/>
        <v>1</v>
      </c>
      <c r="D244" s="632"/>
      <c r="E244" s="21">
        <f t="shared" si="44"/>
        <v>1</v>
      </c>
      <c r="F244" s="632"/>
      <c r="G244" s="21">
        <f t="shared" si="45"/>
        <v>1</v>
      </c>
      <c r="H244" s="632"/>
      <c r="I244" s="21">
        <f t="shared" si="46"/>
        <v>1</v>
      </c>
      <c r="J244" s="632"/>
      <c r="K244" s="21">
        <f t="shared" si="47"/>
        <v>1</v>
      </c>
      <c r="L244" s="632"/>
      <c r="M244" s="21">
        <f t="shared" si="48"/>
        <v>1</v>
      </c>
      <c r="N244" s="632"/>
      <c r="O244" s="21">
        <f t="shared" si="49"/>
        <v>1</v>
      </c>
      <c r="P244" s="632"/>
      <c r="Q244" s="21">
        <f t="shared" si="50"/>
        <v>1</v>
      </c>
      <c r="R244" s="21">
        <f t="shared" si="51"/>
        <v>162430</v>
      </c>
      <c r="S244" s="306">
        <f t="shared" si="52"/>
        <v>530</v>
      </c>
    </row>
    <row r="245" spans="1:19">
      <c r="A245" s="3180">
        <f>面积!B900</f>
        <v>-1225</v>
      </c>
      <c r="B245" s="3181">
        <f>面积!C900</f>
        <v>32.61</v>
      </c>
      <c r="C245" s="21">
        <f t="shared" si="43"/>
        <v>1</v>
      </c>
      <c r="D245" s="632"/>
      <c r="E245" s="21">
        <f t="shared" si="44"/>
        <v>1</v>
      </c>
      <c r="F245" s="632"/>
      <c r="G245" s="21">
        <f t="shared" si="45"/>
        <v>1</v>
      </c>
      <c r="H245" s="632"/>
      <c r="I245" s="21">
        <f t="shared" si="46"/>
        <v>1</v>
      </c>
      <c r="J245" s="632"/>
      <c r="K245" s="21">
        <f t="shared" si="47"/>
        <v>1</v>
      </c>
      <c r="L245" s="632"/>
      <c r="M245" s="21">
        <f t="shared" si="48"/>
        <v>1</v>
      </c>
      <c r="N245" s="632"/>
      <c r="O245" s="21">
        <f t="shared" si="49"/>
        <v>1</v>
      </c>
      <c r="P245" s="632"/>
      <c r="Q245" s="21">
        <f t="shared" si="50"/>
        <v>1</v>
      </c>
      <c r="R245" s="21">
        <f t="shared" si="51"/>
        <v>162430</v>
      </c>
      <c r="S245" s="306">
        <f t="shared" si="52"/>
        <v>530</v>
      </c>
    </row>
    <row r="246" spans="1:19">
      <c r="A246" s="3180">
        <f>面积!B901</f>
        <v>-1226</v>
      </c>
      <c r="B246" s="3181">
        <f>面积!C901</f>
        <v>32.61</v>
      </c>
      <c r="C246" s="21">
        <f t="shared" si="43"/>
        <v>1</v>
      </c>
      <c r="D246" s="632"/>
      <c r="E246" s="21">
        <f t="shared" si="44"/>
        <v>1</v>
      </c>
      <c r="F246" s="632"/>
      <c r="G246" s="21">
        <f t="shared" si="45"/>
        <v>1</v>
      </c>
      <c r="H246" s="632"/>
      <c r="I246" s="21">
        <f t="shared" si="46"/>
        <v>1</v>
      </c>
      <c r="J246" s="632"/>
      <c r="K246" s="21">
        <f t="shared" si="47"/>
        <v>1</v>
      </c>
      <c r="L246" s="632"/>
      <c r="M246" s="21">
        <f t="shared" si="48"/>
        <v>1</v>
      </c>
      <c r="N246" s="632"/>
      <c r="O246" s="21">
        <f t="shared" si="49"/>
        <v>1</v>
      </c>
      <c r="P246" s="632"/>
      <c r="Q246" s="21">
        <f t="shared" si="50"/>
        <v>1</v>
      </c>
      <c r="R246" s="21">
        <f t="shared" si="51"/>
        <v>162430</v>
      </c>
      <c r="S246" s="306">
        <f t="shared" si="52"/>
        <v>530</v>
      </c>
    </row>
    <row r="247" spans="1:19">
      <c r="A247" s="3180">
        <f>面积!B902</f>
        <v>-1227</v>
      </c>
      <c r="B247" s="3181">
        <f>面积!C902</f>
        <v>32.61</v>
      </c>
      <c r="C247" s="21">
        <f t="shared" si="43"/>
        <v>1</v>
      </c>
      <c r="D247" s="632"/>
      <c r="E247" s="21">
        <f t="shared" si="44"/>
        <v>1</v>
      </c>
      <c r="F247" s="632"/>
      <c r="G247" s="21">
        <f t="shared" si="45"/>
        <v>1</v>
      </c>
      <c r="H247" s="632"/>
      <c r="I247" s="21">
        <f t="shared" si="46"/>
        <v>1</v>
      </c>
      <c r="J247" s="632"/>
      <c r="K247" s="21">
        <f t="shared" si="47"/>
        <v>1</v>
      </c>
      <c r="L247" s="632"/>
      <c r="M247" s="21">
        <f t="shared" si="48"/>
        <v>1</v>
      </c>
      <c r="N247" s="632"/>
      <c r="O247" s="21">
        <f t="shared" si="49"/>
        <v>1</v>
      </c>
      <c r="P247" s="632"/>
      <c r="Q247" s="21">
        <f t="shared" si="50"/>
        <v>1</v>
      </c>
      <c r="R247" s="21">
        <f t="shared" si="51"/>
        <v>162430</v>
      </c>
      <c r="S247" s="306">
        <f t="shared" si="52"/>
        <v>530</v>
      </c>
    </row>
    <row r="248" spans="1:19">
      <c r="A248" s="3180">
        <f>面积!B903</f>
        <v>-1228</v>
      </c>
      <c r="B248" s="3181">
        <f>面积!C903</f>
        <v>32.61</v>
      </c>
      <c r="C248" s="21">
        <f t="shared" si="43"/>
        <v>1</v>
      </c>
      <c r="D248" s="632"/>
      <c r="E248" s="21">
        <f t="shared" si="44"/>
        <v>1</v>
      </c>
      <c r="F248" s="632"/>
      <c r="G248" s="21">
        <f t="shared" si="45"/>
        <v>1</v>
      </c>
      <c r="H248" s="632"/>
      <c r="I248" s="21">
        <f t="shared" si="46"/>
        <v>1</v>
      </c>
      <c r="J248" s="632"/>
      <c r="K248" s="21">
        <f t="shared" si="47"/>
        <v>1</v>
      </c>
      <c r="L248" s="632"/>
      <c r="M248" s="21">
        <f t="shared" si="48"/>
        <v>1</v>
      </c>
      <c r="N248" s="632"/>
      <c r="O248" s="21">
        <f t="shared" si="49"/>
        <v>1</v>
      </c>
      <c r="P248" s="632"/>
      <c r="Q248" s="21">
        <f t="shared" si="50"/>
        <v>1</v>
      </c>
      <c r="R248" s="21">
        <f t="shared" si="51"/>
        <v>162430</v>
      </c>
      <c r="S248" s="306">
        <f t="shared" si="52"/>
        <v>530</v>
      </c>
    </row>
    <row r="249" spans="1:19">
      <c r="A249" s="3180">
        <f>面积!B904</f>
        <v>-1229</v>
      </c>
      <c r="B249" s="3181">
        <f>面积!C904</f>
        <v>32.61</v>
      </c>
      <c r="C249" s="21">
        <f t="shared" si="43"/>
        <v>1</v>
      </c>
      <c r="D249" s="632"/>
      <c r="E249" s="21">
        <f t="shared" si="44"/>
        <v>1</v>
      </c>
      <c r="F249" s="632"/>
      <c r="G249" s="21">
        <f t="shared" si="45"/>
        <v>1</v>
      </c>
      <c r="H249" s="632"/>
      <c r="I249" s="21">
        <f t="shared" si="46"/>
        <v>1</v>
      </c>
      <c r="J249" s="632"/>
      <c r="K249" s="21">
        <f t="shared" si="47"/>
        <v>1</v>
      </c>
      <c r="L249" s="632"/>
      <c r="M249" s="21">
        <f t="shared" si="48"/>
        <v>1</v>
      </c>
      <c r="N249" s="632"/>
      <c r="O249" s="21">
        <f t="shared" si="49"/>
        <v>1</v>
      </c>
      <c r="P249" s="632"/>
      <c r="Q249" s="21">
        <f t="shared" si="50"/>
        <v>1</v>
      </c>
      <c r="R249" s="21">
        <f t="shared" si="51"/>
        <v>162430</v>
      </c>
      <c r="S249" s="306">
        <f t="shared" si="52"/>
        <v>530</v>
      </c>
    </row>
    <row r="250" spans="1:19">
      <c r="A250" s="3180">
        <f>面积!B905</f>
        <v>-1230</v>
      </c>
      <c r="B250" s="3181">
        <f>面积!C905</f>
        <v>32.61</v>
      </c>
      <c r="C250" s="21">
        <f t="shared" si="43"/>
        <v>1</v>
      </c>
      <c r="D250" s="632"/>
      <c r="E250" s="21">
        <f t="shared" si="44"/>
        <v>1</v>
      </c>
      <c r="F250" s="632"/>
      <c r="G250" s="21">
        <f t="shared" si="45"/>
        <v>1</v>
      </c>
      <c r="H250" s="632"/>
      <c r="I250" s="21">
        <f t="shared" si="46"/>
        <v>1</v>
      </c>
      <c r="J250" s="632"/>
      <c r="K250" s="21">
        <f t="shared" si="47"/>
        <v>1</v>
      </c>
      <c r="L250" s="632"/>
      <c r="M250" s="21">
        <f t="shared" si="48"/>
        <v>1</v>
      </c>
      <c r="N250" s="632"/>
      <c r="O250" s="21">
        <f t="shared" si="49"/>
        <v>1</v>
      </c>
      <c r="P250" s="632"/>
      <c r="Q250" s="21">
        <f t="shared" si="50"/>
        <v>1</v>
      </c>
      <c r="R250" s="21">
        <f t="shared" si="51"/>
        <v>162430</v>
      </c>
      <c r="S250" s="306">
        <f t="shared" si="52"/>
        <v>530</v>
      </c>
    </row>
    <row r="251" spans="1:19">
      <c r="A251" s="3180">
        <f>面积!B906</f>
        <v>-1231</v>
      </c>
      <c r="B251" s="3181">
        <f>面积!C906</f>
        <v>32.61</v>
      </c>
      <c r="C251" s="21">
        <f t="shared" si="43"/>
        <v>1</v>
      </c>
      <c r="D251" s="632"/>
      <c r="E251" s="21">
        <f t="shared" si="44"/>
        <v>1</v>
      </c>
      <c r="F251" s="632"/>
      <c r="G251" s="21">
        <f t="shared" si="45"/>
        <v>1</v>
      </c>
      <c r="H251" s="632"/>
      <c r="I251" s="21">
        <f t="shared" si="46"/>
        <v>1</v>
      </c>
      <c r="J251" s="632"/>
      <c r="K251" s="21">
        <f t="shared" si="47"/>
        <v>1</v>
      </c>
      <c r="L251" s="632"/>
      <c r="M251" s="21">
        <f t="shared" si="48"/>
        <v>1</v>
      </c>
      <c r="N251" s="632"/>
      <c r="O251" s="21">
        <f t="shared" si="49"/>
        <v>1</v>
      </c>
      <c r="P251" s="632"/>
      <c r="Q251" s="21">
        <f t="shared" si="50"/>
        <v>1</v>
      </c>
      <c r="R251" s="21">
        <f t="shared" si="51"/>
        <v>162430</v>
      </c>
      <c r="S251" s="306">
        <f t="shared" si="52"/>
        <v>530</v>
      </c>
    </row>
    <row r="252" spans="1:19">
      <c r="A252" s="3180">
        <f>面积!B907</f>
        <v>-1232</v>
      </c>
      <c r="B252" s="3181">
        <f>面积!C907</f>
        <v>32.61</v>
      </c>
      <c r="C252" s="21">
        <f t="shared" si="43"/>
        <v>1</v>
      </c>
      <c r="D252" s="632"/>
      <c r="E252" s="21">
        <f t="shared" si="44"/>
        <v>1</v>
      </c>
      <c r="F252" s="632"/>
      <c r="G252" s="21">
        <f t="shared" si="45"/>
        <v>1</v>
      </c>
      <c r="H252" s="632"/>
      <c r="I252" s="21">
        <f t="shared" si="46"/>
        <v>1</v>
      </c>
      <c r="J252" s="632"/>
      <c r="K252" s="21">
        <f t="shared" si="47"/>
        <v>1</v>
      </c>
      <c r="L252" s="632"/>
      <c r="M252" s="21">
        <f t="shared" si="48"/>
        <v>1</v>
      </c>
      <c r="N252" s="632"/>
      <c r="O252" s="21">
        <f t="shared" si="49"/>
        <v>1</v>
      </c>
      <c r="P252" s="632"/>
      <c r="Q252" s="21">
        <f t="shared" si="50"/>
        <v>1</v>
      </c>
      <c r="R252" s="21">
        <f t="shared" si="51"/>
        <v>162430</v>
      </c>
      <c r="S252" s="306">
        <f t="shared" si="52"/>
        <v>530</v>
      </c>
    </row>
    <row r="253" spans="1:19">
      <c r="A253" s="3180">
        <f>面积!B908</f>
        <v>-1233</v>
      </c>
      <c r="B253" s="3181">
        <f>面积!C908</f>
        <v>32.61</v>
      </c>
      <c r="C253" s="21">
        <f t="shared" si="43"/>
        <v>1</v>
      </c>
      <c r="D253" s="632"/>
      <c r="E253" s="21">
        <f t="shared" si="44"/>
        <v>1</v>
      </c>
      <c r="F253" s="632"/>
      <c r="G253" s="21">
        <f t="shared" si="45"/>
        <v>1</v>
      </c>
      <c r="H253" s="632"/>
      <c r="I253" s="21">
        <f t="shared" si="46"/>
        <v>1</v>
      </c>
      <c r="J253" s="632"/>
      <c r="K253" s="21">
        <f t="shared" si="47"/>
        <v>1</v>
      </c>
      <c r="L253" s="632"/>
      <c r="M253" s="21">
        <f t="shared" si="48"/>
        <v>1</v>
      </c>
      <c r="N253" s="632"/>
      <c r="O253" s="21">
        <f t="shared" si="49"/>
        <v>1</v>
      </c>
      <c r="P253" s="632"/>
      <c r="Q253" s="21">
        <f t="shared" si="50"/>
        <v>1</v>
      </c>
      <c r="R253" s="21">
        <f t="shared" si="51"/>
        <v>162430</v>
      </c>
      <c r="S253" s="306">
        <f t="shared" si="52"/>
        <v>530</v>
      </c>
    </row>
    <row r="254" spans="1:19">
      <c r="A254" s="3180">
        <f>面积!B909</f>
        <v>-1234</v>
      </c>
      <c r="B254" s="3181">
        <f>面积!C909</f>
        <v>32.61</v>
      </c>
      <c r="C254" s="21">
        <f t="shared" si="43"/>
        <v>1</v>
      </c>
      <c r="D254" s="632"/>
      <c r="E254" s="21">
        <f t="shared" si="44"/>
        <v>1</v>
      </c>
      <c r="F254" s="632"/>
      <c r="G254" s="21">
        <f t="shared" si="45"/>
        <v>1</v>
      </c>
      <c r="H254" s="632"/>
      <c r="I254" s="21">
        <f t="shared" si="46"/>
        <v>1</v>
      </c>
      <c r="J254" s="632"/>
      <c r="K254" s="21">
        <f t="shared" si="47"/>
        <v>1</v>
      </c>
      <c r="L254" s="632"/>
      <c r="M254" s="21">
        <f t="shared" si="48"/>
        <v>1</v>
      </c>
      <c r="N254" s="632"/>
      <c r="O254" s="21">
        <f t="shared" si="49"/>
        <v>1</v>
      </c>
      <c r="P254" s="632"/>
      <c r="Q254" s="21">
        <f t="shared" si="50"/>
        <v>1</v>
      </c>
      <c r="R254" s="21">
        <f t="shared" si="51"/>
        <v>162430</v>
      </c>
      <c r="S254" s="306">
        <f t="shared" si="52"/>
        <v>530</v>
      </c>
    </row>
    <row r="255" spans="1:19">
      <c r="A255" s="3180">
        <f>面积!B910</f>
        <v>-1235</v>
      </c>
      <c r="B255" s="3181">
        <f>面积!C910</f>
        <v>32.61</v>
      </c>
      <c r="C255" s="21">
        <f t="shared" si="43"/>
        <v>1</v>
      </c>
      <c r="D255" s="632"/>
      <c r="E255" s="21">
        <f t="shared" si="44"/>
        <v>1</v>
      </c>
      <c r="F255" s="632"/>
      <c r="G255" s="21">
        <f t="shared" si="45"/>
        <v>1</v>
      </c>
      <c r="H255" s="632"/>
      <c r="I255" s="21">
        <f t="shared" si="46"/>
        <v>1</v>
      </c>
      <c r="J255" s="632"/>
      <c r="K255" s="21">
        <f t="shared" si="47"/>
        <v>1</v>
      </c>
      <c r="L255" s="632"/>
      <c r="M255" s="21">
        <f t="shared" si="48"/>
        <v>1</v>
      </c>
      <c r="N255" s="632"/>
      <c r="O255" s="21">
        <f t="shared" si="49"/>
        <v>1</v>
      </c>
      <c r="P255" s="632"/>
      <c r="Q255" s="21">
        <f t="shared" si="50"/>
        <v>1</v>
      </c>
      <c r="R255" s="21">
        <f t="shared" si="51"/>
        <v>162430</v>
      </c>
      <c r="S255" s="306">
        <f t="shared" si="52"/>
        <v>530</v>
      </c>
    </row>
    <row r="256" spans="1:19">
      <c r="A256" s="3180">
        <f>面积!B911</f>
        <v>-1236</v>
      </c>
      <c r="B256" s="3181">
        <f>面积!C911</f>
        <v>32.61</v>
      </c>
      <c r="C256" s="21">
        <f t="shared" si="43"/>
        <v>1</v>
      </c>
      <c r="D256" s="632"/>
      <c r="E256" s="21">
        <f t="shared" si="44"/>
        <v>1</v>
      </c>
      <c r="F256" s="632"/>
      <c r="G256" s="21">
        <f t="shared" si="45"/>
        <v>1</v>
      </c>
      <c r="H256" s="632"/>
      <c r="I256" s="21">
        <f t="shared" si="46"/>
        <v>1</v>
      </c>
      <c r="J256" s="632"/>
      <c r="K256" s="21">
        <f t="shared" si="47"/>
        <v>1</v>
      </c>
      <c r="L256" s="632"/>
      <c r="M256" s="21">
        <f t="shared" si="48"/>
        <v>1</v>
      </c>
      <c r="N256" s="632"/>
      <c r="O256" s="21">
        <f t="shared" si="49"/>
        <v>1</v>
      </c>
      <c r="P256" s="632"/>
      <c r="Q256" s="21">
        <f t="shared" si="50"/>
        <v>1</v>
      </c>
      <c r="R256" s="21">
        <f t="shared" si="51"/>
        <v>162430</v>
      </c>
      <c r="S256" s="306">
        <f t="shared" si="52"/>
        <v>530</v>
      </c>
    </row>
    <row r="257" spans="1:19">
      <c r="A257" s="3180">
        <f>面积!B912</f>
        <v>-1237</v>
      </c>
      <c r="B257" s="3181">
        <f>面积!C912</f>
        <v>32.61</v>
      </c>
      <c r="C257" s="21">
        <f t="shared" si="43"/>
        <v>1</v>
      </c>
      <c r="D257" s="632"/>
      <c r="E257" s="21">
        <f t="shared" si="44"/>
        <v>1</v>
      </c>
      <c r="F257" s="632"/>
      <c r="G257" s="21">
        <f t="shared" si="45"/>
        <v>1</v>
      </c>
      <c r="H257" s="632"/>
      <c r="I257" s="21">
        <f t="shared" si="46"/>
        <v>1</v>
      </c>
      <c r="J257" s="632"/>
      <c r="K257" s="21">
        <f t="shared" si="47"/>
        <v>1</v>
      </c>
      <c r="L257" s="632"/>
      <c r="M257" s="21">
        <f t="shared" si="48"/>
        <v>1</v>
      </c>
      <c r="N257" s="632"/>
      <c r="O257" s="21">
        <f t="shared" si="49"/>
        <v>1</v>
      </c>
      <c r="P257" s="632"/>
      <c r="Q257" s="21">
        <f t="shared" si="50"/>
        <v>1</v>
      </c>
      <c r="R257" s="21">
        <f t="shared" si="51"/>
        <v>162430</v>
      </c>
      <c r="S257" s="306">
        <f t="shared" si="52"/>
        <v>530</v>
      </c>
    </row>
    <row r="258" spans="1:19">
      <c r="A258" s="3180">
        <f>面积!B913</f>
        <v>-1238</v>
      </c>
      <c r="B258" s="3181">
        <f>面积!C913</f>
        <v>32.61</v>
      </c>
      <c r="C258" s="21">
        <f t="shared" si="43"/>
        <v>1</v>
      </c>
      <c r="D258" s="632"/>
      <c r="E258" s="21">
        <f t="shared" si="44"/>
        <v>1</v>
      </c>
      <c r="F258" s="632"/>
      <c r="G258" s="21">
        <f t="shared" si="45"/>
        <v>1</v>
      </c>
      <c r="H258" s="632"/>
      <c r="I258" s="21">
        <f t="shared" si="46"/>
        <v>1</v>
      </c>
      <c r="J258" s="632"/>
      <c r="K258" s="21">
        <f t="shared" si="47"/>
        <v>1</v>
      </c>
      <c r="L258" s="632"/>
      <c r="M258" s="21">
        <f t="shared" si="48"/>
        <v>1</v>
      </c>
      <c r="N258" s="632"/>
      <c r="O258" s="21">
        <f t="shared" si="49"/>
        <v>1</v>
      </c>
      <c r="P258" s="632"/>
      <c r="Q258" s="21">
        <f t="shared" si="50"/>
        <v>1</v>
      </c>
      <c r="R258" s="21">
        <f t="shared" si="51"/>
        <v>162430</v>
      </c>
      <c r="S258" s="306">
        <f t="shared" si="52"/>
        <v>530</v>
      </c>
    </row>
    <row r="259" spans="1:19">
      <c r="A259" s="3180">
        <f>面积!B914</f>
        <v>-1239</v>
      </c>
      <c r="B259" s="3181">
        <f>面积!C914</f>
        <v>32.61</v>
      </c>
      <c r="C259" s="21">
        <f t="shared" si="43"/>
        <v>1</v>
      </c>
      <c r="D259" s="632"/>
      <c r="E259" s="21">
        <f t="shared" si="44"/>
        <v>1</v>
      </c>
      <c r="F259" s="632"/>
      <c r="G259" s="21">
        <f t="shared" si="45"/>
        <v>1</v>
      </c>
      <c r="H259" s="632"/>
      <c r="I259" s="21">
        <f t="shared" si="46"/>
        <v>1</v>
      </c>
      <c r="J259" s="632"/>
      <c r="K259" s="21">
        <f t="shared" si="47"/>
        <v>1</v>
      </c>
      <c r="L259" s="632"/>
      <c r="M259" s="21">
        <f t="shared" si="48"/>
        <v>1</v>
      </c>
      <c r="N259" s="632"/>
      <c r="O259" s="21">
        <f t="shared" si="49"/>
        <v>1</v>
      </c>
      <c r="P259" s="632"/>
      <c r="Q259" s="21">
        <f t="shared" si="50"/>
        <v>1</v>
      </c>
      <c r="R259" s="21">
        <f t="shared" si="51"/>
        <v>162430</v>
      </c>
      <c r="S259" s="306">
        <f t="shared" si="52"/>
        <v>530</v>
      </c>
    </row>
    <row r="260" spans="1:19">
      <c r="A260" s="3180">
        <f>面积!B915</f>
        <v>-1240</v>
      </c>
      <c r="B260" s="3181">
        <f>面积!C915</f>
        <v>32.61</v>
      </c>
      <c r="C260" s="21">
        <f t="shared" si="43"/>
        <v>1</v>
      </c>
      <c r="D260" s="632"/>
      <c r="E260" s="21">
        <f t="shared" si="44"/>
        <v>1</v>
      </c>
      <c r="F260" s="632"/>
      <c r="G260" s="21">
        <f t="shared" si="45"/>
        <v>1</v>
      </c>
      <c r="H260" s="632"/>
      <c r="I260" s="21">
        <f t="shared" si="46"/>
        <v>1</v>
      </c>
      <c r="J260" s="632"/>
      <c r="K260" s="21">
        <f t="shared" si="47"/>
        <v>1</v>
      </c>
      <c r="L260" s="632"/>
      <c r="M260" s="21">
        <f t="shared" si="48"/>
        <v>1</v>
      </c>
      <c r="N260" s="632"/>
      <c r="O260" s="21">
        <f t="shared" si="49"/>
        <v>1</v>
      </c>
      <c r="P260" s="632"/>
      <c r="Q260" s="21">
        <f t="shared" si="50"/>
        <v>1</v>
      </c>
      <c r="R260" s="21">
        <f t="shared" si="51"/>
        <v>162430</v>
      </c>
      <c r="S260" s="306">
        <f t="shared" si="52"/>
        <v>530</v>
      </c>
    </row>
    <row r="261" spans="1:19">
      <c r="A261" s="3180">
        <f>面积!B916</f>
        <v>-1241</v>
      </c>
      <c r="B261" s="3181">
        <f>面积!C916</f>
        <v>32.61</v>
      </c>
      <c r="C261" s="21">
        <f t="shared" si="43"/>
        <v>1</v>
      </c>
      <c r="D261" s="632"/>
      <c r="E261" s="21">
        <f t="shared" si="44"/>
        <v>1</v>
      </c>
      <c r="F261" s="632"/>
      <c r="G261" s="21">
        <f t="shared" si="45"/>
        <v>1</v>
      </c>
      <c r="H261" s="632"/>
      <c r="I261" s="21">
        <f t="shared" si="46"/>
        <v>1</v>
      </c>
      <c r="J261" s="632"/>
      <c r="K261" s="21">
        <f t="shared" si="47"/>
        <v>1</v>
      </c>
      <c r="L261" s="632"/>
      <c r="M261" s="21">
        <f t="shared" si="48"/>
        <v>1</v>
      </c>
      <c r="N261" s="632"/>
      <c r="O261" s="21">
        <f t="shared" si="49"/>
        <v>1</v>
      </c>
      <c r="P261" s="632"/>
      <c r="Q261" s="21">
        <f t="shared" si="50"/>
        <v>1</v>
      </c>
      <c r="R261" s="21">
        <f t="shared" si="51"/>
        <v>162430</v>
      </c>
      <c r="S261" s="306">
        <f t="shared" si="52"/>
        <v>530</v>
      </c>
    </row>
    <row r="262" spans="1:19">
      <c r="A262" s="3180">
        <f>面积!B917</f>
        <v>-1242</v>
      </c>
      <c r="B262" s="3181">
        <f>面积!C917</f>
        <v>32.61</v>
      </c>
      <c r="C262" s="21">
        <f t="shared" si="43"/>
        <v>1</v>
      </c>
      <c r="D262" s="632"/>
      <c r="E262" s="21">
        <f t="shared" si="44"/>
        <v>1</v>
      </c>
      <c r="F262" s="632"/>
      <c r="G262" s="21">
        <f t="shared" si="45"/>
        <v>1</v>
      </c>
      <c r="H262" s="632"/>
      <c r="I262" s="21">
        <f t="shared" si="46"/>
        <v>1</v>
      </c>
      <c r="J262" s="632"/>
      <c r="K262" s="21">
        <f t="shared" si="47"/>
        <v>1</v>
      </c>
      <c r="L262" s="632"/>
      <c r="M262" s="21">
        <f t="shared" si="48"/>
        <v>1</v>
      </c>
      <c r="N262" s="632"/>
      <c r="O262" s="21">
        <f t="shared" si="49"/>
        <v>1</v>
      </c>
      <c r="P262" s="632"/>
      <c r="Q262" s="21">
        <f t="shared" si="50"/>
        <v>1</v>
      </c>
      <c r="R262" s="21">
        <f t="shared" si="51"/>
        <v>162430</v>
      </c>
      <c r="S262" s="306">
        <f t="shared" si="52"/>
        <v>530</v>
      </c>
    </row>
    <row r="263" spans="1:19">
      <c r="A263" s="3180">
        <f>面积!B918</f>
        <v>-1243</v>
      </c>
      <c r="B263" s="3181">
        <f>面积!C918</f>
        <v>32.61</v>
      </c>
      <c r="C263" s="21">
        <f t="shared" si="43"/>
        <v>1</v>
      </c>
      <c r="D263" s="632"/>
      <c r="E263" s="21">
        <f t="shared" si="44"/>
        <v>1</v>
      </c>
      <c r="F263" s="632"/>
      <c r="G263" s="21">
        <f t="shared" si="45"/>
        <v>1</v>
      </c>
      <c r="H263" s="632"/>
      <c r="I263" s="21">
        <f t="shared" si="46"/>
        <v>1</v>
      </c>
      <c r="J263" s="632"/>
      <c r="K263" s="21">
        <f t="shared" si="47"/>
        <v>1</v>
      </c>
      <c r="L263" s="632"/>
      <c r="M263" s="21">
        <f t="shared" si="48"/>
        <v>1</v>
      </c>
      <c r="N263" s="632"/>
      <c r="O263" s="21">
        <f t="shared" si="49"/>
        <v>1</v>
      </c>
      <c r="P263" s="632"/>
      <c r="Q263" s="21">
        <f t="shared" si="50"/>
        <v>1</v>
      </c>
      <c r="R263" s="21">
        <f t="shared" si="51"/>
        <v>162430</v>
      </c>
      <c r="S263" s="306">
        <f t="shared" si="52"/>
        <v>530</v>
      </c>
    </row>
    <row r="264" spans="1:19">
      <c r="A264" s="3180">
        <f>面积!B919</f>
        <v>-1244</v>
      </c>
      <c r="B264" s="3181">
        <f>面积!C919</f>
        <v>32.61</v>
      </c>
      <c r="C264" s="21">
        <f t="shared" si="43"/>
        <v>1</v>
      </c>
      <c r="D264" s="632"/>
      <c r="E264" s="21">
        <f t="shared" si="44"/>
        <v>1</v>
      </c>
      <c r="F264" s="632"/>
      <c r="G264" s="21">
        <f t="shared" si="45"/>
        <v>1</v>
      </c>
      <c r="H264" s="632"/>
      <c r="I264" s="21">
        <f t="shared" si="46"/>
        <v>1</v>
      </c>
      <c r="J264" s="632"/>
      <c r="K264" s="21">
        <f t="shared" si="47"/>
        <v>1</v>
      </c>
      <c r="L264" s="632"/>
      <c r="M264" s="21">
        <f t="shared" si="48"/>
        <v>1</v>
      </c>
      <c r="N264" s="632"/>
      <c r="O264" s="21">
        <f t="shared" si="49"/>
        <v>1</v>
      </c>
      <c r="P264" s="632"/>
      <c r="Q264" s="21">
        <f t="shared" si="50"/>
        <v>1</v>
      </c>
      <c r="R264" s="21">
        <f t="shared" si="51"/>
        <v>162430</v>
      </c>
      <c r="S264" s="306">
        <f t="shared" si="52"/>
        <v>530</v>
      </c>
    </row>
    <row r="265" spans="1:19">
      <c r="A265" s="3180">
        <f>面积!B920</f>
        <v>-1245</v>
      </c>
      <c r="B265" s="3181">
        <f>面积!C920</f>
        <v>32.61</v>
      </c>
      <c r="C265" s="21">
        <f t="shared" si="43"/>
        <v>1</v>
      </c>
      <c r="D265" s="632"/>
      <c r="E265" s="21">
        <f t="shared" si="44"/>
        <v>1</v>
      </c>
      <c r="F265" s="632"/>
      <c r="G265" s="21">
        <f t="shared" si="45"/>
        <v>1</v>
      </c>
      <c r="H265" s="632"/>
      <c r="I265" s="21">
        <f t="shared" si="46"/>
        <v>1</v>
      </c>
      <c r="J265" s="632"/>
      <c r="K265" s="21">
        <f t="shared" si="47"/>
        <v>1</v>
      </c>
      <c r="L265" s="632"/>
      <c r="M265" s="21">
        <f t="shared" si="48"/>
        <v>1</v>
      </c>
      <c r="N265" s="632"/>
      <c r="O265" s="21">
        <f t="shared" si="49"/>
        <v>1</v>
      </c>
      <c r="P265" s="632"/>
      <c r="Q265" s="21">
        <f t="shared" si="50"/>
        <v>1</v>
      </c>
      <c r="R265" s="21">
        <f t="shared" si="51"/>
        <v>162430</v>
      </c>
      <c r="S265" s="306">
        <f t="shared" si="52"/>
        <v>530</v>
      </c>
    </row>
    <row r="266" spans="1:19">
      <c r="A266" s="3180">
        <f>面积!B921</f>
        <v>-1246</v>
      </c>
      <c r="B266" s="3181">
        <f>面积!C921</f>
        <v>32.61</v>
      </c>
      <c r="C266" s="21">
        <f t="shared" si="43"/>
        <v>1</v>
      </c>
      <c r="D266" s="632"/>
      <c r="E266" s="21">
        <f t="shared" si="44"/>
        <v>1</v>
      </c>
      <c r="F266" s="632"/>
      <c r="G266" s="21">
        <f t="shared" si="45"/>
        <v>1</v>
      </c>
      <c r="H266" s="632"/>
      <c r="I266" s="21">
        <f t="shared" si="46"/>
        <v>1</v>
      </c>
      <c r="J266" s="632"/>
      <c r="K266" s="21">
        <f t="shared" si="47"/>
        <v>1</v>
      </c>
      <c r="L266" s="632"/>
      <c r="M266" s="21">
        <f t="shared" si="48"/>
        <v>1</v>
      </c>
      <c r="N266" s="632"/>
      <c r="O266" s="21">
        <f t="shared" si="49"/>
        <v>1</v>
      </c>
      <c r="P266" s="632"/>
      <c r="Q266" s="21">
        <f t="shared" si="50"/>
        <v>1</v>
      </c>
      <c r="R266" s="21">
        <f t="shared" si="51"/>
        <v>162430</v>
      </c>
      <c r="S266" s="306">
        <f t="shared" si="52"/>
        <v>530</v>
      </c>
    </row>
    <row r="267" spans="1:19">
      <c r="A267" s="3180">
        <f>面积!B922</f>
        <v>-1247</v>
      </c>
      <c r="B267" s="3181">
        <f>面积!C922</f>
        <v>32.61</v>
      </c>
      <c r="C267" s="21">
        <f t="shared" si="43"/>
        <v>1</v>
      </c>
      <c r="D267" s="632"/>
      <c r="E267" s="21">
        <f t="shared" si="44"/>
        <v>1</v>
      </c>
      <c r="F267" s="632"/>
      <c r="G267" s="21">
        <f t="shared" si="45"/>
        <v>1</v>
      </c>
      <c r="H267" s="632"/>
      <c r="I267" s="21">
        <f t="shared" si="46"/>
        <v>1</v>
      </c>
      <c r="J267" s="632"/>
      <c r="K267" s="21">
        <f t="shared" si="47"/>
        <v>1</v>
      </c>
      <c r="L267" s="632"/>
      <c r="M267" s="21">
        <f t="shared" si="48"/>
        <v>1</v>
      </c>
      <c r="N267" s="632"/>
      <c r="O267" s="21">
        <f t="shared" si="49"/>
        <v>1</v>
      </c>
      <c r="P267" s="632"/>
      <c r="Q267" s="21">
        <f t="shared" si="50"/>
        <v>1</v>
      </c>
      <c r="R267" s="21">
        <f t="shared" si="51"/>
        <v>162430</v>
      </c>
      <c r="S267" s="306">
        <f t="shared" si="52"/>
        <v>530</v>
      </c>
    </row>
    <row r="268" spans="1:19">
      <c r="A268" s="3180">
        <f>面积!B923</f>
        <v>-1248</v>
      </c>
      <c r="B268" s="3181">
        <f>面积!C923</f>
        <v>32.61</v>
      </c>
      <c r="C268" s="21">
        <f t="shared" si="43"/>
        <v>1</v>
      </c>
      <c r="D268" s="632"/>
      <c r="E268" s="21">
        <f t="shared" si="44"/>
        <v>1</v>
      </c>
      <c r="F268" s="632"/>
      <c r="G268" s="21">
        <f t="shared" si="45"/>
        <v>1</v>
      </c>
      <c r="H268" s="632"/>
      <c r="I268" s="21">
        <f t="shared" si="46"/>
        <v>1</v>
      </c>
      <c r="J268" s="632"/>
      <c r="K268" s="21">
        <f t="shared" si="47"/>
        <v>1</v>
      </c>
      <c r="L268" s="632"/>
      <c r="M268" s="21">
        <f t="shared" si="48"/>
        <v>1</v>
      </c>
      <c r="N268" s="632"/>
      <c r="O268" s="21">
        <f t="shared" si="49"/>
        <v>1</v>
      </c>
      <c r="P268" s="632"/>
      <c r="Q268" s="21">
        <f t="shared" si="50"/>
        <v>1</v>
      </c>
      <c r="R268" s="21">
        <f t="shared" si="51"/>
        <v>162430</v>
      </c>
      <c r="S268" s="306">
        <f t="shared" si="52"/>
        <v>530</v>
      </c>
    </row>
    <row r="269" spans="1:19">
      <c r="A269" s="3180">
        <f>面积!B924</f>
        <v>-1249</v>
      </c>
      <c r="B269" s="3181">
        <f>面积!C924</f>
        <v>32.61</v>
      </c>
      <c r="C269" s="21">
        <f t="shared" si="43"/>
        <v>1</v>
      </c>
      <c r="D269" s="632"/>
      <c r="E269" s="21">
        <f t="shared" si="44"/>
        <v>1</v>
      </c>
      <c r="F269" s="632"/>
      <c r="G269" s="21">
        <f t="shared" si="45"/>
        <v>1</v>
      </c>
      <c r="H269" s="632"/>
      <c r="I269" s="21">
        <f t="shared" si="46"/>
        <v>1</v>
      </c>
      <c r="J269" s="632"/>
      <c r="K269" s="21">
        <f t="shared" si="47"/>
        <v>1</v>
      </c>
      <c r="L269" s="632"/>
      <c r="M269" s="21">
        <f t="shared" si="48"/>
        <v>1</v>
      </c>
      <c r="N269" s="632"/>
      <c r="O269" s="21">
        <f t="shared" si="49"/>
        <v>1</v>
      </c>
      <c r="P269" s="632"/>
      <c r="Q269" s="21">
        <f t="shared" si="50"/>
        <v>1</v>
      </c>
      <c r="R269" s="21">
        <f t="shared" si="51"/>
        <v>162430</v>
      </c>
      <c r="S269" s="306">
        <f t="shared" si="52"/>
        <v>530</v>
      </c>
    </row>
    <row r="270" spans="1:19">
      <c r="A270" s="3180">
        <f>面积!B925</f>
        <v>-1250</v>
      </c>
      <c r="B270" s="3181">
        <f>面积!C925</f>
        <v>32.61</v>
      </c>
      <c r="C270" s="21">
        <f t="shared" si="43"/>
        <v>1</v>
      </c>
      <c r="D270" s="632"/>
      <c r="E270" s="21">
        <f t="shared" si="44"/>
        <v>1</v>
      </c>
      <c r="F270" s="632"/>
      <c r="G270" s="21">
        <f t="shared" si="45"/>
        <v>1</v>
      </c>
      <c r="H270" s="632"/>
      <c r="I270" s="21">
        <f t="shared" si="46"/>
        <v>1</v>
      </c>
      <c r="J270" s="632"/>
      <c r="K270" s="21">
        <f t="shared" si="47"/>
        <v>1</v>
      </c>
      <c r="L270" s="632"/>
      <c r="M270" s="21">
        <f t="shared" si="48"/>
        <v>1</v>
      </c>
      <c r="N270" s="632"/>
      <c r="O270" s="21">
        <f t="shared" si="49"/>
        <v>1</v>
      </c>
      <c r="P270" s="632"/>
      <c r="Q270" s="21">
        <f t="shared" si="50"/>
        <v>1</v>
      </c>
      <c r="R270" s="21">
        <f t="shared" si="51"/>
        <v>162430</v>
      </c>
      <c r="S270" s="306">
        <f t="shared" si="52"/>
        <v>530</v>
      </c>
    </row>
    <row r="271" spans="1:19">
      <c r="A271" s="3180">
        <f>面积!B926</f>
        <v>-1251</v>
      </c>
      <c r="B271" s="3181">
        <f>面积!C926</f>
        <v>32.61</v>
      </c>
      <c r="C271" s="21">
        <f t="shared" si="43"/>
        <v>1</v>
      </c>
      <c r="D271" s="632"/>
      <c r="E271" s="21">
        <f t="shared" si="44"/>
        <v>1</v>
      </c>
      <c r="F271" s="632"/>
      <c r="G271" s="21">
        <f t="shared" si="45"/>
        <v>1</v>
      </c>
      <c r="H271" s="632"/>
      <c r="I271" s="21">
        <f t="shared" si="46"/>
        <v>1</v>
      </c>
      <c r="J271" s="632"/>
      <c r="K271" s="21">
        <f t="shared" si="47"/>
        <v>1</v>
      </c>
      <c r="L271" s="632"/>
      <c r="M271" s="21">
        <f t="shared" si="48"/>
        <v>1</v>
      </c>
      <c r="N271" s="632"/>
      <c r="O271" s="21">
        <f t="shared" si="49"/>
        <v>1</v>
      </c>
      <c r="P271" s="632"/>
      <c r="Q271" s="21">
        <f t="shared" si="50"/>
        <v>1</v>
      </c>
      <c r="R271" s="21">
        <f t="shared" si="51"/>
        <v>162430</v>
      </c>
      <c r="S271" s="306">
        <f t="shared" si="52"/>
        <v>530</v>
      </c>
    </row>
    <row r="272" spans="1:19">
      <c r="A272" s="3180">
        <f>面积!B927</f>
        <v>-1252</v>
      </c>
      <c r="B272" s="3181">
        <f>面积!C927</f>
        <v>32.61</v>
      </c>
      <c r="C272" s="21">
        <f t="shared" si="43"/>
        <v>1</v>
      </c>
      <c r="D272" s="632"/>
      <c r="E272" s="21">
        <f t="shared" si="44"/>
        <v>1</v>
      </c>
      <c r="F272" s="632"/>
      <c r="G272" s="21">
        <f t="shared" si="45"/>
        <v>1</v>
      </c>
      <c r="H272" s="632"/>
      <c r="I272" s="21">
        <f t="shared" si="46"/>
        <v>1</v>
      </c>
      <c r="J272" s="632"/>
      <c r="K272" s="21">
        <f t="shared" si="47"/>
        <v>1</v>
      </c>
      <c r="L272" s="632"/>
      <c r="M272" s="21">
        <f t="shared" si="48"/>
        <v>1</v>
      </c>
      <c r="N272" s="632"/>
      <c r="O272" s="21">
        <f t="shared" si="49"/>
        <v>1</v>
      </c>
      <c r="P272" s="632"/>
      <c r="Q272" s="21">
        <f t="shared" si="50"/>
        <v>1</v>
      </c>
      <c r="R272" s="21">
        <f t="shared" si="51"/>
        <v>162430</v>
      </c>
      <c r="S272" s="306">
        <f t="shared" si="52"/>
        <v>530</v>
      </c>
    </row>
    <row r="273" spans="1:19">
      <c r="A273" s="3180">
        <f>面积!B928</f>
        <v>-1253</v>
      </c>
      <c r="B273" s="3181">
        <f>面积!C928</f>
        <v>32.61</v>
      </c>
      <c r="C273" s="21">
        <f t="shared" si="43"/>
        <v>1</v>
      </c>
      <c r="D273" s="632"/>
      <c r="E273" s="21">
        <f t="shared" si="44"/>
        <v>1</v>
      </c>
      <c r="F273" s="632"/>
      <c r="G273" s="21">
        <f t="shared" si="45"/>
        <v>1</v>
      </c>
      <c r="H273" s="632"/>
      <c r="I273" s="21">
        <f t="shared" si="46"/>
        <v>1</v>
      </c>
      <c r="J273" s="632"/>
      <c r="K273" s="21">
        <f t="shared" si="47"/>
        <v>1</v>
      </c>
      <c r="L273" s="632"/>
      <c r="M273" s="21">
        <f t="shared" si="48"/>
        <v>1</v>
      </c>
      <c r="N273" s="632"/>
      <c r="O273" s="21">
        <f t="shared" si="49"/>
        <v>1</v>
      </c>
      <c r="P273" s="632"/>
      <c r="Q273" s="21">
        <f t="shared" si="50"/>
        <v>1</v>
      </c>
      <c r="R273" s="21">
        <f t="shared" si="51"/>
        <v>162430</v>
      </c>
      <c r="S273" s="306">
        <f t="shared" si="52"/>
        <v>530</v>
      </c>
    </row>
    <row r="274" spans="1:19">
      <c r="A274" s="3180">
        <f>面积!B929</f>
        <v>-1254</v>
      </c>
      <c r="B274" s="3181">
        <f>面积!C929</f>
        <v>32.61</v>
      </c>
      <c r="C274" s="21">
        <f t="shared" si="43"/>
        <v>1</v>
      </c>
      <c r="D274" s="632"/>
      <c r="E274" s="21">
        <f t="shared" si="44"/>
        <v>1</v>
      </c>
      <c r="F274" s="632"/>
      <c r="G274" s="21">
        <f t="shared" si="45"/>
        <v>1</v>
      </c>
      <c r="H274" s="632"/>
      <c r="I274" s="21">
        <f t="shared" si="46"/>
        <v>1</v>
      </c>
      <c r="J274" s="632"/>
      <c r="K274" s="21">
        <f t="shared" si="47"/>
        <v>1</v>
      </c>
      <c r="L274" s="632"/>
      <c r="M274" s="21">
        <f t="shared" si="48"/>
        <v>1</v>
      </c>
      <c r="N274" s="632"/>
      <c r="O274" s="21">
        <f t="shared" si="49"/>
        <v>1</v>
      </c>
      <c r="P274" s="632"/>
      <c r="Q274" s="21">
        <f t="shared" si="50"/>
        <v>1</v>
      </c>
      <c r="R274" s="21">
        <f t="shared" si="51"/>
        <v>162430</v>
      </c>
      <c r="S274" s="306">
        <f t="shared" si="52"/>
        <v>530</v>
      </c>
    </row>
    <row r="275" spans="1:19">
      <c r="A275" s="3180">
        <f>面积!B930</f>
        <v>-1255</v>
      </c>
      <c r="B275" s="3181">
        <f>面积!C930</f>
        <v>32.61</v>
      </c>
      <c r="C275" s="21">
        <f t="shared" si="43"/>
        <v>1</v>
      </c>
      <c r="D275" s="632"/>
      <c r="E275" s="21">
        <f t="shared" si="44"/>
        <v>1</v>
      </c>
      <c r="F275" s="632"/>
      <c r="G275" s="21">
        <f t="shared" si="45"/>
        <v>1</v>
      </c>
      <c r="H275" s="632"/>
      <c r="I275" s="21">
        <f t="shared" si="46"/>
        <v>1</v>
      </c>
      <c r="J275" s="632"/>
      <c r="K275" s="21">
        <f t="shared" si="47"/>
        <v>1</v>
      </c>
      <c r="L275" s="632"/>
      <c r="M275" s="21">
        <f t="shared" si="48"/>
        <v>1</v>
      </c>
      <c r="N275" s="632"/>
      <c r="O275" s="21">
        <f t="shared" si="49"/>
        <v>1</v>
      </c>
      <c r="P275" s="632"/>
      <c r="Q275" s="21">
        <f t="shared" si="50"/>
        <v>1</v>
      </c>
      <c r="R275" s="21">
        <f t="shared" si="51"/>
        <v>162430</v>
      </c>
      <c r="S275" s="306">
        <f t="shared" si="52"/>
        <v>530</v>
      </c>
    </row>
    <row r="276" spans="1:19">
      <c r="A276" s="3180">
        <f>面积!B931</f>
        <v>-1256</v>
      </c>
      <c r="B276" s="3181">
        <f>面积!C931</f>
        <v>32.61</v>
      </c>
      <c r="C276" s="21">
        <f t="shared" si="43"/>
        <v>1</v>
      </c>
      <c r="D276" s="632"/>
      <c r="E276" s="21">
        <f t="shared" si="44"/>
        <v>1</v>
      </c>
      <c r="F276" s="632"/>
      <c r="G276" s="21">
        <f t="shared" si="45"/>
        <v>1</v>
      </c>
      <c r="H276" s="632"/>
      <c r="I276" s="21">
        <f t="shared" si="46"/>
        <v>1</v>
      </c>
      <c r="J276" s="632"/>
      <c r="K276" s="21">
        <f t="shared" si="47"/>
        <v>1</v>
      </c>
      <c r="L276" s="632"/>
      <c r="M276" s="21">
        <f t="shared" si="48"/>
        <v>1</v>
      </c>
      <c r="N276" s="632"/>
      <c r="O276" s="21">
        <f t="shared" si="49"/>
        <v>1</v>
      </c>
      <c r="P276" s="632"/>
      <c r="Q276" s="21">
        <f t="shared" si="50"/>
        <v>1</v>
      </c>
      <c r="R276" s="21">
        <f t="shared" si="51"/>
        <v>162430</v>
      </c>
      <c r="S276" s="306">
        <f t="shared" si="52"/>
        <v>530</v>
      </c>
    </row>
    <row r="277" spans="1:19">
      <c r="A277" s="3180">
        <f>面积!B932</f>
        <v>-1257</v>
      </c>
      <c r="B277" s="3181">
        <f>面积!C932</f>
        <v>32.61</v>
      </c>
      <c r="C277" s="21">
        <f t="shared" si="43"/>
        <v>1</v>
      </c>
      <c r="D277" s="632"/>
      <c r="E277" s="21">
        <f t="shared" si="44"/>
        <v>1</v>
      </c>
      <c r="F277" s="632"/>
      <c r="G277" s="21">
        <f t="shared" si="45"/>
        <v>1</v>
      </c>
      <c r="H277" s="632"/>
      <c r="I277" s="21">
        <f t="shared" si="46"/>
        <v>1</v>
      </c>
      <c r="J277" s="632"/>
      <c r="K277" s="21">
        <f t="shared" si="47"/>
        <v>1</v>
      </c>
      <c r="L277" s="632"/>
      <c r="M277" s="21">
        <f t="shared" si="48"/>
        <v>1</v>
      </c>
      <c r="N277" s="632"/>
      <c r="O277" s="21">
        <f t="shared" si="49"/>
        <v>1</v>
      </c>
      <c r="P277" s="632"/>
      <c r="Q277" s="21">
        <f t="shared" si="50"/>
        <v>1</v>
      </c>
      <c r="R277" s="21">
        <f t="shared" si="51"/>
        <v>162430</v>
      </c>
      <c r="S277" s="306">
        <f t="shared" si="52"/>
        <v>530</v>
      </c>
    </row>
    <row r="278" spans="1:19">
      <c r="A278" s="3180">
        <f>面积!B933</f>
        <v>-1258</v>
      </c>
      <c r="B278" s="3181">
        <f>面积!C933</f>
        <v>32.61</v>
      </c>
      <c r="C278" s="21">
        <f t="shared" si="43"/>
        <v>1</v>
      </c>
      <c r="D278" s="632"/>
      <c r="E278" s="21">
        <f t="shared" si="44"/>
        <v>1</v>
      </c>
      <c r="F278" s="632"/>
      <c r="G278" s="21">
        <f t="shared" si="45"/>
        <v>1</v>
      </c>
      <c r="H278" s="632"/>
      <c r="I278" s="21">
        <f t="shared" si="46"/>
        <v>1</v>
      </c>
      <c r="J278" s="632"/>
      <c r="K278" s="21">
        <f t="shared" si="47"/>
        <v>1</v>
      </c>
      <c r="L278" s="632"/>
      <c r="M278" s="21">
        <f t="shared" si="48"/>
        <v>1</v>
      </c>
      <c r="N278" s="632"/>
      <c r="O278" s="21">
        <f t="shared" si="49"/>
        <v>1</v>
      </c>
      <c r="P278" s="632"/>
      <c r="Q278" s="21">
        <f t="shared" si="50"/>
        <v>1</v>
      </c>
      <c r="R278" s="21">
        <f t="shared" si="51"/>
        <v>162430</v>
      </c>
      <c r="S278" s="306">
        <f t="shared" si="52"/>
        <v>530</v>
      </c>
    </row>
    <row r="279" spans="1:19">
      <c r="A279" s="3180">
        <f>面积!B934</f>
        <v>-1259</v>
      </c>
      <c r="B279" s="3181">
        <f>面积!C934</f>
        <v>32.61</v>
      </c>
      <c r="C279" s="21">
        <f t="shared" si="43"/>
        <v>1</v>
      </c>
      <c r="D279" s="632"/>
      <c r="E279" s="21">
        <f t="shared" si="44"/>
        <v>1</v>
      </c>
      <c r="F279" s="632"/>
      <c r="G279" s="21">
        <f t="shared" si="45"/>
        <v>1</v>
      </c>
      <c r="H279" s="632"/>
      <c r="I279" s="21">
        <f t="shared" si="46"/>
        <v>1</v>
      </c>
      <c r="J279" s="632"/>
      <c r="K279" s="21">
        <f t="shared" si="47"/>
        <v>1</v>
      </c>
      <c r="L279" s="632"/>
      <c r="M279" s="21">
        <f t="shared" si="48"/>
        <v>1</v>
      </c>
      <c r="N279" s="632"/>
      <c r="O279" s="21">
        <f t="shared" si="49"/>
        <v>1</v>
      </c>
      <c r="P279" s="632"/>
      <c r="Q279" s="21">
        <f t="shared" si="50"/>
        <v>1</v>
      </c>
      <c r="R279" s="21">
        <f t="shared" si="51"/>
        <v>162430</v>
      </c>
      <c r="S279" s="306">
        <f t="shared" si="52"/>
        <v>530</v>
      </c>
    </row>
    <row r="280" spans="1:19">
      <c r="A280" s="3180">
        <f>面积!B935</f>
        <v>-1260</v>
      </c>
      <c r="B280" s="3181">
        <f>面积!C935</f>
        <v>32.61</v>
      </c>
      <c r="C280" s="21">
        <f t="shared" si="43"/>
        <v>1</v>
      </c>
      <c r="D280" s="632"/>
      <c r="E280" s="21">
        <f t="shared" si="44"/>
        <v>1</v>
      </c>
      <c r="F280" s="632"/>
      <c r="G280" s="21">
        <f t="shared" si="45"/>
        <v>1</v>
      </c>
      <c r="H280" s="632"/>
      <c r="I280" s="21">
        <f t="shared" si="46"/>
        <v>1</v>
      </c>
      <c r="J280" s="632"/>
      <c r="K280" s="21">
        <f t="shared" si="47"/>
        <v>1</v>
      </c>
      <c r="L280" s="632"/>
      <c r="M280" s="21">
        <f t="shared" si="48"/>
        <v>1</v>
      </c>
      <c r="N280" s="632"/>
      <c r="O280" s="21">
        <f t="shared" si="49"/>
        <v>1</v>
      </c>
      <c r="P280" s="632"/>
      <c r="Q280" s="21">
        <f t="shared" si="50"/>
        <v>1</v>
      </c>
      <c r="R280" s="21">
        <f t="shared" si="51"/>
        <v>162430</v>
      </c>
      <c r="S280" s="306">
        <f t="shared" si="52"/>
        <v>530</v>
      </c>
    </row>
    <row r="281" spans="1:19">
      <c r="A281" s="3180">
        <f>面积!B936</f>
        <v>-1261</v>
      </c>
      <c r="B281" s="3181">
        <f>面积!C936</f>
        <v>32.61</v>
      </c>
      <c r="C281" s="21">
        <f t="shared" si="43"/>
        <v>1</v>
      </c>
      <c r="D281" s="632"/>
      <c r="E281" s="21">
        <f t="shared" si="44"/>
        <v>1</v>
      </c>
      <c r="F281" s="632"/>
      <c r="G281" s="21">
        <f t="shared" si="45"/>
        <v>1</v>
      </c>
      <c r="H281" s="632"/>
      <c r="I281" s="21">
        <f t="shared" si="46"/>
        <v>1</v>
      </c>
      <c r="J281" s="632"/>
      <c r="K281" s="21">
        <f t="shared" si="47"/>
        <v>1</v>
      </c>
      <c r="L281" s="632"/>
      <c r="M281" s="21">
        <f t="shared" si="48"/>
        <v>1</v>
      </c>
      <c r="N281" s="632"/>
      <c r="O281" s="21">
        <f t="shared" si="49"/>
        <v>1</v>
      </c>
      <c r="P281" s="632"/>
      <c r="Q281" s="21">
        <f t="shared" si="50"/>
        <v>1</v>
      </c>
      <c r="R281" s="21">
        <f t="shared" si="51"/>
        <v>162430</v>
      </c>
      <c r="S281" s="306">
        <f t="shared" si="52"/>
        <v>530</v>
      </c>
    </row>
    <row r="282" spans="1:19">
      <c r="A282" s="3180">
        <f>面积!B937</f>
        <v>-1262</v>
      </c>
      <c r="B282" s="3181">
        <f>面积!C937</f>
        <v>32.61</v>
      </c>
      <c r="C282" s="21">
        <f t="shared" ref="C282:C345" si="53">IF(B282="",1,(LOOKUP(B282,$3:$3,$4:$4)-LOOKUP($B$24,$3:$3,$4:$4)+100)/100)</f>
        <v>1</v>
      </c>
      <c r="D282" s="632"/>
      <c r="E282" s="21">
        <f t="shared" ref="E282:E345" si="54">(SUMIF($5:$5,D282,$6:$6)-SUMIF($5:$5,$D$24,$6:$6)+100)/100</f>
        <v>1</v>
      </c>
      <c r="F282" s="632"/>
      <c r="G282" s="21">
        <f t="shared" ref="G282:G345" si="55">(SUMIF($7:$7,F282,$8:$8)-SUMIF($7:$7,$F$24,$8:$8)+100)/100</f>
        <v>1</v>
      </c>
      <c r="H282" s="632"/>
      <c r="I282" s="21">
        <f t="shared" ref="I282:I345" si="56">(SUMIF($9:$9,H282,$10:$10)-SUMIF($9:$9,$H$24,$10:$10)+100)/100</f>
        <v>1</v>
      </c>
      <c r="J282" s="632"/>
      <c r="K282" s="21">
        <f t="shared" ref="K282:K345" si="57">(SUMIF($11:$11,J282,$12:$12)-SUMIF($11:$11,$J$24,$12:$12)+100)/100</f>
        <v>1</v>
      </c>
      <c r="L282" s="632"/>
      <c r="M282" s="21">
        <f t="shared" ref="M282:M345" si="58">(SUMIF($13:$13,L282,$14:$14)-SUMIF($13:$13,$L$24,$14:$14)+100)/100</f>
        <v>1</v>
      </c>
      <c r="N282" s="632"/>
      <c r="O282" s="21">
        <f t="shared" ref="O282:O345" si="59">(SUMIF($15:$15,N282,$16:$16)-SUMIF($15:$15,$N$24,$16:$16)+100)/100</f>
        <v>1</v>
      </c>
      <c r="P282" s="632"/>
      <c r="Q282" s="21">
        <f t="shared" ref="Q282:Q345" si="60">(SUMIF($17:$17,P282,$18:$18)-SUMIF($17:$17,$P$24,$18:$18)+100)/100</f>
        <v>1</v>
      </c>
      <c r="R282" s="21">
        <f t="shared" ref="R282:R345" si="61">IF(B282="",0,ROUND($R$24*C282*E282*G282*I282*K282*M282*O282*Q282,0))</f>
        <v>162430</v>
      </c>
      <c r="S282" s="306">
        <f t="shared" si="52"/>
        <v>530</v>
      </c>
    </row>
    <row r="283" spans="1:19">
      <c r="A283" s="3180">
        <f>面积!B938</f>
        <v>-1263</v>
      </c>
      <c r="B283" s="3181">
        <f>面积!C938</f>
        <v>32.61</v>
      </c>
      <c r="C283" s="21">
        <f t="shared" si="53"/>
        <v>1</v>
      </c>
      <c r="D283" s="632"/>
      <c r="E283" s="21">
        <f t="shared" si="54"/>
        <v>1</v>
      </c>
      <c r="F283" s="632"/>
      <c r="G283" s="21">
        <f t="shared" si="55"/>
        <v>1</v>
      </c>
      <c r="H283" s="632"/>
      <c r="I283" s="21">
        <f t="shared" si="56"/>
        <v>1</v>
      </c>
      <c r="J283" s="632"/>
      <c r="K283" s="21">
        <f t="shared" si="57"/>
        <v>1</v>
      </c>
      <c r="L283" s="632"/>
      <c r="M283" s="21">
        <f t="shared" si="58"/>
        <v>1</v>
      </c>
      <c r="N283" s="632"/>
      <c r="O283" s="21">
        <f t="shared" si="59"/>
        <v>1</v>
      </c>
      <c r="P283" s="632"/>
      <c r="Q283" s="21">
        <f t="shared" si="60"/>
        <v>1</v>
      </c>
      <c r="R283" s="21">
        <f t="shared" si="61"/>
        <v>162430</v>
      </c>
      <c r="S283" s="306">
        <f t="shared" si="52"/>
        <v>530</v>
      </c>
    </row>
    <row r="284" spans="1:19">
      <c r="A284" s="3180">
        <f>面积!B939</f>
        <v>-1264</v>
      </c>
      <c r="B284" s="3181">
        <f>面积!C939</f>
        <v>32.61</v>
      </c>
      <c r="C284" s="21">
        <f t="shared" si="53"/>
        <v>1</v>
      </c>
      <c r="D284" s="632"/>
      <c r="E284" s="21">
        <f t="shared" si="54"/>
        <v>1</v>
      </c>
      <c r="F284" s="632"/>
      <c r="G284" s="21">
        <f t="shared" si="55"/>
        <v>1</v>
      </c>
      <c r="H284" s="632"/>
      <c r="I284" s="21">
        <f t="shared" si="56"/>
        <v>1</v>
      </c>
      <c r="J284" s="632"/>
      <c r="K284" s="21">
        <f t="shared" si="57"/>
        <v>1</v>
      </c>
      <c r="L284" s="632"/>
      <c r="M284" s="21">
        <f t="shared" si="58"/>
        <v>1</v>
      </c>
      <c r="N284" s="632"/>
      <c r="O284" s="21">
        <f t="shared" si="59"/>
        <v>1</v>
      </c>
      <c r="P284" s="632"/>
      <c r="Q284" s="21">
        <f t="shared" si="60"/>
        <v>1</v>
      </c>
      <c r="R284" s="21">
        <f t="shared" si="61"/>
        <v>162430</v>
      </c>
      <c r="S284" s="306">
        <f t="shared" si="52"/>
        <v>530</v>
      </c>
    </row>
    <row r="285" spans="1:19">
      <c r="A285" s="3180">
        <f>面积!B940</f>
        <v>-1265</v>
      </c>
      <c r="B285" s="3181">
        <f>面积!C940</f>
        <v>32.61</v>
      </c>
      <c r="C285" s="21">
        <f t="shared" si="53"/>
        <v>1</v>
      </c>
      <c r="D285" s="632"/>
      <c r="E285" s="21">
        <f t="shared" si="54"/>
        <v>1</v>
      </c>
      <c r="F285" s="632"/>
      <c r="G285" s="21">
        <f t="shared" si="55"/>
        <v>1</v>
      </c>
      <c r="H285" s="632"/>
      <c r="I285" s="21">
        <f t="shared" si="56"/>
        <v>1</v>
      </c>
      <c r="J285" s="632"/>
      <c r="K285" s="21">
        <f t="shared" si="57"/>
        <v>1</v>
      </c>
      <c r="L285" s="632"/>
      <c r="M285" s="21">
        <f t="shared" si="58"/>
        <v>1</v>
      </c>
      <c r="N285" s="632"/>
      <c r="O285" s="21">
        <f t="shared" si="59"/>
        <v>1</v>
      </c>
      <c r="P285" s="632"/>
      <c r="Q285" s="21">
        <f t="shared" si="60"/>
        <v>1</v>
      </c>
      <c r="R285" s="21">
        <f t="shared" si="61"/>
        <v>162430</v>
      </c>
      <c r="S285" s="306">
        <f t="shared" si="52"/>
        <v>530</v>
      </c>
    </row>
    <row r="286" spans="1:19">
      <c r="A286" s="3180">
        <f>面积!B941</f>
        <v>-1266</v>
      </c>
      <c r="B286" s="3181">
        <f>面积!C941</f>
        <v>32.61</v>
      </c>
      <c r="C286" s="21">
        <f t="shared" si="53"/>
        <v>1</v>
      </c>
      <c r="D286" s="632"/>
      <c r="E286" s="21">
        <f t="shared" si="54"/>
        <v>1</v>
      </c>
      <c r="F286" s="632"/>
      <c r="G286" s="21">
        <f t="shared" si="55"/>
        <v>1</v>
      </c>
      <c r="H286" s="632"/>
      <c r="I286" s="21">
        <f t="shared" si="56"/>
        <v>1</v>
      </c>
      <c r="J286" s="632"/>
      <c r="K286" s="21">
        <f t="shared" si="57"/>
        <v>1</v>
      </c>
      <c r="L286" s="632"/>
      <c r="M286" s="21">
        <f t="shared" si="58"/>
        <v>1</v>
      </c>
      <c r="N286" s="632"/>
      <c r="O286" s="21">
        <f t="shared" si="59"/>
        <v>1</v>
      </c>
      <c r="P286" s="632"/>
      <c r="Q286" s="21">
        <f t="shared" si="60"/>
        <v>1</v>
      </c>
      <c r="R286" s="21">
        <f t="shared" si="61"/>
        <v>162430</v>
      </c>
      <c r="S286" s="306">
        <f t="shared" si="52"/>
        <v>530</v>
      </c>
    </row>
    <row r="287" spans="1:19">
      <c r="A287" s="3180">
        <f>面积!B942</f>
        <v>-1267</v>
      </c>
      <c r="B287" s="3181">
        <f>面积!C942</f>
        <v>32.61</v>
      </c>
      <c r="C287" s="21">
        <f t="shared" si="53"/>
        <v>1</v>
      </c>
      <c r="D287" s="632"/>
      <c r="E287" s="21">
        <f t="shared" si="54"/>
        <v>1</v>
      </c>
      <c r="F287" s="632"/>
      <c r="G287" s="21">
        <f t="shared" si="55"/>
        <v>1</v>
      </c>
      <c r="H287" s="632"/>
      <c r="I287" s="21">
        <f t="shared" si="56"/>
        <v>1</v>
      </c>
      <c r="J287" s="632"/>
      <c r="K287" s="21">
        <f t="shared" si="57"/>
        <v>1</v>
      </c>
      <c r="L287" s="632"/>
      <c r="M287" s="21">
        <f t="shared" si="58"/>
        <v>1</v>
      </c>
      <c r="N287" s="632"/>
      <c r="O287" s="21">
        <f t="shared" si="59"/>
        <v>1</v>
      </c>
      <c r="P287" s="632"/>
      <c r="Q287" s="21">
        <f t="shared" si="60"/>
        <v>1</v>
      </c>
      <c r="R287" s="21">
        <f t="shared" si="61"/>
        <v>162430</v>
      </c>
      <c r="S287" s="306">
        <f t="shared" ref="S287:S320" si="62">ROUND(R287*B287/10000,0)</f>
        <v>530</v>
      </c>
    </row>
    <row r="288" spans="1:19">
      <c r="A288" s="3180">
        <f>面积!B943</f>
        <v>-1268</v>
      </c>
      <c r="B288" s="3181">
        <f>面积!C943</f>
        <v>32.61</v>
      </c>
      <c r="C288" s="21">
        <f t="shared" si="53"/>
        <v>1</v>
      </c>
      <c r="D288" s="632"/>
      <c r="E288" s="21">
        <f t="shared" si="54"/>
        <v>1</v>
      </c>
      <c r="F288" s="632"/>
      <c r="G288" s="21">
        <f t="shared" si="55"/>
        <v>1</v>
      </c>
      <c r="H288" s="632"/>
      <c r="I288" s="21">
        <f t="shared" si="56"/>
        <v>1</v>
      </c>
      <c r="J288" s="632"/>
      <c r="K288" s="21">
        <f t="shared" si="57"/>
        <v>1</v>
      </c>
      <c r="L288" s="632"/>
      <c r="M288" s="21">
        <f t="shared" si="58"/>
        <v>1</v>
      </c>
      <c r="N288" s="632"/>
      <c r="O288" s="21">
        <f t="shared" si="59"/>
        <v>1</v>
      </c>
      <c r="P288" s="632"/>
      <c r="Q288" s="21">
        <f t="shared" si="60"/>
        <v>1</v>
      </c>
      <c r="R288" s="21">
        <f t="shared" si="61"/>
        <v>162430</v>
      </c>
      <c r="S288" s="306">
        <f t="shared" si="62"/>
        <v>530</v>
      </c>
    </row>
    <row r="289" spans="1:19">
      <c r="A289" s="3180">
        <f>面积!B944</f>
        <v>-1269</v>
      </c>
      <c r="B289" s="3181">
        <f>面积!C944</f>
        <v>32.61</v>
      </c>
      <c r="C289" s="21">
        <f t="shared" si="53"/>
        <v>1</v>
      </c>
      <c r="D289" s="632"/>
      <c r="E289" s="21">
        <f t="shared" si="54"/>
        <v>1</v>
      </c>
      <c r="F289" s="632"/>
      <c r="G289" s="21">
        <f t="shared" si="55"/>
        <v>1</v>
      </c>
      <c r="H289" s="632"/>
      <c r="I289" s="21">
        <f t="shared" si="56"/>
        <v>1</v>
      </c>
      <c r="J289" s="632"/>
      <c r="K289" s="21">
        <f t="shared" si="57"/>
        <v>1</v>
      </c>
      <c r="L289" s="632"/>
      <c r="M289" s="21">
        <f t="shared" si="58"/>
        <v>1</v>
      </c>
      <c r="N289" s="632"/>
      <c r="O289" s="21">
        <f t="shared" si="59"/>
        <v>1</v>
      </c>
      <c r="P289" s="632"/>
      <c r="Q289" s="21">
        <f t="shared" si="60"/>
        <v>1</v>
      </c>
      <c r="R289" s="21">
        <f t="shared" si="61"/>
        <v>162430</v>
      </c>
      <c r="S289" s="306">
        <f t="shared" si="62"/>
        <v>530</v>
      </c>
    </row>
    <row r="290" spans="1:19">
      <c r="A290" s="3180">
        <f>面积!B945</f>
        <v>-1270</v>
      </c>
      <c r="B290" s="3181">
        <f>面积!C945</f>
        <v>32.61</v>
      </c>
      <c r="C290" s="21">
        <f t="shared" si="53"/>
        <v>1</v>
      </c>
      <c r="D290" s="632"/>
      <c r="E290" s="21">
        <f t="shared" si="54"/>
        <v>1</v>
      </c>
      <c r="F290" s="632"/>
      <c r="G290" s="21">
        <f t="shared" si="55"/>
        <v>1</v>
      </c>
      <c r="H290" s="632"/>
      <c r="I290" s="21">
        <f t="shared" si="56"/>
        <v>1</v>
      </c>
      <c r="J290" s="632"/>
      <c r="K290" s="21">
        <f t="shared" si="57"/>
        <v>1</v>
      </c>
      <c r="L290" s="632"/>
      <c r="M290" s="21">
        <f t="shared" si="58"/>
        <v>1</v>
      </c>
      <c r="N290" s="632"/>
      <c r="O290" s="21">
        <f t="shared" si="59"/>
        <v>1</v>
      </c>
      <c r="P290" s="632"/>
      <c r="Q290" s="21">
        <f t="shared" si="60"/>
        <v>1</v>
      </c>
      <c r="R290" s="21">
        <f t="shared" si="61"/>
        <v>162430</v>
      </c>
      <c r="S290" s="306">
        <f t="shared" si="62"/>
        <v>530</v>
      </c>
    </row>
    <row r="291" spans="1:19">
      <c r="A291" s="3180">
        <f>面积!B946</f>
        <v>-1271</v>
      </c>
      <c r="B291" s="3181">
        <f>面积!C946</f>
        <v>32.61</v>
      </c>
      <c r="C291" s="21">
        <f t="shared" si="53"/>
        <v>1</v>
      </c>
      <c r="D291" s="632"/>
      <c r="E291" s="21">
        <f t="shared" si="54"/>
        <v>1</v>
      </c>
      <c r="F291" s="632"/>
      <c r="G291" s="21">
        <f t="shared" si="55"/>
        <v>1</v>
      </c>
      <c r="H291" s="632"/>
      <c r="I291" s="21">
        <f t="shared" si="56"/>
        <v>1</v>
      </c>
      <c r="J291" s="632"/>
      <c r="K291" s="21">
        <f t="shared" si="57"/>
        <v>1</v>
      </c>
      <c r="L291" s="632"/>
      <c r="M291" s="21">
        <f t="shared" si="58"/>
        <v>1</v>
      </c>
      <c r="N291" s="632"/>
      <c r="O291" s="21">
        <f t="shared" si="59"/>
        <v>1</v>
      </c>
      <c r="P291" s="632"/>
      <c r="Q291" s="21">
        <f t="shared" si="60"/>
        <v>1</v>
      </c>
      <c r="R291" s="21">
        <f t="shared" si="61"/>
        <v>162430</v>
      </c>
      <c r="S291" s="306">
        <f t="shared" si="62"/>
        <v>530</v>
      </c>
    </row>
    <row r="292" spans="1:19">
      <c r="A292" s="3180">
        <f>面积!B947</f>
        <v>-1272</v>
      </c>
      <c r="B292" s="3181">
        <f>面积!C947</f>
        <v>32.61</v>
      </c>
      <c r="C292" s="21">
        <f t="shared" si="53"/>
        <v>1</v>
      </c>
      <c r="D292" s="632"/>
      <c r="E292" s="21">
        <f t="shared" si="54"/>
        <v>1</v>
      </c>
      <c r="F292" s="632"/>
      <c r="G292" s="21">
        <f t="shared" si="55"/>
        <v>1</v>
      </c>
      <c r="H292" s="632"/>
      <c r="I292" s="21">
        <f t="shared" si="56"/>
        <v>1</v>
      </c>
      <c r="J292" s="632"/>
      <c r="K292" s="21">
        <f t="shared" si="57"/>
        <v>1</v>
      </c>
      <c r="L292" s="632"/>
      <c r="M292" s="21">
        <f t="shared" si="58"/>
        <v>1</v>
      </c>
      <c r="N292" s="632"/>
      <c r="O292" s="21">
        <f t="shared" si="59"/>
        <v>1</v>
      </c>
      <c r="P292" s="632"/>
      <c r="Q292" s="21">
        <f t="shared" si="60"/>
        <v>1</v>
      </c>
      <c r="R292" s="21">
        <f t="shared" si="61"/>
        <v>162430</v>
      </c>
      <c r="S292" s="306">
        <f t="shared" si="62"/>
        <v>530</v>
      </c>
    </row>
    <row r="293" spans="1:19">
      <c r="A293" s="3180">
        <f>面积!B948</f>
        <v>-1273</v>
      </c>
      <c r="B293" s="3181">
        <f>面积!C948</f>
        <v>32.61</v>
      </c>
      <c r="C293" s="21">
        <f t="shared" si="53"/>
        <v>1</v>
      </c>
      <c r="D293" s="632"/>
      <c r="E293" s="21">
        <f t="shared" si="54"/>
        <v>1</v>
      </c>
      <c r="F293" s="632"/>
      <c r="G293" s="21">
        <f t="shared" si="55"/>
        <v>1</v>
      </c>
      <c r="H293" s="632"/>
      <c r="I293" s="21">
        <f t="shared" si="56"/>
        <v>1</v>
      </c>
      <c r="J293" s="632"/>
      <c r="K293" s="21">
        <f t="shared" si="57"/>
        <v>1</v>
      </c>
      <c r="L293" s="632"/>
      <c r="M293" s="21">
        <f t="shared" si="58"/>
        <v>1</v>
      </c>
      <c r="N293" s="632"/>
      <c r="O293" s="21">
        <f t="shared" si="59"/>
        <v>1</v>
      </c>
      <c r="P293" s="632"/>
      <c r="Q293" s="21">
        <f t="shared" si="60"/>
        <v>1</v>
      </c>
      <c r="R293" s="21">
        <f t="shared" si="61"/>
        <v>162430</v>
      </c>
      <c r="S293" s="306">
        <f t="shared" si="62"/>
        <v>530</v>
      </c>
    </row>
    <row r="294" spans="1:19">
      <c r="A294" s="3180">
        <f>面积!B949</f>
        <v>-1274</v>
      </c>
      <c r="B294" s="3181">
        <f>面积!C949</f>
        <v>32.61</v>
      </c>
      <c r="C294" s="21">
        <f t="shared" si="53"/>
        <v>1</v>
      </c>
      <c r="D294" s="632"/>
      <c r="E294" s="21">
        <f t="shared" si="54"/>
        <v>1</v>
      </c>
      <c r="F294" s="632"/>
      <c r="G294" s="21">
        <f t="shared" si="55"/>
        <v>1</v>
      </c>
      <c r="H294" s="632"/>
      <c r="I294" s="21">
        <f t="shared" si="56"/>
        <v>1</v>
      </c>
      <c r="J294" s="632"/>
      <c r="K294" s="21">
        <f t="shared" si="57"/>
        <v>1</v>
      </c>
      <c r="L294" s="632"/>
      <c r="M294" s="21">
        <f t="shared" si="58"/>
        <v>1</v>
      </c>
      <c r="N294" s="632"/>
      <c r="O294" s="21">
        <f t="shared" si="59"/>
        <v>1</v>
      </c>
      <c r="P294" s="632"/>
      <c r="Q294" s="21">
        <f t="shared" si="60"/>
        <v>1</v>
      </c>
      <c r="R294" s="21">
        <f t="shared" si="61"/>
        <v>162430</v>
      </c>
      <c r="S294" s="306">
        <f t="shared" si="62"/>
        <v>530</v>
      </c>
    </row>
    <row r="295" spans="1:19">
      <c r="A295" s="3180">
        <f>面积!B950</f>
        <v>-1275</v>
      </c>
      <c r="B295" s="3181">
        <f>面积!C950</f>
        <v>32.61</v>
      </c>
      <c r="C295" s="21">
        <f t="shared" si="53"/>
        <v>1</v>
      </c>
      <c r="D295" s="632"/>
      <c r="E295" s="21">
        <f t="shared" si="54"/>
        <v>1</v>
      </c>
      <c r="F295" s="632"/>
      <c r="G295" s="21">
        <f t="shared" si="55"/>
        <v>1</v>
      </c>
      <c r="H295" s="632"/>
      <c r="I295" s="21">
        <f t="shared" si="56"/>
        <v>1</v>
      </c>
      <c r="J295" s="632"/>
      <c r="K295" s="21">
        <f t="shared" si="57"/>
        <v>1</v>
      </c>
      <c r="L295" s="632"/>
      <c r="M295" s="21">
        <f t="shared" si="58"/>
        <v>1</v>
      </c>
      <c r="N295" s="632"/>
      <c r="O295" s="21">
        <f t="shared" si="59"/>
        <v>1</v>
      </c>
      <c r="P295" s="632"/>
      <c r="Q295" s="21">
        <f t="shared" si="60"/>
        <v>1</v>
      </c>
      <c r="R295" s="21">
        <f t="shared" si="61"/>
        <v>162430</v>
      </c>
      <c r="S295" s="306">
        <f t="shared" si="62"/>
        <v>530</v>
      </c>
    </row>
    <row r="296" spans="1:19">
      <c r="A296" s="3180">
        <f>面积!B951</f>
        <v>-1276</v>
      </c>
      <c r="B296" s="3181">
        <f>面积!C951</f>
        <v>32.61</v>
      </c>
      <c r="C296" s="21">
        <f t="shared" si="53"/>
        <v>1</v>
      </c>
      <c r="D296" s="632"/>
      <c r="E296" s="21">
        <f t="shared" si="54"/>
        <v>1</v>
      </c>
      <c r="F296" s="632"/>
      <c r="G296" s="21">
        <f t="shared" si="55"/>
        <v>1</v>
      </c>
      <c r="H296" s="632"/>
      <c r="I296" s="21">
        <f t="shared" si="56"/>
        <v>1</v>
      </c>
      <c r="J296" s="632"/>
      <c r="K296" s="21">
        <f t="shared" si="57"/>
        <v>1</v>
      </c>
      <c r="L296" s="632"/>
      <c r="M296" s="21">
        <f t="shared" si="58"/>
        <v>1</v>
      </c>
      <c r="N296" s="632"/>
      <c r="O296" s="21">
        <f t="shared" si="59"/>
        <v>1</v>
      </c>
      <c r="P296" s="632"/>
      <c r="Q296" s="21">
        <f t="shared" si="60"/>
        <v>1</v>
      </c>
      <c r="R296" s="21">
        <f t="shared" si="61"/>
        <v>162430</v>
      </c>
      <c r="S296" s="306">
        <f t="shared" si="62"/>
        <v>530</v>
      </c>
    </row>
    <row r="297" spans="1:19">
      <c r="A297" s="3180">
        <f>面积!B952</f>
        <v>-1277</v>
      </c>
      <c r="B297" s="3181">
        <f>面积!C952</f>
        <v>32.61</v>
      </c>
      <c r="C297" s="21">
        <f t="shared" si="53"/>
        <v>1</v>
      </c>
      <c r="D297" s="632"/>
      <c r="E297" s="21">
        <f t="shared" si="54"/>
        <v>1</v>
      </c>
      <c r="F297" s="632"/>
      <c r="G297" s="21">
        <f t="shared" si="55"/>
        <v>1</v>
      </c>
      <c r="H297" s="632"/>
      <c r="I297" s="21">
        <f t="shared" si="56"/>
        <v>1</v>
      </c>
      <c r="J297" s="632"/>
      <c r="K297" s="21">
        <f t="shared" si="57"/>
        <v>1</v>
      </c>
      <c r="L297" s="632"/>
      <c r="M297" s="21">
        <f t="shared" si="58"/>
        <v>1</v>
      </c>
      <c r="N297" s="632"/>
      <c r="O297" s="21">
        <f t="shared" si="59"/>
        <v>1</v>
      </c>
      <c r="P297" s="632"/>
      <c r="Q297" s="21">
        <f t="shared" si="60"/>
        <v>1</v>
      </c>
      <c r="R297" s="21">
        <f t="shared" si="61"/>
        <v>162430</v>
      </c>
      <c r="S297" s="306">
        <f t="shared" si="62"/>
        <v>530</v>
      </c>
    </row>
    <row r="298" spans="1:19">
      <c r="A298" s="3180">
        <f>面积!B953</f>
        <v>-1278</v>
      </c>
      <c r="B298" s="3181">
        <f>面积!C953</f>
        <v>32.61</v>
      </c>
      <c r="C298" s="21">
        <f t="shared" si="53"/>
        <v>1</v>
      </c>
      <c r="D298" s="632"/>
      <c r="E298" s="21">
        <f t="shared" si="54"/>
        <v>1</v>
      </c>
      <c r="F298" s="632"/>
      <c r="G298" s="21">
        <f t="shared" si="55"/>
        <v>1</v>
      </c>
      <c r="H298" s="632"/>
      <c r="I298" s="21">
        <f t="shared" si="56"/>
        <v>1</v>
      </c>
      <c r="J298" s="632"/>
      <c r="K298" s="21">
        <f t="shared" si="57"/>
        <v>1</v>
      </c>
      <c r="L298" s="632"/>
      <c r="M298" s="21">
        <f t="shared" si="58"/>
        <v>1</v>
      </c>
      <c r="N298" s="632"/>
      <c r="O298" s="21">
        <f t="shared" si="59"/>
        <v>1</v>
      </c>
      <c r="P298" s="632"/>
      <c r="Q298" s="21">
        <f t="shared" si="60"/>
        <v>1</v>
      </c>
      <c r="R298" s="21">
        <f t="shared" si="61"/>
        <v>162430</v>
      </c>
      <c r="S298" s="306">
        <f t="shared" si="62"/>
        <v>530</v>
      </c>
    </row>
    <row r="299" spans="1:19">
      <c r="A299" s="3180">
        <f>面积!B954</f>
        <v>-1279</v>
      </c>
      <c r="B299" s="3181">
        <f>面积!C954</f>
        <v>32.61</v>
      </c>
      <c r="C299" s="21">
        <f t="shared" si="53"/>
        <v>1</v>
      </c>
      <c r="D299" s="632"/>
      <c r="E299" s="21">
        <f t="shared" si="54"/>
        <v>1</v>
      </c>
      <c r="F299" s="632"/>
      <c r="G299" s="21">
        <f t="shared" si="55"/>
        <v>1</v>
      </c>
      <c r="H299" s="632"/>
      <c r="I299" s="21">
        <f t="shared" si="56"/>
        <v>1</v>
      </c>
      <c r="J299" s="632"/>
      <c r="K299" s="21">
        <f t="shared" si="57"/>
        <v>1</v>
      </c>
      <c r="L299" s="632"/>
      <c r="M299" s="21">
        <f t="shared" si="58"/>
        <v>1</v>
      </c>
      <c r="N299" s="632"/>
      <c r="O299" s="21">
        <f t="shared" si="59"/>
        <v>1</v>
      </c>
      <c r="P299" s="632"/>
      <c r="Q299" s="21">
        <f t="shared" si="60"/>
        <v>1</v>
      </c>
      <c r="R299" s="21">
        <f t="shared" si="61"/>
        <v>162430</v>
      </c>
      <c r="S299" s="306">
        <f t="shared" si="62"/>
        <v>530</v>
      </c>
    </row>
    <row r="300" spans="1:19">
      <c r="A300" s="3180">
        <f>面积!B955</f>
        <v>-1280</v>
      </c>
      <c r="B300" s="3181">
        <f>面积!C955</f>
        <v>32.61</v>
      </c>
      <c r="C300" s="21">
        <f t="shared" si="53"/>
        <v>1</v>
      </c>
      <c r="D300" s="632"/>
      <c r="E300" s="21">
        <f t="shared" si="54"/>
        <v>1</v>
      </c>
      <c r="F300" s="632"/>
      <c r="G300" s="21">
        <f t="shared" si="55"/>
        <v>1</v>
      </c>
      <c r="H300" s="632"/>
      <c r="I300" s="21">
        <f t="shared" si="56"/>
        <v>1</v>
      </c>
      <c r="J300" s="632"/>
      <c r="K300" s="21">
        <f t="shared" si="57"/>
        <v>1</v>
      </c>
      <c r="L300" s="632"/>
      <c r="M300" s="21">
        <f t="shared" si="58"/>
        <v>1</v>
      </c>
      <c r="N300" s="632"/>
      <c r="O300" s="21">
        <f t="shared" si="59"/>
        <v>1</v>
      </c>
      <c r="P300" s="632"/>
      <c r="Q300" s="21">
        <f t="shared" si="60"/>
        <v>1</v>
      </c>
      <c r="R300" s="21">
        <f t="shared" si="61"/>
        <v>162430</v>
      </c>
      <c r="S300" s="306">
        <f t="shared" si="62"/>
        <v>530</v>
      </c>
    </row>
    <row r="301" spans="1:19">
      <c r="A301" s="3180">
        <f>面积!B956</f>
        <v>-1281</v>
      </c>
      <c r="B301" s="3181">
        <f>面积!C956</f>
        <v>32.61</v>
      </c>
      <c r="C301" s="21">
        <f t="shared" si="53"/>
        <v>1</v>
      </c>
      <c r="D301" s="632"/>
      <c r="E301" s="21">
        <f t="shared" si="54"/>
        <v>1</v>
      </c>
      <c r="F301" s="632"/>
      <c r="G301" s="21">
        <f t="shared" si="55"/>
        <v>1</v>
      </c>
      <c r="H301" s="632"/>
      <c r="I301" s="21">
        <f t="shared" si="56"/>
        <v>1</v>
      </c>
      <c r="J301" s="632"/>
      <c r="K301" s="21">
        <f t="shared" si="57"/>
        <v>1</v>
      </c>
      <c r="L301" s="632"/>
      <c r="M301" s="21">
        <f t="shared" si="58"/>
        <v>1</v>
      </c>
      <c r="N301" s="632"/>
      <c r="O301" s="21">
        <f t="shared" si="59"/>
        <v>1</v>
      </c>
      <c r="P301" s="632"/>
      <c r="Q301" s="21">
        <f t="shared" si="60"/>
        <v>1</v>
      </c>
      <c r="R301" s="21">
        <f t="shared" si="61"/>
        <v>162430</v>
      </c>
      <c r="S301" s="306">
        <f t="shared" si="62"/>
        <v>530</v>
      </c>
    </row>
    <row r="302" spans="1:19">
      <c r="A302" s="3180">
        <f>面积!B957</f>
        <v>-1282</v>
      </c>
      <c r="B302" s="3181">
        <f>面积!C957</f>
        <v>32.61</v>
      </c>
      <c r="C302" s="21">
        <f t="shared" si="53"/>
        <v>1</v>
      </c>
      <c r="D302" s="632"/>
      <c r="E302" s="21">
        <f t="shared" si="54"/>
        <v>1</v>
      </c>
      <c r="F302" s="632"/>
      <c r="G302" s="21">
        <f t="shared" si="55"/>
        <v>1</v>
      </c>
      <c r="H302" s="632"/>
      <c r="I302" s="21">
        <f t="shared" si="56"/>
        <v>1</v>
      </c>
      <c r="J302" s="632"/>
      <c r="K302" s="21">
        <f t="shared" si="57"/>
        <v>1</v>
      </c>
      <c r="L302" s="632"/>
      <c r="M302" s="21">
        <f t="shared" si="58"/>
        <v>1</v>
      </c>
      <c r="N302" s="632"/>
      <c r="O302" s="21">
        <f t="shared" si="59"/>
        <v>1</v>
      </c>
      <c r="P302" s="632"/>
      <c r="Q302" s="21">
        <f t="shared" si="60"/>
        <v>1</v>
      </c>
      <c r="R302" s="21">
        <f t="shared" si="61"/>
        <v>162430</v>
      </c>
      <c r="S302" s="306">
        <f t="shared" si="62"/>
        <v>530</v>
      </c>
    </row>
    <row r="303" spans="1:19">
      <c r="A303" s="3180">
        <f>面积!B958</f>
        <v>-1283</v>
      </c>
      <c r="B303" s="3181">
        <f>面积!C958</f>
        <v>32.61</v>
      </c>
      <c r="C303" s="21">
        <f t="shared" si="53"/>
        <v>1</v>
      </c>
      <c r="D303" s="632"/>
      <c r="E303" s="21">
        <f t="shared" si="54"/>
        <v>1</v>
      </c>
      <c r="F303" s="632"/>
      <c r="G303" s="21">
        <f t="shared" si="55"/>
        <v>1</v>
      </c>
      <c r="H303" s="632"/>
      <c r="I303" s="21">
        <f t="shared" si="56"/>
        <v>1</v>
      </c>
      <c r="J303" s="632"/>
      <c r="K303" s="21">
        <f t="shared" si="57"/>
        <v>1</v>
      </c>
      <c r="L303" s="632"/>
      <c r="M303" s="21">
        <f t="shared" si="58"/>
        <v>1</v>
      </c>
      <c r="N303" s="632"/>
      <c r="O303" s="21">
        <f t="shared" si="59"/>
        <v>1</v>
      </c>
      <c r="P303" s="632"/>
      <c r="Q303" s="21">
        <f t="shared" si="60"/>
        <v>1</v>
      </c>
      <c r="R303" s="21">
        <f t="shared" si="61"/>
        <v>162430</v>
      </c>
      <c r="S303" s="306">
        <f t="shared" si="62"/>
        <v>530</v>
      </c>
    </row>
    <row r="304" spans="1:19">
      <c r="A304" s="3180">
        <f>面积!B959</f>
        <v>-1284</v>
      </c>
      <c r="B304" s="3181">
        <f>面积!C959</f>
        <v>32.61</v>
      </c>
      <c r="C304" s="21">
        <f t="shared" si="53"/>
        <v>1</v>
      </c>
      <c r="D304" s="632"/>
      <c r="E304" s="21">
        <f t="shared" si="54"/>
        <v>1</v>
      </c>
      <c r="F304" s="632"/>
      <c r="G304" s="21">
        <f t="shared" si="55"/>
        <v>1</v>
      </c>
      <c r="H304" s="632"/>
      <c r="I304" s="21">
        <f t="shared" si="56"/>
        <v>1</v>
      </c>
      <c r="J304" s="632"/>
      <c r="K304" s="21">
        <f t="shared" si="57"/>
        <v>1</v>
      </c>
      <c r="L304" s="632"/>
      <c r="M304" s="21">
        <f t="shared" si="58"/>
        <v>1</v>
      </c>
      <c r="N304" s="632"/>
      <c r="O304" s="21">
        <f t="shared" si="59"/>
        <v>1</v>
      </c>
      <c r="P304" s="632"/>
      <c r="Q304" s="21">
        <f t="shared" si="60"/>
        <v>1</v>
      </c>
      <c r="R304" s="21">
        <f t="shared" si="61"/>
        <v>162430</v>
      </c>
      <c r="S304" s="306">
        <f t="shared" si="62"/>
        <v>530</v>
      </c>
    </row>
    <row r="305" spans="1:19">
      <c r="A305" s="3180">
        <f>面积!B960</f>
        <v>-1285</v>
      </c>
      <c r="B305" s="3181">
        <f>面积!C960</f>
        <v>32.61</v>
      </c>
      <c r="C305" s="21">
        <f t="shared" si="53"/>
        <v>1</v>
      </c>
      <c r="D305" s="632"/>
      <c r="E305" s="21">
        <f t="shared" si="54"/>
        <v>1</v>
      </c>
      <c r="F305" s="632"/>
      <c r="G305" s="21">
        <f t="shared" si="55"/>
        <v>1</v>
      </c>
      <c r="H305" s="632"/>
      <c r="I305" s="21">
        <f t="shared" si="56"/>
        <v>1</v>
      </c>
      <c r="J305" s="632"/>
      <c r="K305" s="21">
        <f t="shared" si="57"/>
        <v>1</v>
      </c>
      <c r="L305" s="632"/>
      <c r="M305" s="21">
        <f t="shared" si="58"/>
        <v>1</v>
      </c>
      <c r="N305" s="632"/>
      <c r="O305" s="21">
        <f t="shared" si="59"/>
        <v>1</v>
      </c>
      <c r="P305" s="632"/>
      <c r="Q305" s="21">
        <f t="shared" si="60"/>
        <v>1</v>
      </c>
      <c r="R305" s="21">
        <f t="shared" si="61"/>
        <v>162430</v>
      </c>
      <c r="S305" s="306">
        <f t="shared" si="62"/>
        <v>530</v>
      </c>
    </row>
    <row r="306" spans="1:19">
      <c r="A306" s="3180">
        <f>面积!B961</f>
        <v>-1286</v>
      </c>
      <c r="B306" s="3181">
        <f>面积!C961</f>
        <v>32.61</v>
      </c>
      <c r="C306" s="21">
        <f t="shared" si="53"/>
        <v>1</v>
      </c>
      <c r="D306" s="632"/>
      <c r="E306" s="21">
        <f t="shared" si="54"/>
        <v>1</v>
      </c>
      <c r="F306" s="632"/>
      <c r="G306" s="21">
        <f t="shared" si="55"/>
        <v>1</v>
      </c>
      <c r="H306" s="632"/>
      <c r="I306" s="21">
        <f t="shared" si="56"/>
        <v>1</v>
      </c>
      <c r="J306" s="632"/>
      <c r="K306" s="21">
        <f t="shared" si="57"/>
        <v>1</v>
      </c>
      <c r="L306" s="632"/>
      <c r="M306" s="21">
        <f t="shared" si="58"/>
        <v>1</v>
      </c>
      <c r="N306" s="632"/>
      <c r="O306" s="21">
        <f t="shared" si="59"/>
        <v>1</v>
      </c>
      <c r="P306" s="632"/>
      <c r="Q306" s="21">
        <f t="shared" si="60"/>
        <v>1</v>
      </c>
      <c r="R306" s="21">
        <f t="shared" si="61"/>
        <v>162430</v>
      </c>
      <c r="S306" s="306">
        <f t="shared" si="62"/>
        <v>530</v>
      </c>
    </row>
    <row r="307" spans="1:19">
      <c r="A307" s="3180">
        <f>面积!B962</f>
        <v>-1287</v>
      </c>
      <c r="B307" s="3181">
        <f>面积!C962</f>
        <v>32.61</v>
      </c>
      <c r="C307" s="21">
        <f t="shared" si="53"/>
        <v>1</v>
      </c>
      <c r="D307" s="632"/>
      <c r="E307" s="21">
        <f t="shared" si="54"/>
        <v>1</v>
      </c>
      <c r="F307" s="632"/>
      <c r="G307" s="21">
        <f t="shared" si="55"/>
        <v>1</v>
      </c>
      <c r="H307" s="632"/>
      <c r="I307" s="21">
        <f t="shared" si="56"/>
        <v>1</v>
      </c>
      <c r="J307" s="632"/>
      <c r="K307" s="21">
        <f t="shared" si="57"/>
        <v>1</v>
      </c>
      <c r="L307" s="632"/>
      <c r="M307" s="21">
        <f t="shared" si="58"/>
        <v>1</v>
      </c>
      <c r="N307" s="632"/>
      <c r="O307" s="21">
        <f t="shared" si="59"/>
        <v>1</v>
      </c>
      <c r="P307" s="632"/>
      <c r="Q307" s="21">
        <f t="shared" si="60"/>
        <v>1</v>
      </c>
      <c r="R307" s="21">
        <f t="shared" si="61"/>
        <v>162430</v>
      </c>
      <c r="S307" s="306">
        <f t="shared" si="62"/>
        <v>530</v>
      </c>
    </row>
    <row r="308" spans="1:19">
      <c r="A308" s="3180">
        <f>面积!B963</f>
        <v>-1288</v>
      </c>
      <c r="B308" s="3181">
        <f>面积!C963</f>
        <v>32.61</v>
      </c>
      <c r="C308" s="21">
        <f t="shared" si="53"/>
        <v>1</v>
      </c>
      <c r="D308" s="632"/>
      <c r="E308" s="21">
        <f t="shared" si="54"/>
        <v>1</v>
      </c>
      <c r="F308" s="632"/>
      <c r="G308" s="21">
        <f t="shared" si="55"/>
        <v>1</v>
      </c>
      <c r="H308" s="632"/>
      <c r="I308" s="21">
        <f t="shared" si="56"/>
        <v>1</v>
      </c>
      <c r="J308" s="632"/>
      <c r="K308" s="21">
        <f t="shared" si="57"/>
        <v>1</v>
      </c>
      <c r="L308" s="632"/>
      <c r="M308" s="21">
        <f t="shared" si="58"/>
        <v>1</v>
      </c>
      <c r="N308" s="632"/>
      <c r="O308" s="21">
        <f t="shared" si="59"/>
        <v>1</v>
      </c>
      <c r="P308" s="632"/>
      <c r="Q308" s="21">
        <f t="shared" si="60"/>
        <v>1</v>
      </c>
      <c r="R308" s="21">
        <f t="shared" si="61"/>
        <v>162430</v>
      </c>
      <c r="S308" s="306">
        <f t="shared" si="62"/>
        <v>530</v>
      </c>
    </row>
    <row r="309" spans="1:19">
      <c r="A309" s="3180">
        <f>面积!B964</f>
        <v>-1289</v>
      </c>
      <c r="B309" s="3181">
        <f>面积!C964</f>
        <v>32.61</v>
      </c>
      <c r="C309" s="21">
        <f t="shared" si="53"/>
        <v>1</v>
      </c>
      <c r="D309" s="632"/>
      <c r="E309" s="21">
        <f t="shared" si="54"/>
        <v>1</v>
      </c>
      <c r="F309" s="632"/>
      <c r="G309" s="21">
        <f t="shared" si="55"/>
        <v>1</v>
      </c>
      <c r="H309" s="632"/>
      <c r="I309" s="21">
        <f t="shared" si="56"/>
        <v>1</v>
      </c>
      <c r="J309" s="632"/>
      <c r="K309" s="21">
        <f t="shared" si="57"/>
        <v>1</v>
      </c>
      <c r="L309" s="632"/>
      <c r="M309" s="21">
        <f t="shared" si="58"/>
        <v>1</v>
      </c>
      <c r="N309" s="632"/>
      <c r="O309" s="21">
        <f t="shared" si="59"/>
        <v>1</v>
      </c>
      <c r="P309" s="632"/>
      <c r="Q309" s="21">
        <f t="shared" si="60"/>
        <v>1</v>
      </c>
      <c r="R309" s="21">
        <f t="shared" si="61"/>
        <v>162430</v>
      </c>
      <c r="S309" s="306">
        <f t="shared" si="62"/>
        <v>530</v>
      </c>
    </row>
    <row r="310" spans="1:19">
      <c r="A310" s="3180">
        <f>面积!B965</f>
        <v>-1290</v>
      </c>
      <c r="B310" s="3181">
        <f>面积!C965</f>
        <v>32.61</v>
      </c>
      <c r="C310" s="21">
        <f t="shared" si="53"/>
        <v>1</v>
      </c>
      <c r="D310" s="632"/>
      <c r="E310" s="21">
        <f t="shared" si="54"/>
        <v>1</v>
      </c>
      <c r="F310" s="632"/>
      <c r="G310" s="21">
        <f t="shared" si="55"/>
        <v>1</v>
      </c>
      <c r="H310" s="632"/>
      <c r="I310" s="21">
        <f t="shared" si="56"/>
        <v>1</v>
      </c>
      <c r="J310" s="632"/>
      <c r="K310" s="21">
        <f t="shared" si="57"/>
        <v>1</v>
      </c>
      <c r="L310" s="632"/>
      <c r="M310" s="21">
        <f t="shared" si="58"/>
        <v>1</v>
      </c>
      <c r="N310" s="632"/>
      <c r="O310" s="21">
        <f t="shared" si="59"/>
        <v>1</v>
      </c>
      <c r="P310" s="632"/>
      <c r="Q310" s="21">
        <f t="shared" si="60"/>
        <v>1</v>
      </c>
      <c r="R310" s="21">
        <f t="shared" si="61"/>
        <v>162430</v>
      </c>
      <c r="S310" s="306">
        <f t="shared" si="62"/>
        <v>530</v>
      </c>
    </row>
    <row r="311" spans="1:19">
      <c r="A311" s="3180">
        <f>面积!B966</f>
        <v>-1291</v>
      </c>
      <c r="B311" s="3181">
        <f>面积!C966</f>
        <v>32.61</v>
      </c>
      <c r="C311" s="21">
        <f t="shared" si="53"/>
        <v>1</v>
      </c>
      <c r="D311" s="632"/>
      <c r="E311" s="21">
        <f t="shared" si="54"/>
        <v>1</v>
      </c>
      <c r="F311" s="632"/>
      <c r="G311" s="21">
        <f t="shared" si="55"/>
        <v>1</v>
      </c>
      <c r="H311" s="632"/>
      <c r="I311" s="21">
        <f t="shared" si="56"/>
        <v>1</v>
      </c>
      <c r="J311" s="632"/>
      <c r="K311" s="21">
        <f t="shared" si="57"/>
        <v>1</v>
      </c>
      <c r="L311" s="632"/>
      <c r="M311" s="21">
        <f t="shared" si="58"/>
        <v>1</v>
      </c>
      <c r="N311" s="632"/>
      <c r="O311" s="21">
        <f t="shared" si="59"/>
        <v>1</v>
      </c>
      <c r="P311" s="632"/>
      <c r="Q311" s="21">
        <f t="shared" si="60"/>
        <v>1</v>
      </c>
      <c r="R311" s="21">
        <f t="shared" si="61"/>
        <v>162430</v>
      </c>
      <c r="S311" s="306">
        <f t="shared" si="62"/>
        <v>530</v>
      </c>
    </row>
    <row r="312" spans="1:19">
      <c r="A312" s="3180">
        <f>面积!B967</f>
        <v>-1292</v>
      </c>
      <c r="B312" s="3181">
        <f>面积!C967</f>
        <v>32.61</v>
      </c>
      <c r="C312" s="21">
        <f t="shared" si="53"/>
        <v>1</v>
      </c>
      <c r="D312" s="632"/>
      <c r="E312" s="21">
        <f t="shared" si="54"/>
        <v>1</v>
      </c>
      <c r="F312" s="632"/>
      <c r="G312" s="21">
        <f t="shared" si="55"/>
        <v>1</v>
      </c>
      <c r="H312" s="632"/>
      <c r="I312" s="21">
        <f t="shared" si="56"/>
        <v>1</v>
      </c>
      <c r="J312" s="632"/>
      <c r="K312" s="21">
        <f t="shared" si="57"/>
        <v>1</v>
      </c>
      <c r="L312" s="632"/>
      <c r="M312" s="21">
        <f t="shared" si="58"/>
        <v>1</v>
      </c>
      <c r="N312" s="632"/>
      <c r="O312" s="21">
        <f t="shared" si="59"/>
        <v>1</v>
      </c>
      <c r="P312" s="632"/>
      <c r="Q312" s="21">
        <f t="shared" si="60"/>
        <v>1</v>
      </c>
      <c r="R312" s="21">
        <f t="shared" si="61"/>
        <v>162430</v>
      </c>
      <c r="S312" s="306">
        <f t="shared" si="62"/>
        <v>530</v>
      </c>
    </row>
    <row r="313" spans="1:19">
      <c r="A313" s="3180">
        <f>面积!B968</f>
        <v>-1293</v>
      </c>
      <c r="B313" s="3181">
        <f>面积!C968</f>
        <v>32.61</v>
      </c>
      <c r="C313" s="21">
        <f t="shared" si="53"/>
        <v>1</v>
      </c>
      <c r="D313" s="632"/>
      <c r="E313" s="21">
        <f t="shared" si="54"/>
        <v>1</v>
      </c>
      <c r="F313" s="632"/>
      <c r="G313" s="21">
        <f t="shared" si="55"/>
        <v>1</v>
      </c>
      <c r="H313" s="632"/>
      <c r="I313" s="21">
        <f t="shared" si="56"/>
        <v>1</v>
      </c>
      <c r="J313" s="632"/>
      <c r="K313" s="21">
        <f t="shared" si="57"/>
        <v>1</v>
      </c>
      <c r="L313" s="632"/>
      <c r="M313" s="21">
        <f t="shared" si="58"/>
        <v>1</v>
      </c>
      <c r="N313" s="632"/>
      <c r="O313" s="21">
        <f t="shared" si="59"/>
        <v>1</v>
      </c>
      <c r="P313" s="632"/>
      <c r="Q313" s="21">
        <f t="shared" si="60"/>
        <v>1</v>
      </c>
      <c r="R313" s="21">
        <f t="shared" si="61"/>
        <v>162430</v>
      </c>
      <c r="S313" s="306">
        <f t="shared" si="62"/>
        <v>530</v>
      </c>
    </row>
    <row r="314" spans="1:19">
      <c r="A314" s="3180">
        <f>面积!B969</f>
        <v>-1294</v>
      </c>
      <c r="B314" s="3181">
        <f>面积!C969</f>
        <v>32.61</v>
      </c>
      <c r="C314" s="21">
        <f t="shared" si="53"/>
        <v>1</v>
      </c>
      <c r="D314" s="632"/>
      <c r="E314" s="21">
        <f t="shared" si="54"/>
        <v>1</v>
      </c>
      <c r="F314" s="632"/>
      <c r="G314" s="21">
        <f t="shared" si="55"/>
        <v>1</v>
      </c>
      <c r="H314" s="632"/>
      <c r="I314" s="21">
        <f t="shared" si="56"/>
        <v>1</v>
      </c>
      <c r="J314" s="632"/>
      <c r="K314" s="21">
        <f t="shared" si="57"/>
        <v>1</v>
      </c>
      <c r="L314" s="632"/>
      <c r="M314" s="21">
        <f t="shared" si="58"/>
        <v>1</v>
      </c>
      <c r="N314" s="632"/>
      <c r="O314" s="21">
        <f t="shared" si="59"/>
        <v>1</v>
      </c>
      <c r="P314" s="632"/>
      <c r="Q314" s="21">
        <f t="shared" si="60"/>
        <v>1</v>
      </c>
      <c r="R314" s="21">
        <f t="shared" si="61"/>
        <v>162430</v>
      </c>
      <c r="S314" s="306">
        <f t="shared" si="62"/>
        <v>530</v>
      </c>
    </row>
    <row r="315" spans="1:19">
      <c r="A315" s="3180">
        <f>面积!B970</f>
        <v>-1295</v>
      </c>
      <c r="B315" s="3181">
        <f>面积!C970</f>
        <v>32.61</v>
      </c>
      <c r="C315" s="21">
        <f t="shared" si="53"/>
        <v>1</v>
      </c>
      <c r="D315" s="632"/>
      <c r="E315" s="21">
        <f t="shared" si="54"/>
        <v>1</v>
      </c>
      <c r="F315" s="632"/>
      <c r="G315" s="21">
        <f t="shared" si="55"/>
        <v>1</v>
      </c>
      <c r="H315" s="632"/>
      <c r="I315" s="21">
        <f t="shared" si="56"/>
        <v>1</v>
      </c>
      <c r="J315" s="632"/>
      <c r="K315" s="21">
        <f t="shared" si="57"/>
        <v>1</v>
      </c>
      <c r="L315" s="632"/>
      <c r="M315" s="21">
        <f t="shared" si="58"/>
        <v>1</v>
      </c>
      <c r="N315" s="632"/>
      <c r="O315" s="21">
        <f t="shared" si="59"/>
        <v>1</v>
      </c>
      <c r="P315" s="632"/>
      <c r="Q315" s="21">
        <f t="shared" si="60"/>
        <v>1</v>
      </c>
      <c r="R315" s="21">
        <f t="shared" si="61"/>
        <v>162430</v>
      </c>
      <c r="S315" s="306">
        <f t="shared" si="62"/>
        <v>530</v>
      </c>
    </row>
    <row r="316" spans="1:19">
      <c r="A316" s="3180">
        <f>面积!B971</f>
        <v>-1296</v>
      </c>
      <c r="B316" s="3181">
        <f>面积!C971</f>
        <v>32.61</v>
      </c>
      <c r="C316" s="21">
        <f t="shared" si="53"/>
        <v>1</v>
      </c>
      <c r="D316" s="632"/>
      <c r="E316" s="21">
        <f t="shared" si="54"/>
        <v>1</v>
      </c>
      <c r="F316" s="632"/>
      <c r="G316" s="21">
        <f t="shared" si="55"/>
        <v>1</v>
      </c>
      <c r="H316" s="632"/>
      <c r="I316" s="21">
        <f t="shared" si="56"/>
        <v>1</v>
      </c>
      <c r="J316" s="632"/>
      <c r="K316" s="21">
        <f t="shared" si="57"/>
        <v>1</v>
      </c>
      <c r="L316" s="632"/>
      <c r="M316" s="21">
        <f t="shared" si="58"/>
        <v>1</v>
      </c>
      <c r="N316" s="632"/>
      <c r="O316" s="21">
        <f t="shared" si="59"/>
        <v>1</v>
      </c>
      <c r="P316" s="632"/>
      <c r="Q316" s="21">
        <f t="shared" si="60"/>
        <v>1</v>
      </c>
      <c r="R316" s="21">
        <f t="shared" si="61"/>
        <v>162430</v>
      </c>
      <c r="S316" s="306">
        <f t="shared" si="62"/>
        <v>530</v>
      </c>
    </row>
    <row r="317" spans="1:19">
      <c r="A317" s="3180">
        <f>面积!B972</f>
        <v>-1297</v>
      </c>
      <c r="B317" s="3181">
        <f>面积!C972</f>
        <v>32.61</v>
      </c>
      <c r="C317" s="21">
        <f t="shared" si="53"/>
        <v>1</v>
      </c>
      <c r="D317" s="632"/>
      <c r="E317" s="21">
        <f t="shared" si="54"/>
        <v>1</v>
      </c>
      <c r="F317" s="632"/>
      <c r="G317" s="21">
        <f t="shared" si="55"/>
        <v>1</v>
      </c>
      <c r="H317" s="632"/>
      <c r="I317" s="21">
        <f t="shared" si="56"/>
        <v>1</v>
      </c>
      <c r="J317" s="632"/>
      <c r="K317" s="21">
        <f t="shared" si="57"/>
        <v>1</v>
      </c>
      <c r="L317" s="632"/>
      <c r="M317" s="21">
        <f t="shared" si="58"/>
        <v>1</v>
      </c>
      <c r="N317" s="632"/>
      <c r="O317" s="21">
        <f t="shared" si="59"/>
        <v>1</v>
      </c>
      <c r="P317" s="632"/>
      <c r="Q317" s="21">
        <f t="shared" si="60"/>
        <v>1</v>
      </c>
      <c r="R317" s="21">
        <f t="shared" si="61"/>
        <v>162430</v>
      </c>
      <c r="S317" s="306">
        <f t="shared" si="62"/>
        <v>530</v>
      </c>
    </row>
    <row r="318" spans="1:19">
      <c r="A318" s="3180">
        <f>面积!B973</f>
        <v>-1298</v>
      </c>
      <c r="B318" s="3181">
        <f>面积!C973</f>
        <v>32.61</v>
      </c>
      <c r="C318" s="21">
        <f t="shared" si="53"/>
        <v>1</v>
      </c>
      <c r="D318" s="632"/>
      <c r="E318" s="21">
        <f t="shared" si="54"/>
        <v>1</v>
      </c>
      <c r="F318" s="632"/>
      <c r="G318" s="21">
        <f t="shared" si="55"/>
        <v>1</v>
      </c>
      <c r="H318" s="632"/>
      <c r="I318" s="21">
        <f t="shared" si="56"/>
        <v>1</v>
      </c>
      <c r="J318" s="632"/>
      <c r="K318" s="21">
        <f t="shared" si="57"/>
        <v>1</v>
      </c>
      <c r="L318" s="632"/>
      <c r="M318" s="21">
        <f t="shared" si="58"/>
        <v>1</v>
      </c>
      <c r="N318" s="632"/>
      <c r="O318" s="21">
        <f t="shared" si="59"/>
        <v>1</v>
      </c>
      <c r="P318" s="632"/>
      <c r="Q318" s="21">
        <f t="shared" si="60"/>
        <v>1</v>
      </c>
      <c r="R318" s="21">
        <f t="shared" si="61"/>
        <v>162430</v>
      </c>
      <c r="S318" s="306">
        <f t="shared" si="62"/>
        <v>530</v>
      </c>
    </row>
    <row r="319" spans="1:19">
      <c r="A319" s="3180">
        <f>面积!B974</f>
        <v>-1299</v>
      </c>
      <c r="B319" s="3181">
        <f>面积!C974</f>
        <v>32.61</v>
      </c>
      <c r="C319" s="21">
        <f t="shared" si="53"/>
        <v>1</v>
      </c>
      <c r="D319" s="632"/>
      <c r="E319" s="21">
        <f t="shared" si="54"/>
        <v>1</v>
      </c>
      <c r="F319" s="632"/>
      <c r="G319" s="21">
        <f t="shared" si="55"/>
        <v>1</v>
      </c>
      <c r="H319" s="632"/>
      <c r="I319" s="21">
        <f t="shared" si="56"/>
        <v>1</v>
      </c>
      <c r="J319" s="632"/>
      <c r="K319" s="21">
        <f t="shared" si="57"/>
        <v>1</v>
      </c>
      <c r="L319" s="632"/>
      <c r="M319" s="21">
        <f t="shared" si="58"/>
        <v>1</v>
      </c>
      <c r="N319" s="632"/>
      <c r="O319" s="21">
        <f t="shared" si="59"/>
        <v>1</v>
      </c>
      <c r="P319" s="632"/>
      <c r="Q319" s="21">
        <f t="shared" si="60"/>
        <v>1</v>
      </c>
      <c r="R319" s="21">
        <f t="shared" si="61"/>
        <v>162430</v>
      </c>
      <c r="S319" s="306">
        <f t="shared" si="62"/>
        <v>530</v>
      </c>
    </row>
    <row r="320" spans="1:19">
      <c r="A320" s="3180">
        <f>面积!B975</f>
        <v>-1300</v>
      </c>
      <c r="B320" s="3181">
        <f>面积!C975</f>
        <v>32.61</v>
      </c>
      <c r="C320" s="21">
        <f t="shared" si="53"/>
        <v>1</v>
      </c>
      <c r="D320" s="632"/>
      <c r="E320" s="21">
        <f t="shared" si="54"/>
        <v>1</v>
      </c>
      <c r="F320" s="632"/>
      <c r="G320" s="21">
        <f t="shared" si="55"/>
        <v>1</v>
      </c>
      <c r="H320" s="632"/>
      <c r="I320" s="21">
        <f t="shared" si="56"/>
        <v>1</v>
      </c>
      <c r="J320" s="632"/>
      <c r="K320" s="21">
        <f t="shared" si="57"/>
        <v>1</v>
      </c>
      <c r="L320" s="632"/>
      <c r="M320" s="21">
        <f t="shared" si="58"/>
        <v>1</v>
      </c>
      <c r="N320" s="632"/>
      <c r="O320" s="21">
        <f t="shared" si="59"/>
        <v>1</v>
      </c>
      <c r="P320" s="632"/>
      <c r="Q320" s="21">
        <f t="shared" si="60"/>
        <v>1</v>
      </c>
      <c r="R320" s="21">
        <f t="shared" si="61"/>
        <v>162430</v>
      </c>
      <c r="S320" s="306">
        <f t="shared" si="62"/>
        <v>530</v>
      </c>
    </row>
    <row r="321" spans="1:19">
      <c r="A321" s="3180">
        <f>面积!B976</f>
        <v>-1301</v>
      </c>
      <c r="B321" s="3181">
        <f>面积!C976</f>
        <v>32.61</v>
      </c>
      <c r="C321" s="21">
        <f t="shared" si="53"/>
        <v>1</v>
      </c>
      <c r="D321" s="632"/>
      <c r="E321" s="21">
        <f t="shared" si="54"/>
        <v>1</v>
      </c>
      <c r="F321" s="632"/>
      <c r="G321" s="21">
        <f t="shared" si="55"/>
        <v>1</v>
      </c>
      <c r="H321" s="632"/>
      <c r="I321" s="21">
        <f t="shared" si="56"/>
        <v>1</v>
      </c>
      <c r="J321" s="632"/>
      <c r="K321" s="21">
        <f t="shared" si="57"/>
        <v>1</v>
      </c>
      <c r="L321" s="632"/>
      <c r="M321" s="21">
        <f t="shared" si="58"/>
        <v>1</v>
      </c>
      <c r="N321" s="632"/>
      <c r="O321" s="21">
        <f t="shared" si="59"/>
        <v>1</v>
      </c>
      <c r="P321" s="632"/>
      <c r="Q321" s="21">
        <f t="shared" si="60"/>
        <v>1</v>
      </c>
      <c r="R321" s="21">
        <f t="shared" si="61"/>
        <v>162430</v>
      </c>
      <c r="S321" s="306">
        <f t="shared" ref="S321:S384" si="63">ROUND(R321*B321/10000,0)</f>
        <v>530</v>
      </c>
    </row>
    <row r="322" spans="1:19">
      <c r="A322" s="3180">
        <f>面积!B977</f>
        <v>-1302</v>
      </c>
      <c r="B322" s="3181">
        <f>面积!C977</f>
        <v>32.61</v>
      </c>
      <c r="C322" s="21">
        <f t="shared" si="53"/>
        <v>1</v>
      </c>
      <c r="D322" s="632"/>
      <c r="E322" s="21">
        <f t="shared" si="54"/>
        <v>1</v>
      </c>
      <c r="F322" s="632"/>
      <c r="G322" s="21">
        <f t="shared" si="55"/>
        <v>1</v>
      </c>
      <c r="H322" s="632"/>
      <c r="I322" s="21">
        <f t="shared" si="56"/>
        <v>1</v>
      </c>
      <c r="J322" s="632"/>
      <c r="K322" s="21">
        <f t="shared" si="57"/>
        <v>1</v>
      </c>
      <c r="L322" s="632"/>
      <c r="M322" s="21">
        <f t="shared" si="58"/>
        <v>1</v>
      </c>
      <c r="N322" s="632"/>
      <c r="O322" s="21">
        <f t="shared" si="59"/>
        <v>1</v>
      </c>
      <c r="P322" s="632"/>
      <c r="Q322" s="21">
        <f t="shared" si="60"/>
        <v>1</v>
      </c>
      <c r="R322" s="21">
        <f t="shared" si="61"/>
        <v>162430</v>
      </c>
      <c r="S322" s="306">
        <f t="shared" si="63"/>
        <v>530</v>
      </c>
    </row>
    <row r="323" spans="1:19">
      <c r="A323" s="3180">
        <f>面积!B978</f>
        <v>-1303</v>
      </c>
      <c r="B323" s="3181">
        <f>面积!C978</f>
        <v>32.61</v>
      </c>
      <c r="C323" s="21">
        <f t="shared" si="53"/>
        <v>1</v>
      </c>
      <c r="D323" s="632"/>
      <c r="E323" s="21">
        <f t="shared" si="54"/>
        <v>1</v>
      </c>
      <c r="F323" s="632"/>
      <c r="G323" s="21">
        <f t="shared" si="55"/>
        <v>1</v>
      </c>
      <c r="H323" s="632"/>
      <c r="I323" s="21">
        <f t="shared" si="56"/>
        <v>1</v>
      </c>
      <c r="J323" s="632"/>
      <c r="K323" s="21">
        <f t="shared" si="57"/>
        <v>1</v>
      </c>
      <c r="L323" s="632"/>
      <c r="M323" s="21">
        <f t="shared" si="58"/>
        <v>1</v>
      </c>
      <c r="N323" s="632"/>
      <c r="O323" s="21">
        <f t="shared" si="59"/>
        <v>1</v>
      </c>
      <c r="P323" s="632"/>
      <c r="Q323" s="21">
        <f t="shared" si="60"/>
        <v>1</v>
      </c>
      <c r="R323" s="21">
        <f t="shared" si="61"/>
        <v>162430</v>
      </c>
      <c r="S323" s="306">
        <f t="shared" si="63"/>
        <v>530</v>
      </c>
    </row>
    <row r="324" spans="1:19">
      <c r="A324" s="3180">
        <f>面积!B979</f>
        <v>-1304</v>
      </c>
      <c r="B324" s="3181">
        <f>面积!C979</f>
        <v>32.61</v>
      </c>
      <c r="C324" s="21">
        <f t="shared" si="53"/>
        <v>1</v>
      </c>
      <c r="D324" s="632"/>
      <c r="E324" s="21">
        <f t="shared" si="54"/>
        <v>1</v>
      </c>
      <c r="F324" s="632"/>
      <c r="G324" s="21">
        <f t="shared" si="55"/>
        <v>1</v>
      </c>
      <c r="H324" s="632"/>
      <c r="I324" s="21">
        <f t="shared" si="56"/>
        <v>1</v>
      </c>
      <c r="J324" s="632"/>
      <c r="K324" s="21">
        <f t="shared" si="57"/>
        <v>1</v>
      </c>
      <c r="L324" s="632"/>
      <c r="M324" s="21">
        <f t="shared" si="58"/>
        <v>1</v>
      </c>
      <c r="N324" s="632"/>
      <c r="O324" s="21">
        <f t="shared" si="59"/>
        <v>1</v>
      </c>
      <c r="P324" s="632"/>
      <c r="Q324" s="21">
        <f t="shared" si="60"/>
        <v>1</v>
      </c>
      <c r="R324" s="21">
        <f t="shared" si="61"/>
        <v>162430</v>
      </c>
      <c r="S324" s="306">
        <f t="shared" si="63"/>
        <v>530</v>
      </c>
    </row>
    <row r="325" spans="1:19">
      <c r="A325" s="3180">
        <f>面积!B980</f>
        <v>-1305</v>
      </c>
      <c r="B325" s="3181">
        <f>面积!C980</f>
        <v>32.61</v>
      </c>
      <c r="C325" s="21">
        <f t="shared" si="53"/>
        <v>1</v>
      </c>
      <c r="D325" s="632"/>
      <c r="E325" s="21">
        <f t="shared" si="54"/>
        <v>1</v>
      </c>
      <c r="F325" s="632"/>
      <c r="G325" s="21">
        <f t="shared" si="55"/>
        <v>1</v>
      </c>
      <c r="H325" s="632"/>
      <c r="I325" s="21">
        <f t="shared" si="56"/>
        <v>1</v>
      </c>
      <c r="J325" s="632"/>
      <c r="K325" s="21">
        <f t="shared" si="57"/>
        <v>1</v>
      </c>
      <c r="L325" s="632"/>
      <c r="M325" s="21">
        <f t="shared" si="58"/>
        <v>1</v>
      </c>
      <c r="N325" s="632"/>
      <c r="O325" s="21">
        <f t="shared" si="59"/>
        <v>1</v>
      </c>
      <c r="P325" s="632"/>
      <c r="Q325" s="21">
        <f t="shared" si="60"/>
        <v>1</v>
      </c>
      <c r="R325" s="21">
        <f t="shared" si="61"/>
        <v>162430</v>
      </c>
      <c r="S325" s="306">
        <f t="shared" si="63"/>
        <v>530</v>
      </c>
    </row>
    <row r="326" spans="1:19">
      <c r="A326" s="3180">
        <f>面积!B981</f>
        <v>-1306</v>
      </c>
      <c r="B326" s="3181">
        <f>面积!C981</f>
        <v>32.61</v>
      </c>
      <c r="C326" s="21">
        <f t="shared" si="53"/>
        <v>1</v>
      </c>
      <c r="D326" s="632"/>
      <c r="E326" s="21">
        <f t="shared" si="54"/>
        <v>1</v>
      </c>
      <c r="F326" s="632"/>
      <c r="G326" s="21">
        <f t="shared" si="55"/>
        <v>1</v>
      </c>
      <c r="H326" s="632"/>
      <c r="I326" s="21">
        <f t="shared" si="56"/>
        <v>1</v>
      </c>
      <c r="J326" s="632"/>
      <c r="K326" s="21">
        <f t="shared" si="57"/>
        <v>1</v>
      </c>
      <c r="L326" s="632"/>
      <c r="M326" s="21">
        <f t="shared" si="58"/>
        <v>1</v>
      </c>
      <c r="N326" s="632"/>
      <c r="O326" s="21">
        <f t="shared" si="59"/>
        <v>1</v>
      </c>
      <c r="P326" s="632"/>
      <c r="Q326" s="21">
        <f t="shared" si="60"/>
        <v>1</v>
      </c>
      <c r="R326" s="21">
        <f t="shared" si="61"/>
        <v>162430</v>
      </c>
      <c r="S326" s="306">
        <f t="shared" si="63"/>
        <v>530</v>
      </c>
    </row>
    <row r="327" spans="1:19">
      <c r="A327" s="3180">
        <f>面积!B982</f>
        <v>-1307</v>
      </c>
      <c r="B327" s="3181">
        <f>面积!C982</f>
        <v>32.61</v>
      </c>
      <c r="C327" s="21">
        <f t="shared" si="53"/>
        <v>1</v>
      </c>
      <c r="D327" s="632"/>
      <c r="E327" s="21">
        <f t="shared" si="54"/>
        <v>1</v>
      </c>
      <c r="F327" s="632"/>
      <c r="G327" s="21">
        <f t="shared" si="55"/>
        <v>1</v>
      </c>
      <c r="H327" s="632"/>
      <c r="I327" s="21">
        <f t="shared" si="56"/>
        <v>1</v>
      </c>
      <c r="J327" s="632"/>
      <c r="K327" s="21">
        <f t="shared" si="57"/>
        <v>1</v>
      </c>
      <c r="L327" s="632"/>
      <c r="M327" s="21">
        <f t="shared" si="58"/>
        <v>1</v>
      </c>
      <c r="N327" s="632"/>
      <c r="O327" s="21">
        <f t="shared" si="59"/>
        <v>1</v>
      </c>
      <c r="P327" s="632"/>
      <c r="Q327" s="21">
        <f t="shared" si="60"/>
        <v>1</v>
      </c>
      <c r="R327" s="21">
        <f t="shared" si="61"/>
        <v>162430</v>
      </c>
      <c r="S327" s="306">
        <f t="shared" si="63"/>
        <v>530</v>
      </c>
    </row>
    <row r="328" spans="1:19">
      <c r="A328" s="3180">
        <f>面积!B983</f>
        <v>-1308</v>
      </c>
      <c r="B328" s="3181">
        <f>面积!C983</f>
        <v>32.61</v>
      </c>
      <c r="C328" s="21">
        <f t="shared" si="53"/>
        <v>1</v>
      </c>
      <c r="D328" s="632"/>
      <c r="E328" s="21">
        <f t="shared" si="54"/>
        <v>1</v>
      </c>
      <c r="F328" s="632"/>
      <c r="G328" s="21">
        <f t="shared" si="55"/>
        <v>1</v>
      </c>
      <c r="H328" s="632"/>
      <c r="I328" s="21">
        <f t="shared" si="56"/>
        <v>1</v>
      </c>
      <c r="J328" s="632"/>
      <c r="K328" s="21">
        <f t="shared" si="57"/>
        <v>1</v>
      </c>
      <c r="L328" s="632"/>
      <c r="M328" s="21">
        <f t="shared" si="58"/>
        <v>1</v>
      </c>
      <c r="N328" s="632"/>
      <c r="O328" s="21">
        <f t="shared" si="59"/>
        <v>1</v>
      </c>
      <c r="P328" s="632"/>
      <c r="Q328" s="21">
        <f t="shared" si="60"/>
        <v>1</v>
      </c>
      <c r="R328" s="21">
        <f t="shared" si="61"/>
        <v>162430</v>
      </c>
      <c r="S328" s="306">
        <f t="shared" si="63"/>
        <v>530</v>
      </c>
    </row>
    <row r="329" spans="1:19">
      <c r="A329" s="3180">
        <f>面积!B984</f>
        <v>-1309</v>
      </c>
      <c r="B329" s="3181">
        <f>面积!C984</f>
        <v>32.61</v>
      </c>
      <c r="C329" s="21">
        <f t="shared" si="53"/>
        <v>1</v>
      </c>
      <c r="D329" s="632"/>
      <c r="E329" s="21">
        <f t="shared" si="54"/>
        <v>1</v>
      </c>
      <c r="F329" s="632"/>
      <c r="G329" s="21">
        <f t="shared" si="55"/>
        <v>1</v>
      </c>
      <c r="H329" s="632"/>
      <c r="I329" s="21">
        <f t="shared" si="56"/>
        <v>1</v>
      </c>
      <c r="J329" s="632"/>
      <c r="K329" s="21">
        <f t="shared" si="57"/>
        <v>1</v>
      </c>
      <c r="L329" s="632"/>
      <c r="M329" s="21">
        <f t="shared" si="58"/>
        <v>1</v>
      </c>
      <c r="N329" s="632"/>
      <c r="O329" s="21">
        <f t="shared" si="59"/>
        <v>1</v>
      </c>
      <c r="P329" s="632"/>
      <c r="Q329" s="21">
        <f t="shared" si="60"/>
        <v>1</v>
      </c>
      <c r="R329" s="21">
        <f t="shared" si="61"/>
        <v>162430</v>
      </c>
      <c r="S329" s="306">
        <f t="shared" si="63"/>
        <v>530</v>
      </c>
    </row>
    <row r="330" spans="1:19">
      <c r="A330" s="3180">
        <f>面积!B985</f>
        <v>-1310</v>
      </c>
      <c r="B330" s="3181">
        <f>面积!C985</f>
        <v>32.61</v>
      </c>
      <c r="C330" s="21">
        <f t="shared" si="53"/>
        <v>1</v>
      </c>
      <c r="D330" s="632"/>
      <c r="E330" s="21">
        <f t="shared" si="54"/>
        <v>1</v>
      </c>
      <c r="F330" s="632"/>
      <c r="G330" s="21">
        <f t="shared" si="55"/>
        <v>1</v>
      </c>
      <c r="H330" s="632"/>
      <c r="I330" s="21">
        <f t="shared" si="56"/>
        <v>1</v>
      </c>
      <c r="J330" s="632"/>
      <c r="K330" s="21">
        <f t="shared" si="57"/>
        <v>1</v>
      </c>
      <c r="L330" s="632"/>
      <c r="M330" s="21">
        <f t="shared" si="58"/>
        <v>1</v>
      </c>
      <c r="N330" s="632"/>
      <c r="O330" s="21">
        <f t="shared" si="59"/>
        <v>1</v>
      </c>
      <c r="P330" s="632"/>
      <c r="Q330" s="21">
        <f t="shared" si="60"/>
        <v>1</v>
      </c>
      <c r="R330" s="21">
        <f t="shared" si="61"/>
        <v>162430</v>
      </c>
      <c r="S330" s="306">
        <f t="shared" si="63"/>
        <v>530</v>
      </c>
    </row>
    <row r="331" spans="1:19">
      <c r="A331" s="3180">
        <f>面积!B986</f>
        <v>-1311</v>
      </c>
      <c r="B331" s="3181">
        <f>面积!C986</f>
        <v>32.61</v>
      </c>
      <c r="C331" s="21">
        <f t="shared" si="53"/>
        <v>1</v>
      </c>
      <c r="D331" s="632"/>
      <c r="E331" s="21">
        <f t="shared" si="54"/>
        <v>1</v>
      </c>
      <c r="F331" s="632"/>
      <c r="G331" s="21">
        <f t="shared" si="55"/>
        <v>1</v>
      </c>
      <c r="H331" s="632"/>
      <c r="I331" s="21">
        <f t="shared" si="56"/>
        <v>1</v>
      </c>
      <c r="J331" s="632"/>
      <c r="K331" s="21">
        <f t="shared" si="57"/>
        <v>1</v>
      </c>
      <c r="L331" s="632"/>
      <c r="M331" s="21">
        <f t="shared" si="58"/>
        <v>1</v>
      </c>
      <c r="N331" s="632"/>
      <c r="O331" s="21">
        <f t="shared" si="59"/>
        <v>1</v>
      </c>
      <c r="P331" s="632"/>
      <c r="Q331" s="21">
        <f t="shared" si="60"/>
        <v>1</v>
      </c>
      <c r="R331" s="21">
        <f t="shared" si="61"/>
        <v>162430</v>
      </c>
      <c r="S331" s="306">
        <f t="shared" si="63"/>
        <v>530</v>
      </c>
    </row>
    <row r="332" spans="1:19">
      <c r="A332" s="3180">
        <f>面积!B987</f>
        <v>-1312</v>
      </c>
      <c r="B332" s="3181">
        <f>面积!C987</f>
        <v>32.61</v>
      </c>
      <c r="C332" s="21">
        <f t="shared" si="53"/>
        <v>1</v>
      </c>
      <c r="D332" s="632"/>
      <c r="E332" s="21">
        <f t="shared" si="54"/>
        <v>1</v>
      </c>
      <c r="F332" s="632"/>
      <c r="G332" s="21">
        <f t="shared" si="55"/>
        <v>1</v>
      </c>
      <c r="H332" s="632"/>
      <c r="I332" s="21">
        <f t="shared" si="56"/>
        <v>1</v>
      </c>
      <c r="J332" s="632"/>
      <c r="K332" s="21">
        <f t="shared" si="57"/>
        <v>1</v>
      </c>
      <c r="L332" s="632"/>
      <c r="M332" s="21">
        <f t="shared" si="58"/>
        <v>1</v>
      </c>
      <c r="N332" s="632"/>
      <c r="O332" s="21">
        <f t="shared" si="59"/>
        <v>1</v>
      </c>
      <c r="P332" s="632"/>
      <c r="Q332" s="21">
        <f t="shared" si="60"/>
        <v>1</v>
      </c>
      <c r="R332" s="21">
        <f t="shared" si="61"/>
        <v>162430</v>
      </c>
      <c r="S332" s="306">
        <f t="shared" si="63"/>
        <v>530</v>
      </c>
    </row>
    <row r="333" spans="1:19">
      <c r="A333" s="3180">
        <f>面积!B988</f>
        <v>-1313</v>
      </c>
      <c r="B333" s="3181">
        <f>面积!C988</f>
        <v>32.61</v>
      </c>
      <c r="C333" s="21">
        <f t="shared" si="53"/>
        <v>1</v>
      </c>
      <c r="D333" s="632"/>
      <c r="E333" s="21">
        <f t="shared" si="54"/>
        <v>1</v>
      </c>
      <c r="F333" s="632"/>
      <c r="G333" s="21">
        <f t="shared" si="55"/>
        <v>1</v>
      </c>
      <c r="H333" s="632"/>
      <c r="I333" s="21">
        <f t="shared" si="56"/>
        <v>1</v>
      </c>
      <c r="J333" s="632"/>
      <c r="K333" s="21">
        <f t="shared" si="57"/>
        <v>1</v>
      </c>
      <c r="L333" s="632"/>
      <c r="M333" s="21">
        <f t="shared" si="58"/>
        <v>1</v>
      </c>
      <c r="N333" s="632"/>
      <c r="O333" s="21">
        <f t="shared" si="59"/>
        <v>1</v>
      </c>
      <c r="P333" s="632"/>
      <c r="Q333" s="21">
        <f t="shared" si="60"/>
        <v>1</v>
      </c>
      <c r="R333" s="21">
        <f t="shared" si="61"/>
        <v>162430</v>
      </c>
      <c r="S333" s="306">
        <f t="shared" si="63"/>
        <v>530</v>
      </c>
    </row>
    <row r="334" spans="1:19">
      <c r="A334" s="3180">
        <f>面积!B989</f>
        <v>-1314</v>
      </c>
      <c r="B334" s="3181">
        <f>面积!C989</f>
        <v>32.61</v>
      </c>
      <c r="C334" s="21">
        <f t="shared" si="53"/>
        <v>1</v>
      </c>
      <c r="D334" s="632"/>
      <c r="E334" s="21">
        <f t="shared" si="54"/>
        <v>1</v>
      </c>
      <c r="F334" s="632"/>
      <c r="G334" s="21">
        <f t="shared" si="55"/>
        <v>1</v>
      </c>
      <c r="H334" s="632"/>
      <c r="I334" s="21">
        <f t="shared" si="56"/>
        <v>1</v>
      </c>
      <c r="J334" s="632"/>
      <c r="K334" s="21">
        <f t="shared" si="57"/>
        <v>1</v>
      </c>
      <c r="L334" s="632"/>
      <c r="M334" s="21">
        <f t="shared" si="58"/>
        <v>1</v>
      </c>
      <c r="N334" s="632"/>
      <c r="O334" s="21">
        <f t="shared" si="59"/>
        <v>1</v>
      </c>
      <c r="P334" s="632"/>
      <c r="Q334" s="21">
        <f t="shared" si="60"/>
        <v>1</v>
      </c>
      <c r="R334" s="21">
        <f t="shared" si="61"/>
        <v>162430</v>
      </c>
      <c r="S334" s="306">
        <f t="shared" si="63"/>
        <v>530</v>
      </c>
    </row>
    <row r="335" spans="1:19">
      <c r="A335" s="3180">
        <f>面积!B990</f>
        <v>-1315</v>
      </c>
      <c r="B335" s="3181">
        <f>面积!C990</f>
        <v>32.61</v>
      </c>
      <c r="C335" s="21">
        <f t="shared" si="53"/>
        <v>1</v>
      </c>
      <c r="D335" s="632"/>
      <c r="E335" s="21">
        <f t="shared" si="54"/>
        <v>1</v>
      </c>
      <c r="F335" s="632"/>
      <c r="G335" s="21">
        <f t="shared" si="55"/>
        <v>1</v>
      </c>
      <c r="H335" s="632"/>
      <c r="I335" s="21">
        <f t="shared" si="56"/>
        <v>1</v>
      </c>
      <c r="J335" s="632"/>
      <c r="K335" s="21">
        <f t="shared" si="57"/>
        <v>1</v>
      </c>
      <c r="L335" s="632"/>
      <c r="M335" s="21">
        <f t="shared" si="58"/>
        <v>1</v>
      </c>
      <c r="N335" s="632"/>
      <c r="O335" s="21">
        <f t="shared" si="59"/>
        <v>1</v>
      </c>
      <c r="P335" s="632"/>
      <c r="Q335" s="21">
        <f t="shared" si="60"/>
        <v>1</v>
      </c>
      <c r="R335" s="21">
        <f t="shared" si="61"/>
        <v>162430</v>
      </c>
      <c r="S335" s="306">
        <f t="shared" si="63"/>
        <v>530</v>
      </c>
    </row>
    <row r="336" spans="1:19">
      <c r="A336" s="3180">
        <f>面积!B991</f>
        <v>-1316</v>
      </c>
      <c r="B336" s="3181">
        <f>面积!C991</f>
        <v>32.61</v>
      </c>
      <c r="C336" s="21">
        <f t="shared" si="53"/>
        <v>1</v>
      </c>
      <c r="D336" s="632"/>
      <c r="E336" s="21">
        <f t="shared" si="54"/>
        <v>1</v>
      </c>
      <c r="F336" s="632"/>
      <c r="G336" s="21">
        <f t="shared" si="55"/>
        <v>1</v>
      </c>
      <c r="H336" s="632"/>
      <c r="I336" s="21">
        <f t="shared" si="56"/>
        <v>1</v>
      </c>
      <c r="J336" s="632"/>
      <c r="K336" s="21">
        <f t="shared" si="57"/>
        <v>1</v>
      </c>
      <c r="L336" s="632"/>
      <c r="M336" s="21">
        <f t="shared" si="58"/>
        <v>1</v>
      </c>
      <c r="N336" s="632"/>
      <c r="O336" s="21">
        <f t="shared" si="59"/>
        <v>1</v>
      </c>
      <c r="P336" s="632"/>
      <c r="Q336" s="21">
        <f t="shared" si="60"/>
        <v>1</v>
      </c>
      <c r="R336" s="21">
        <f t="shared" si="61"/>
        <v>162430</v>
      </c>
      <c r="S336" s="306">
        <f t="shared" si="63"/>
        <v>530</v>
      </c>
    </row>
    <row r="337" spans="1:19">
      <c r="A337" s="3180">
        <f>面积!B992</f>
        <v>-1317</v>
      </c>
      <c r="B337" s="3181">
        <f>面积!C992</f>
        <v>32.61</v>
      </c>
      <c r="C337" s="21">
        <f t="shared" si="53"/>
        <v>1</v>
      </c>
      <c r="D337" s="632"/>
      <c r="E337" s="21">
        <f t="shared" si="54"/>
        <v>1</v>
      </c>
      <c r="F337" s="632"/>
      <c r="G337" s="21">
        <f t="shared" si="55"/>
        <v>1</v>
      </c>
      <c r="H337" s="632"/>
      <c r="I337" s="21">
        <f t="shared" si="56"/>
        <v>1</v>
      </c>
      <c r="J337" s="632"/>
      <c r="K337" s="21">
        <f t="shared" si="57"/>
        <v>1</v>
      </c>
      <c r="L337" s="632"/>
      <c r="M337" s="21">
        <f t="shared" si="58"/>
        <v>1</v>
      </c>
      <c r="N337" s="632"/>
      <c r="O337" s="21">
        <f t="shared" si="59"/>
        <v>1</v>
      </c>
      <c r="P337" s="632"/>
      <c r="Q337" s="21">
        <f t="shared" si="60"/>
        <v>1</v>
      </c>
      <c r="R337" s="21">
        <f t="shared" si="61"/>
        <v>162430</v>
      </c>
      <c r="S337" s="306">
        <f t="shared" si="63"/>
        <v>530</v>
      </c>
    </row>
    <row r="338" spans="1:19">
      <c r="A338" s="3180">
        <f>面积!B993</f>
        <v>-1318</v>
      </c>
      <c r="B338" s="3181">
        <f>面积!C993</f>
        <v>32.61</v>
      </c>
      <c r="C338" s="21">
        <f t="shared" si="53"/>
        <v>1</v>
      </c>
      <c r="D338" s="632"/>
      <c r="E338" s="21">
        <f t="shared" si="54"/>
        <v>1</v>
      </c>
      <c r="F338" s="632"/>
      <c r="G338" s="21">
        <f t="shared" si="55"/>
        <v>1</v>
      </c>
      <c r="H338" s="632"/>
      <c r="I338" s="21">
        <f t="shared" si="56"/>
        <v>1</v>
      </c>
      <c r="J338" s="632"/>
      <c r="K338" s="21">
        <f t="shared" si="57"/>
        <v>1</v>
      </c>
      <c r="L338" s="632"/>
      <c r="M338" s="21">
        <f t="shared" si="58"/>
        <v>1</v>
      </c>
      <c r="N338" s="632"/>
      <c r="O338" s="21">
        <f t="shared" si="59"/>
        <v>1</v>
      </c>
      <c r="P338" s="632"/>
      <c r="Q338" s="21">
        <f t="shared" si="60"/>
        <v>1</v>
      </c>
      <c r="R338" s="21">
        <f t="shared" si="61"/>
        <v>162430</v>
      </c>
      <c r="S338" s="306">
        <f t="shared" si="63"/>
        <v>530</v>
      </c>
    </row>
    <row r="339" spans="1:19">
      <c r="A339" s="3180">
        <f>面积!B994</f>
        <v>-1319</v>
      </c>
      <c r="B339" s="3181">
        <f>面积!C994</f>
        <v>32.61</v>
      </c>
      <c r="C339" s="21">
        <f t="shared" si="53"/>
        <v>1</v>
      </c>
      <c r="D339" s="632"/>
      <c r="E339" s="21">
        <f t="shared" si="54"/>
        <v>1</v>
      </c>
      <c r="F339" s="632"/>
      <c r="G339" s="21">
        <f t="shared" si="55"/>
        <v>1</v>
      </c>
      <c r="H339" s="632"/>
      <c r="I339" s="21">
        <f t="shared" si="56"/>
        <v>1</v>
      </c>
      <c r="J339" s="632"/>
      <c r="K339" s="21">
        <f t="shared" si="57"/>
        <v>1</v>
      </c>
      <c r="L339" s="632"/>
      <c r="M339" s="21">
        <f t="shared" si="58"/>
        <v>1</v>
      </c>
      <c r="N339" s="632"/>
      <c r="O339" s="21">
        <f t="shared" si="59"/>
        <v>1</v>
      </c>
      <c r="P339" s="632"/>
      <c r="Q339" s="21">
        <f t="shared" si="60"/>
        <v>1</v>
      </c>
      <c r="R339" s="21">
        <f t="shared" si="61"/>
        <v>162430</v>
      </c>
      <c r="S339" s="306">
        <f t="shared" si="63"/>
        <v>530</v>
      </c>
    </row>
    <row r="340" spans="1:19">
      <c r="A340" s="3180">
        <f>面积!B995</f>
        <v>-1320</v>
      </c>
      <c r="B340" s="3181">
        <f>面积!C995</f>
        <v>32.61</v>
      </c>
      <c r="C340" s="21">
        <f t="shared" si="53"/>
        <v>1</v>
      </c>
      <c r="D340" s="632"/>
      <c r="E340" s="21">
        <f t="shared" si="54"/>
        <v>1</v>
      </c>
      <c r="F340" s="632"/>
      <c r="G340" s="21">
        <f t="shared" si="55"/>
        <v>1</v>
      </c>
      <c r="H340" s="632"/>
      <c r="I340" s="21">
        <f t="shared" si="56"/>
        <v>1</v>
      </c>
      <c r="J340" s="632"/>
      <c r="K340" s="21">
        <f t="shared" si="57"/>
        <v>1</v>
      </c>
      <c r="L340" s="632"/>
      <c r="M340" s="21">
        <f t="shared" si="58"/>
        <v>1</v>
      </c>
      <c r="N340" s="632"/>
      <c r="O340" s="21">
        <f t="shared" si="59"/>
        <v>1</v>
      </c>
      <c r="P340" s="632"/>
      <c r="Q340" s="21">
        <f t="shared" si="60"/>
        <v>1</v>
      </c>
      <c r="R340" s="21">
        <f t="shared" si="61"/>
        <v>162430</v>
      </c>
      <c r="S340" s="306">
        <f t="shared" si="63"/>
        <v>530</v>
      </c>
    </row>
    <row r="341" spans="1:19">
      <c r="A341" s="3180">
        <f>面积!B996</f>
        <v>-1321</v>
      </c>
      <c r="B341" s="3181">
        <f>面积!C996</f>
        <v>32.61</v>
      </c>
      <c r="C341" s="21">
        <f t="shared" si="53"/>
        <v>1</v>
      </c>
      <c r="D341" s="632"/>
      <c r="E341" s="21">
        <f t="shared" si="54"/>
        <v>1</v>
      </c>
      <c r="F341" s="632"/>
      <c r="G341" s="21">
        <f t="shared" si="55"/>
        <v>1</v>
      </c>
      <c r="H341" s="632"/>
      <c r="I341" s="21">
        <f t="shared" si="56"/>
        <v>1</v>
      </c>
      <c r="J341" s="632"/>
      <c r="K341" s="21">
        <f t="shared" si="57"/>
        <v>1</v>
      </c>
      <c r="L341" s="632"/>
      <c r="M341" s="21">
        <f t="shared" si="58"/>
        <v>1</v>
      </c>
      <c r="N341" s="632"/>
      <c r="O341" s="21">
        <f t="shared" si="59"/>
        <v>1</v>
      </c>
      <c r="P341" s="632"/>
      <c r="Q341" s="21">
        <f t="shared" si="60"/>
        <v>1</v>
      </c>
      <c r="R341" s="21">
        <f t="shared" si="61"/>
        <v>162430</v>
      </c>
      <c r="S341" s="306">
        <f t="shared" si="63"/>
        <v>530</v>
      </c>
    </row>
    <row r="342" spans="1:19">
      <c r="A342" s="3180">
        <f>面积!B997</f>
        <v>-1322</v>
      </c>
      <c r="B342" s="3181">
        <f>面积!C997</f>
        <v>32.61</v>
      </c>
      <c r="C342" s="21">
        <f t="shared" si="53"/>
        <v>1</v>
      </c>
      <c r="D342" s="632"/>
      <c r="E342" s="21">
        <f t="shared" si="54"/>
        <v>1</v>
      </c>
      <c r="F342" s="632"/>
      <c r="G342" s="21">
        <f t="shared" si="55"/>
        <v>1</v>
      </c>
      <c r="H342" s="632"/>
      <c r="I342" s="21">
        <f t="shared" si="56"/>
        <v>1</v>
      </c>
      <c r="J342" s="632"/>
      <c r="K342" s="21">
        <f t="shared" si="57"/>
        <v>1</v>
      </c>
      <c r="L342" s="632"/>
      <c r="M342" s="21">
        <f t="shared" si="58"/>
        <v>1</v>
      </c>
      <c r="N342" s="632"/>
      <c r="O342" s="21">
        <f t="shared" si="59"/>
        <v>1</v>
      </c>
      <c r="P342" s="632"/>
      <c r="Q342" s="21">
        <f t="shared" si="60"/>
        <v>1</v>
      </c>
      <c r="R342" s="21">
        <f t="shared" si="61"/>
        <v>162430</v>
      </c>
      <c r="S342" s="306">
        <f t="shared" si="63"/>
        <v>530</v>
      </c>
    </row>
    <row r="343" spans="1:19">
      <c r="A343" s="3180">
        <f>面积!B998</f>
        <v>-1323</v>
      </c>
      <c r="B343" s="3181">
        <f>面积!C998</f>
        <v>32.61</v>
      </c>
      <c r="C343" s="21">
        <f t="shared" si="53"/>
        <v>1</v>
      </c>
      <c r="D343" s="632"/>
      <c r="E343" s="21">
        <f t="shared" si="54"/>
        <v>1</v>
      </c>
      <c r="F343" s="632"/>
      <c r="G343" s="21">
        <f t="shared" si="55"/>
        <v>1</v>
      </c>
      <c r="H343" s="632"/>
      <c r="I343" s="21">
        <f t="shared" si="56"/>
        <v>1</v>
      </c>
      <c r="J343" s="632"/>
      <c r="K343" s="21">
        <f t="shared" si="57"/>
        <v>1</v>
      </c>
      <c r="L343" s="632"/>
      <c r="M343" s="21">
        <f t="shared" si="58"/>
        <v>1</v>
      </c>
      <c r="N343" s="632"/>
      <c r="O343" s="21">
        <f t="shared" si="59"/>
        <v>1</v>
      </c>
      <c r="P343" s="632"/>
      <c r="Q343" s="21">
        <f t="shared" si="60"/>
        <v>1</v>
      </c>
      <c r="R343" s="21">
        <f t="shared" si="61"/>
        <v>162430</v>
      </c>
      <c r="S343" s="306">
        <f t="shared" si="63"/>
        <v>530</v>
      </c>
    </row>
    <row r="344" spans="1:19">
      <c r="A344" s="3180">
        <f>面积!B999</f>
        <v>-1324</v>
      </c>
      <c r="B344" s="3181">
        <f>面积!C999</f>
        <v>32.61</v>
      </c>
      <c r="C344" s="21">
        <f t="shared" si="53"/>
        <v>1</v>
      </c>
      <c r="D344" s="632"/>
      <c r="E344" s="21">
        <f t="shared" si="54"/>
        <v>1</v>
      </c>
      <c r="F344" s="632"/>
      <c r="G344" s="21">
        <f t="shared" si="55"/>
        <v>1</v>
      </c>
      <c r="H344" s="632"/>
      <c r="I344" s="21">
        <f t="shared" si="56"/>
        <v>1</v>
      </c>
      <c r="J344" s="632"/>
      <c r="K344" s="21">
        <f t="shared" si="57"/>
        <v>1</v>
      </c>
      <c r="L344" s="632"/>
      <c r="M344" s="21">
        <f t="shared" si="58"/>
        <v>1</v>
      </c>
      <c r="N344" s="632"/>
      <c r="O344" s="21">
        <f t="shared" si="59"/>
        <v>1</v>
      </c>
      <c r="P344" s="632"/>
      <c r="Q344" s="21">
        <f t="shared" si="60"/>
        <v>1</v>
      </c>
      <c r="R344" s="21">
        <f t="shared" si="61"/>
        <v>162430</v>
      </c>
      <c r="S344" s="306">
        <f t="shared" si="63"/>
        <v>530</v>
      </c>
    </row>
    <row r="345" spans="1:19">
      <c r="A345" s="3180">
        <f>面积!B1000</f>
        <v>-1325</v>
      </c>
      <c r="B345" s="3181">
        <f>面积!C1000</f>
        <v>32.61</v>
      </c>
      <c r="C345" s="21">
        <f t="shared" si="53"/>
        <v>1</v>
      </c>
      <c r="D345" s="632"/>
      <c r="E345" s="21">
        <f t="shared" si="54"/>
        <v>1</v>
      </c>
      <c r="F345" s="632"/>
      <c r="G345" s="21">
        <f t="shared" si="55"/>
        <v>1</v>
      </c>
      <c r="H345" s="632"/>
      <c r="I345" s="21">
        <f t="shared" si="56"/>
        <v>1</v>
      </c>
      <c r="J345" s="632"/>
      <c r="K345" s="21">
        <f t="shared" si="57"/>
        <v>1</v>
      </c>
      <c r="L345" s="632"/>
      <c r="M345" s="21">
        <f t="shared" si="58"/>
        <v>1</v>
      </c>
      <c r="N345" s="632"/>
      <c r="O345" s="21">
        <f t="shared" si="59"/>
        <v>1</v>
      </c>
      <c r="P345" s="632"/>
      <c r="Q345" s="21">
        <f t="shared" si="60"/>
        <v>1</v>
      </c>
      <c r="R345" s="21">
        <f t="shared" si="61"/>
        <v>162430</v>
      </c>
      <c r="S345" s="306">
        <f t="shared" si="63"/>
        <v>530</v>
      </c>
    </row>
    <row r="346" spans="1:19">
      <c r="A346" s="3180">
        <f>面积!B1001</f>
        <v>-1326</v>
      </c>
      <c r="B346" s="3181">
        <f>面积!C1001</f>
        <v>32.61</v>
      </c>
      <c r="C346" s="21">
        <f t="shared" ref="C346:C409" si="64">IF(B346="",1,(LOOKUP(B346,$3:$3,$4:$4)-LOOKUP($B$24,$3:$3,$4:$4)+100)/100)</f>
        <v>1</v>
      </c>
      <c r="D346" s="632"/>
      <c r="E346" s="21">
        <f t="shared" ref="E346:E409" si="65">(SUMIF($5:$5,D346,$6:$6)-SUMIF($5:$5,$D$24,$6:$6)+100)/100</f>
        <v>1</v>
      </c>
      <c r="F346" s="632"/>
      <c r="G346" s="21">
        <f t="shared" ref="G346:G409" si="66">(SUMIF($7:$7,F346,$8:$8)-SUMIF($7:$7,$F$24,$8:$8)+100)/100</f>
        <v>1</v>
      </c>
      <c r="H346" s="632"/>
      <c r="I346" s="21">
        <f t="shared" ref="I346:I409" si="67">(SUMIF($9:$9,H346,$10:$10)-SUMIF($9:$9,$H$24,$10:$10)+100)/100</f>
        <v>1</v>
      </c>
      <c r="J346" s="632"/>
      <c r="K346" s="21">
        <f t="shared" ref="K346:K409" si="68">(SUMIF($11:$11,J346,$12:$12)-SUMIF($11:$11,$J$24,$12:$12)+100)/100</f>
        <v>1</v>
      </c>
      <c r="L346" s="632"/>
      <c r="M346" s="21">
        <f t="shared" ref="M346:M409" si="69">(SUMIF($13:$13,L346,$14:$14)-SUMIF($13:$13,$L$24,$14:$14)+100)/100</f>
        <v>1</v>
      </c>
      <c r="N346" s="632"/>
      <c r="O346" s="21">
        <f t="shared" ref="O346:O409" si="70">(SUMIF($15:$15,N346,$16:$16)-SUMIF($15:$15,$N$24,$16:$16)+100)/100</f>
        <v>1</v>
      </c>
      <c r="P346" s="632"/>
      <c r="Q346" s="21">
        <f t="shared" ref="Q346:Q409" si="71">(SUMIF($17:$17,P346,$18:$18)-SUMIF($17:$17,$P$24,$18:$18)+100)/100</f>
        <v>1</v>
      </c>
      <c r="R346" s="21">
        <f t="shared" ref="R346:R409" si="72">IF(B346="",0,ROUND($R$24*C346*E346*G346*I346*K346*M346*O346*Q346,0))</f>
        <v>162430</v>
      </c>
      <c r="S346" s="306">
        <f t="shared" si="63"/>
        <v>530</v>
      </c>
    </row>
    <row r="347" spans="1:19">
      <c r="A347" s="3180">
        <f>面积!B1002</f>
        <v>-1327</v>
      </c>
      <c r="B347" s="3181">
        <f>面积!C1002</f>
        <v>32.61</v>
      </c>
      <c r="C347" s="21">
        <f t="shared" si="64"/>
        <v>1</v>
      </c>
      <c r="D347" s="632"/>
      <c r="E347" s="21">
        <f t="shared" si="65"/>
        <v>1</v>
      </c>
      <c r="F347" s="632"/>
      <c r="G347" s="21">
        <f t="shared" si="66"/>
        <v>1</v>
      </c>
      <c r="H347" s="632"/>
      <c r="I347" s="21">
        <f t="shared" si="67"/>
        <v>1</v>
      </c>
      <c r="J347" s="632"/>
      <c r="K347" s="21">
        <f t="shared" si="68"/>
        <v>1</v>
      </c>
      <c r="L347" s="632"/>
      <c r="M347" s="21">
        <f t="shared" si="69"/>
        <v>1</v>
      </c>
      <c r="N347" s="632"/>
      <c r="O347" s="21">
        <f t="shared" si="70"/>
        <v>1</v>
      </c>
      <c r="P347" s="632"/>
      <c r="Q347" s="21">
        <f t="shared" si="71"/>
        <v>1</v>
      </c>
      <c r="R347" s="21">
        <f t="shared" si="72"/>
        <v>162430</v>
      </c>
      <c r="S347" s="306">
        <f t="shared" si="63"/>
        <v>530</v>
      </c>
    </row>
    <row r="348" spans="1:19">
      <c r="A348" s="3180">
        <f>面积!B1003</f>
        <v>-1328</v>
      </c>
      <c r="B348" s="3181">
        <f>面积!C1003</f>
        <v>32.61</v>
      </c>
      <c r="C348" s="21">
        <f t="shared" si="64"/>
        <v>1</v>
      </c>
      <c r="D348" s="632"/>
      <c r="E348" s="21">
        <f t="shared" si="65"/>
        <v>1</v>
      </c>
      <c r="F348" s="632"/>
      <c r="G348" s="21">
        <f t="shared" si="66"/>
        <v>1</v>
      </c>
      <c r="H348" s="632"/>
      <c r="I348" s="21">
        <f t="shared" si="67"/>
        <v>1</v>
      </c>
      <c r="J348" s="632"/>
      <c r="K348" s="21">
        <f t="shared" si="68"/>
        <v>1</v>
      </c>
      <c r="L348" s="632"/>
      <c r="M348" s="21">
        <f t="shared" si="69"/>
        <v>1</v>
      </c>
      <c r="N348" s="632"/>
      <c r="O348" s="21">
        <f t="shared" si="70"/>
        <v>1</v>
      </c>
      <c r="P348" s="632"/>
      <c r="Q348" s="21">
        <f t="shared" si="71"/>
        <v>1</v>
      </c>
      <c r="R348" s="21">
        <f t="shared" si="72"/>
        <v>162430</v>
      </c>
      <c r="S348" s="306">
        <f t="shared" si="63"/>
        <v>530</v>
      </c>
    </row>
    <row r="349" spans="1:19">
      <c r="A349" s="3180">
        <f>面积!B1004</f>
        <v>-1329</v>
      </c>
      <c r="B349" s="3181">
        <f>面积!C1004</f>
        <v>32.61</v>
      </c>
      <c r="C349" s="21">
        <f t="shared" si="64"/>
        <v>1</v>
      </c>
      <c r="D349" s="632"/>
      <c r="E349" s="21">
        <f t="shared" si="65"/>
        <v>1</v>
      </c>
      <c r="F349" s="632"/>
      <c r="G349" s="21">
        <f t="shared" si="66"/>
        <v>1</v>
      </c>
      <c r="H349" s="632"/>
      <c r="I349" s="21">
        <f t="shared" si="67"/>
        <v>1</v>
      </c>
      <c r="J349" s="632"/>
      <c r="K349" s="21">
        <f t="shared" si="68"/>
        <v>1</v>
      </c>
      <c r="L349" s="632"/>
      <c r="M349" s="21">
        <f t="shared" si="69"/>
        <v>1</v>
      </c>
      <c r="N349" s="632"/>
      <c r="O349" s="21">
        <f t="shared" si="70"/>
        <v>1</v>
      </c>
      <c r="P349" s="632"/>
      <c r="Q349" s="21">
        <f t="shared" si="71"/>
        <v>1</v>
      </c>
      <c r="R349" s="21">
        <f t="shared" si="72"/>
        <v>162430</v>
      </c>
      <c r="S349" s="306">
        <f t="shared" si="63"/>
        <v>530</v>
      </c>
    </row>
    <row r="350" spans="1:19">
      <c r="A350" s="3180">
        <f>面积!B1005</f>
        <v>-1330</v>
      </c>
      <c r="B350" s="3181">
        <f>面积!C1005</f>
        <v>32.61</v>
      </c>
      <c r="C350" s="21">
        <f t="shared" si="64"/>
        <v>1</v>
      </c>
      <c r="D350" s="632"/>
      <c r="E350" s="21">
        <f t="shared" si="65"/>
        <v>1</v>
      </c>
      <c r="F350" s="632"/>
      <c r="G350" s="21">
        <f t="shared" si="66"/>
        <v>1</v>
      </c>
      <c r="H350" s="632"/>
      <c r="I350" s="21">
        <f t="shared" si="67"/>
        <v>1</v>
      </c>
      <c r="J350" s="632"/>
      <c r="K350" s="21">
        <f t="shared" si="68"/>
        <v>1</v>
      </c>
      <c r="L350" s="632"/>
      <c r="M350" s="21">
        <f t="shared" si="69"/>
        <v>1</v>
      </c>
      <c r="N350" s="632"/>
      <c r="O350" s="21">
        <f t="shared" si="70"/>
        <v>1</v>
      </c>
      <c r="P350" s="632"/>
      <c r="Q350" s="21">
        <f t="shared" si="71"/>
        <v>1</v>
      </c>
      <c r="R350" s="21">
        <f t="shared" si="72"/>
        <v>162430</v>
      </c>
      <c r="S350" s="306">
        <f t="shared" si="63"/>
        <v>530</v>
      </c>
    </row>
    <row r="351" spans="1:19">
      <c r="A351" s="3180">
        <f>面积!B1006</f>
        <v>-1331</v>
      </c>
      <c r="B351" s="3181">
        <f>面积!C1006</f>
        <v>32.61</v>
      </c>
      <c r="C351" s="21">
        <f t="shared" si="64"/>
        <v>1</v>
      </c>
      <c r="D351" s="632"/>
      <c r="E351" s="21">
        <f t="shared" si="65"/>
        <v>1</v>
      </c>
      <c r="F351" s="632"/>
      <c r="G351" s="21">
        <f t="shared" si="66"/>
        <v>1</v>
      </c>
      <c r="H351" s="632"/>
      <c r="I351" s="21">
        <f t="shared" si="67"/>
        <v>1</v>
      </c>
      <c r="J351" s="632"/>
      <c r="K351" s="21">
        <f t="shared" si="68"/>
        <v>1</v>
      </c>
      <c r="L351" s="632"/>
      <c r="M351" s="21">
        <f t="shared" si="69"/>
        <v>1</v>
      </c>
      <c r="N351" s="632"/>
      <c r="O351" s="21">
        <f t="shared" si="70"/>
        <v>1</v>
      </c>
      <c r="P351" s="632"/>
      <c r="Q351" s="21">
        <f t="shared" si="71"/>
        <v>1</v>
      </c>
      <c r="R351" s="21">
        <f t="shared" si="72"/>
        <v>162430</v>
      </c>
      <c r="S351" s="306">
        <f t="shared" si="63"/>
        <v>530</v>
      </c>
    </row>
    <row r="352" spans="1:19">
      <c r="A352" s="3180">
        <f>面积!B1007</f>
        <v>-1332</v>
      </c>
      <c r="B352" s="3181">
        <f>面积!C1007</f>
        <v>32.61</v>
      </c>
      <c r="C352" s="21">
        <f t="shared" si="64"/>
        <v>1</v>
      </c>
      <c r="D352" s="632"/>
      <c r="E352" s="21">
        <f t="shared" si="65"/>
        <v>1</v>
      </c>
      <c r="F352" s="632"/>
      <c r="G352" s="21">
        <f t="shared" si="66"/>
        <v>1</v>
      </c>
      <c r="H352" s="632"/>
      <c r="I352" s="21">
        <f t="shared" si="67"/>
        <v>1</v>
      </c>
      <c r="J352" s="632"/>
      <c r="K352" s="21">
        <f t="shared" si="68"/>
        <v>1</v>
      </c>
      <c r="L352" s="632"/>
      <c r="M352" s="21">
        <f t="shared" si="69"/>
        <v>1</v>
      </c>
      <c r="N352" s="632"/>
      <c r="O352" s="21">
        <f t="shared" si="70"/>
        <v>1</v>
      </c>
      <c r="P352" s="632"/>
      <c r="Q352" s="21">
        <f t="shared" si="71"/>
        <v>1</v>
      </c>
      <c r="R352" s="21">
        <f t="shared" si="72"/>
        <v>162430</v>
      </c>
      <c r="S352" s="306">
        <f t="shared" si="63"/>
        <v>530</v>
      </c>
    </row>
    <row r="353" spans="1:19">
      <c r="A353" s="3180">
        <f>面积!B1008</f>
        <v>-1333</v>
      </c>
      <c r="B353" s="3181">
        <f>面积!C1008</f>
        <v>32.61</v>
      </c>
      <c r="C353" s="21">
        <f t="shared" si="64"/>
        <v>1</v>
      </c>
      <c r="D353" s="632"/>
      <c r="E353" s="21">
        <f t="shared" si="65"/>
        <v>1</v>
      </c>
      <c r="F353" s="632"/>
      <c r="G353" s="21">
        <f t="shared" si="66"/>
        <v>1</v>
      </c>
      <c r="H353" s="632"/>
      <c r="I353" s="21">
        <f t="shared" si="67"/>
        <v>1</v>
      </c>
      <c r="J353" s="632"/>
      <c r="K353" s="21">
        <f t="shared" si="68"/>
        <v>1</v>
      </c>
      <c r="L353" s="632"/>
      <c r="M353" s="21">
        <f t="shared" si="69"/>
        <v>1</v>
      </c>
      <c r="N353" s="632"/>
      <c r="O353" s="21">
        <f t="shared" si="70"/>
        <v>1</v>
      </c>
      <c r="P353" s="632"/>
      <c r="Q353" s="21">
        <f t="shared" si="71"/>
        <v>1</v>
      </c>
      <c r="R353" s="21">
        <f t="shared" si="72"/>
        <v>162430</v>
      </c>
      <c r="S353" s="306">
        <f t="shared" si="63"/>
        <v>530</v>
      </c>
    </row>
    <row r="354" spans="1:19">
      <c r="A354" s="3180">
        <f>面积!B1009</f>
        <v>-1334</v>
      </c>
      <c r="B354" s="3181">
        <f>面积!C1009</f>
        <v>32.61</v>
      </c>
      <c r="C354" s="21">
        <f t="shared" si="64"/>
        <v>1</v>
      </c>
      <c r="D354" s="632"/>
      <c r="E354" s="21">
        <f t="shared" si="65"/>
        <v>1</v>
      </c>
      <c r="F354" s="632"/>
      <c r="G354" s="21">
        <f t="shared" si="66"/>
        <v>1</v>
      </c>
      <c r="H354" s="632"/>
      <c r="I354" s="21">
        <f t="shared" si="67"/>
        <v>1</v>
      </c>
      <c r="J354" s="632"/>
      <c r="K354" s="21">
        <f t="shared" si="68"/>
        <v>1</v>
      </c>
      <c r="L354" s="632"/>
      <c r="M354" s="21">
        <f t="shared" si="69"/>
        <v>1</v>
      </c>
      <c r="N354" s="632"/>
      <c r="O354" s="21">
        <f t="shared" si="70"/>
        <v>1</v>
      </c>
      <c r="P354" s="632"/>
      <c r="Q354" s="21">
        <f t="shared" si="71"/>
        <v>1</v>
      </c>
      <c r="R354" s="21">
        <f t="shared" si="72"/>
        <v>162430</v>
      </c>
      <c r="S354" s="306">
        <f t="shared" si="63"/>
        <v>530</v>
      </c>
    </row>
    <row r="355" spans="1:19">
      <c r="A355" s="3180">
        <f>面积!B1010</f>
        <v>-1335</v>
      </c>
      <c r="B355" s="3181">
        <f>面积!C1010</f>
        <v>32.61</v>
      </c>
      <c r="C355" s="21">
        <f t="shared" si="64"/>
        <v>1</v>
      </c>
      <c r="D355" s="632"/>
      <c r="E355" s="21">
        <f t="shared" si="65"/>
        <v>1</v>
      </c>
      <c r="F355" s="632"/>
      <c r="G355" s="21">
        <f t="shared" si="66"/>
        <v>1</v>
      </c>
      <c r="H355" s="632"/>
      <c r="I355" s="21">
        <f t="shared" si="67"/>
        <v>1</v>
      </c>
      <c r="J355" s="632"/>
      <c r="K355" s="21">
        <f t="shared" si="68"/>
        <v>1</v>
      </c>
      <c r="L355" s="632"/>
      <c r="M355" s="21">
        <f t="shared" si="69"/>
        <v>1</v>
      </c>
      <c r="N355" s="632"/>
      <c r="O355" s="21">
        <f t="shared" si="70"/>
        <v>1</v>
      </c>
      <c r="P355" s="632"/>
      <c r="Q355" s="21">
        <f t="shared" si="71"/>
        <v>1</v>
      </c>
      <c r="R355" s="21">
        <f t="shared" si="72"/>
        <v>162430</v>
      </c>
      <c r="S355" s="306">
        <f t="shared" si="63"/>
        <v>530</v>
      </c>
    </row>
    <row r="356" spans="1:19">
      <c r="A356" s="3180">
        <f>面积!B1011</f>
        <v>-1336</v>
      </c>
      <c r="B356" s="3181">
        <f>面积!C1011</f>
        <v>32.61</v>
      </c>
      <c r="C356" s="21">
        <f t="shared" si="64"/>
        <v>1</v>
      </c>
      <c r="D356" s="632"/>
      <c r="E356" s="21">
        <f t="shared" si="65"/>
        <v>1</v>
      </c>
      <c r="F356" s="632"/>
      <c r="G356" s="21">
        <f t="shared" si="66"/>
        <v>1</v>
      </c>
      <c r="H356" s="632"/>
      <c r="I356" s="21">
        <f t="shared" si="67"/>
        <v>1</v>
      </c>
      <c r="J356" s="632"/>
      <c r="K356" s="21">
        <f t="shared" si="68"/>
        <v>1</v>
      </c>
      <c r="L356" s="632"/>
      <c r="M356" s="21">
        <f t="shared" si="69"/>
        <v>1</v>
      </c>
      <c r="N356" s="632"/>
      <c r="O356" s="21">
        <f t="shared" si="70"/>
        <v>1</v>
      </c>
      <c r="P356" s="632"/>
      <c r="Q356" s="21">
        <f t="shared" si="71"/>
        <v>1</v>
      </c>
      <c r="R356" s="21">
        <f t="shared" si="72"/>
        <v>162430</v>
      </c>
      <c r="S356" s="306">
        <f t="shared" si="63"/>
        <v>530</v>
      </c>
    </row>
    <row r="357" spans="1:19">
      <c r="A357" s="3180">
        <f>面积!B1012</f>
        <v>-1337</v>
      </c>
      <c r="B357" s="3181">
        <f>面积!C1012</f>
        <v>32.61</v>
      </c>
      <c r="C357" s="21">
        <f t="shared" si="64"/>
        <v>1</v>
      </c>
      <c r="D357" s="632"/>
      <c r="E357" s="21">
        <f t="shared" si="65"/>
        <v>1</v>
      </c>
      <c r="F357" s="632"/>
      <c r="G357" s="21">
        <f t="shared" si="66"/>
        <v>1</v>
      </c>
      <c r="H357" s="632"/>
      <c r="I357" s="21">
        <f t="shared" si="67"/>
        <v>1</v>
      </c>
      <c r="J357" s="632"/>
      <c r="K357" s="21">
        <f t="shared" si="68"/>
        <v>1</v>
      </c>
      <c r="L357" s="632"/>
      <c r="M357" s="21">
        <f t="shared" si="69"/>
        <v>1</v>
      </c>
      <c r="N357" s="632"/>
      <c r="O357" s="21">
        <f t="shared" si="70"/>
        <v>1</v>
      </c>
      <c r="P357" s="632"/>
      <c r="Q357" s="21">
        <f t="shared" si="71"/>
        <v>1</v>
      </c>
      <c r="R357" s="21">
        <f t="shared" si="72"/>
        <v>162430</v>
      </c>
      <c r="S357" s="306">
        <f t="shared" si="63"/>
        <v>530</v>
      </c>
    </row>
    <row r="358" spans="1:19">
      <c r="A358" s="3180">
        <f>面积!B1013</f>
        <v>-1338</v>
      </c>
      <c r="B358" s="3181">
        <f>面积!C1013</f>
        <v>32.61</v>
      </c>
      <c r="C358" s="21">
        <f t="shared" si="64"/>
        <v>1</v>
      </c>
      <c r="D358" s="632"/>
      <c r="E358" s="21">
        <f t="shared" si="65"/>
        <v>1</v>
      </c>
      <c r="F358" s="632"/>
      <c r="G358" s="21">
        <f t="shared" si="66"/>
        <v>1</v>
      </c>
      <c r="H358" s="632"/>
      <c r="I358" s="21">
        <f t="shared" si="67"/>
        <v>1</v>
      </c>
      <c r="J358" s="632"/>
      <c r="K358" s="21">
        <f t="shared" si="68"/>
        <v>1</v>
      </c>
      <c r="L358" s="632"/>
      <c r="M358" s="21">
        <f t="shared" si="69"/>
        <v>1</v>
      </c>
      <c r="N358" s="632"/>
      <c r="O358" s="21">
        <f t="shared" si="70"/>
        <v>1</v>
      </c>
      <c r="P358" s="632"/>
      <c r="Q358" s="21">
        <f t="shared" si="71"/>
        <v>1</v>
      </c>
      <c r="R358" s="21">
        <f t="shared" si="72"/>
        <v>162430</v>
      </c>
      <c r="S358" s="306">
        <f t="shared" si="63"/>
        <v>530</v>
      </c>
    </row>
    <row r="359" spans="1:19">
      <c r="A359" s="3180">
        <f>面积!B1014</f>
        <v>-1339</v>
      </c>
      <c r="B359" s="3181">
        <f>面积!C1014</f>
        <v>32.61</v>
      </c>
      <c r="C359" s="21">
        <f t="shared" si="64"/>
        <v>1</v>
      </c>
      <c r="D359" s="632"/>
      <c r="E359" s="21">
        <f t="shared" si="65"/>
        <v>1</v>
      </c>
      <c r="F359" s="632"/>
      <c r="G359" s="21">
        <f t="shared" si="66"/>
        <v>1</v>
      </c>
      <c r="H359" s="632"/>
      <c r="I359" s="21">
        <f t="shared" si="67"/>
        <v>1</v>
      </c>
      <c r="J359" s="632"/>
      <c r="K359" s="21">
        <f t="shared" si="68"/>
        <v>1</v>
      </c>
      <c r="L359" s="632"/>
      <c r="M359" s="21">
        <f t="shared" si="69"/>
        <v>1</v>
      </c>
      <c r="N359" s="632"/>
      <c r="O359" s="21">
        <f t="shared" si="70"/>
        <v>1</v>
      </c>
      <c r="P359" s="632"/>
      <c r="Q359" s="21">
        <f t="shared" si="71"/>
        <v>1</v>
      </c>
      <c r="R359" s="21">
        <f t="shared" si="72"/>
        <v>162430</v>
      </c>
      <c r="S359" s="306">
        <f t="shared" si="63"/>
        <v>530</v>
      </c>
    </row>
    <row r="360" spans="1:19">
      <c r="A360" s="3180">
        <f>面积!B1015</f>
        <v>-1340</v>
      </c>
      <c r="B360" s="3181">
        <f>面积!C1015</f>
        <v>32.61</v>
      </c>
      <c r="C360" s="21">
        <f t="shared" si="64"/>
        <v>1</v>
      </c>
      <c r="D360" s="632"/>
      <c r="E360" s="21">
        <f t="shared" si="65"/>
        <v>1</v>
      </c>
      <c r="F360" s="632"/>
      <c r="G360" s="21">
        <f t="shared" si="66"/>
        <v>1</v>
      </c>
      <c r="H360" s="632"/>
      <c r="I360" s="21">
        <f t="shared" si="67"/>
        <v>1</v>
      </c>
      <c r="J360" s="632"/>
      <c r="K360" s="21">
        <f t="shared" si="68"/>
        <v>1</v>
      </c>
      <c r="L360" s="632"/>
      <c r="M360" s="21">
        <f t="shared" si="69"/>
        <v>1</v>
      </c>
      <c r="N360" s="632"/>
      <c r="O360" s="21">
        <f t="shared" si="70"/>
        <v>1</v>
      </c>
      <c r="P360" s="632"/>
      <c r="Q360" s="21">
        <f t="shared" si="71"/>
        <v>1</v>
      </c>
      <c r="R360" s="21">
        <f t="shared" si="72"/>
        <v>162430</v>
      </c>
      <c r="S360" s="306">
        <f t="shared" si="63"/>
        <v>530</v>
      </c>
    </row>
    <row r="361" spans="1:19">
      <c r="A361" s="3180">
        <f>面积!B1016</f>
        <v>-1341</v>
      </c>
      <c r="B361" s="3181">
        <f>面积!C1016</f>
        <v>32.61</v>
      </c>
      <c r="C361" s="21">
        <f t="shared" si="64"/>
        <v>1</v>
      </c>
      <c r="D361" s="632"/>
      <c r="E361" s="21">
        <f t="shared" si="65"/>
        <v>1</v>
      </c>
      <c r="F361" s="632"/>
      <c r="G361" s="21">
        <f t="shared" si="66"/>
        <v>1</v>
      </c>
      <c r="H361" s="632"/>
      <c r="I361" s="21">
        <f t="shared" si="67"/>
        <v>1</v>
      </c>
      <c r="J361" s="632"/>
      <c r="K361" s="21">
        <f t="shared" si="68"/>
        <v>1</v>
      </c>
      <c r="L361" s="632"/>
      <c r="M361" s="21">
        <f t="shared" si="69"/>
        <v>1</v>
      </c>
      <c r="N361" s="632"/>
      <c r="O361" s="21">
        <f t="shared" si="70"/>
        <v>1</v>
      </c>
      <c r="P361" s="632"/>
      <c r="Q361" s="21">
        <f t="shared" si="71"/>
        <v>1</v>
      </c>
      <c r="R361" s="21">
        <f t="shared" si="72"/>
        <v>162430</v>
      </c>
      <c r="S361" s="306">
        <f t="shared" si="63"/>
        <v>530</v>
      </c>
    </row>
    <row r="362" spans="1:19">
      <c r="A362" s="3180">
        <f>面积!B1017</f>
        <v>-1342</v>
      </c>
      <c r="B362" s="3181">
        <f>面积!C1017</f>
        <v>32.61</v>
      </c>
      <c r="C362" s="21">
        <f t="shared" si="64"/>
        <v>1</v>
      </c>
      <c r="D362" s="632"/>
      <c r="E362" s="21">
        <f t="shared" si="65"/>
        <v>1</v>
      </c>
      <c r="F362" s="632"/>
      <c r="G362" s="21">
        <f t="shared" si="66"/>
        <v>1</v>
      </c>
      <c r="H362" s="632"/>
      <c r="I362" s="21">
        <f t="shared" si="67"/>
        <v>1</v>
      </c>
      <c r="J362" s="632"/>
      <c r="K362" s="21">
        <f t="shared" si="68"/>
        <v>1</v>
      </c>
      <c r="L362" s="632"/>
      <c r="M362" s="21">
        <f t="shared" si="69"/>
        <v>1</v>
      </c>
      <c r="N362" s="632"/>
      <c r="O362" s="21">
        <f t="shared" si="70"/>
        <v>1</v>
      </c>
      <c r="P362" s="632"/>
      <c r="Q362" s="21">
        <f t="shared" si="71"/>
        <v>1</v>
      </c>
      <c r="R362" s="21">
        <f t="shared" si="72"/>
        <v>162430</v>
      </c>
      <c r="S362" s="306">
        <f t="shared" si="63"/>
        <v>530</v>
      </c>
    </row>
    <row r="363" spans="1:19">
      <c r="A363" s="3180">
        <f>面积!B1018</f>
        <v>-1343</v>
      </c>
      <c r="B363" s="3181">
        <f>面积!C1018</f>
        <v>32.61</v>
      </c>
      <c r="C363" s="21">
        <f t="shared" si="64"/>
        <v>1</v>
      </c>
      <c r="D363" s="632"/>
      <c r="E363" s="21">
        <f t="shared" si="65"/>
        <v>1</v>
      </c>
      <c r="F363" s="632"/>
      <c r="G363" s="21">
        <f t="shared" si="66"/>
        <v>1</v>
      </c>
      <c r="H363" s="632"/>
      <c r="I363" s="21">
        <f t="shared" si="67"/>
        <v>1</v>
      </c>
      <c r="J363" s="632"/>
      <c r="K363" s="21">
        <f t="shared" si="68"/>
        <v>1</v>
      </c>
      <c r="L363" s="632"/>
      <c r="M363" s="21">
        <f t="shared" si="69"/>
        <v>1</v>
      </c>
      <c r="N363" s="632"/>
      <c r="O363" s="21">
        <f t="shared" si="70"/>
        <v>1</v>
      </c>
      <c r="P363" s="632"/>
      <c r="Q363" s="21">
        <f t="shared" si="71"/>
        <v>1</v>
      </c>
      <c r="R363" s="21">
        <f t="shared" si="72"/>
        <v>162430</v>
      </c>
      <c r="S363" s="306">
        <f t="shared" si="63"/>
        <v>530</v>
      </c>
    </row>
    <row r="364" spans="1:19">
      <c r="A364" s="3180">
        <f>面积!B1019</f>
        <v>-1344</v>
      </c>
      <c r="B364" s="3181">
        <f>面积!C1019</f>
        <v>32.61</v>
      </c>
      <c r="C364" s="21">
        <f t="shared" si="64"/>
        <v>1</v>
      </c>
      <c r="D364" s="632"/>
      <c r="E364" s="21">
        <f t="shared" si="65"/>
        <v>1</v>
      </c>
      <c r="F364" s="632"/>
      <c r="G364" s="21">
        <f t="shared" si="66"/>
        <v>1</v>
      </c>
      <c r="H364" s="632"/>
      <c r="I364" s="21">
        <f t="shared" si="67"/>
        <v>1</v>
      </c>
      <c r="J364" s="632"/>
      <c r="K364" s="21">
        <f t="shared" si="68"/>
        <v>1</v>
      </c>
      <c r="L364" s="632"/>
      <c r="M364" s="21">
        <f t="shared" si="69"/>
        <v>1</v>
      </c>
      <c r="N364" s="632"/>
      <c r="O364" s="21">
        <f t="shared" si="70"/>
        <v>1</v>
      </c>
      <c r="P364" s="632"/>
      <c r="Q364" s="21">
        <f t="shared" si="71"/>
        <v>1</v>
      </c>
      <c r="R364" s="21">
        <f t="shared" si="72"/>
        <v>162430</v>
      </c>
      <c r="S364" s="306">
        <f t="shared" si="63"/>
        <v>530</v>
      </c>
    </row>
    <row r="365" spans="1:19">
      <c r="A365" s="3180">
        <f>面积!B1020</f>
        <v>-1345</v>
      </c>
      <c r="B365" s="3181">
        <f>面积!C1020</f>
        <v>32.61</v>
      </c>
      <c r="C365" s="21">
        <f t="shared" si="64"/>
        <v>1</v>
      </c>
      <c r="D365" s="632"/>
      <c r="E365" s="21">
        <f t="shared" si="65"/>
        <v>1</v>
      </c>
      <c r="F365" s="632"/>
      <c r="G365" s="21">
        <f t="shared" si="66"/>
        <v>1</v>
      </c>
      <c r="H365" s="632"/>
      <c r="I365" s="21">
        <f t="shared" si="67"/>
        <v>1</v>
      </c>
      <c r="J365" s="632"/>
      <c r="K365" s="21">
        <f t="shared" si="68"/>
        <v>1</v>
      </c>
      <c r="L365" s="632"/>
      <c r="M365" s="21">
        <f t="shared" si="69"/>
        <v>1</v>
      </c>
      <c r="N365" s="632"/>
      <c r="O365" s="21">
        <f t="shared" si="70"/>
        <v>1</v>
      </c>
      <c r="P365" s="632"/>
      <c r="Q365" s="21">
        <f t="shared" si="71"/>
        <v>1</v>
      </c>
      <c r="R365" s="21">
        <f t="shared" si="72"/>
        <v>162430</v>
      </c>
      <c r="S365" s="306">
        <f t="shared" si="63"/>
        <v>530</v>
      </c>
    </row>
    <row r="366" spans="1:19">
      <c r="A366" s="3180">
        <f>面积!B1021</f>
        <v>-1346</v>
      </c>
      <c r="B366" s="3181">
        <f>面积!C1021</f>
        <v>32.61</v>
      </c>
      <c r="C366" s="21">
        <f t="shared" si="64"/>
        <v>1</v>
      </c>
      <c r="D366" s="632"/>
      <c r="E366" s="21">
        <f t="shared" si="65"/>
        <v>1</v>
      </c>
      <c r="F366" s="632"/>
      <c r="G366" s="21">
        <f t="shared" si="66"/>
        <v>1</v>
      </c>
      <c r="H366" s="632"/>
      <c r="I366" s="21">
        <f t="shared" si="67"/>
        <v>1</v>
      </c>
      <c r="J366" s="632"/>
      <c r="K366" s="21">
        <f t="shared" si="68"/>
        <v>1</v>
      </c>
      <c r="L366" s="632"/>
      <c r="M366" s="21">
        <f t="shared" si="69"/>
        <v>1</v>
      </c>
      <c r="N366" s="632"/>
      <c r="O366" s="21">
        <f t="shared" si="70"/>
        <v>1</v>
      </c>
      <c r="P366" s="632"/>
      <c r="Q366" s="21">
        <f t="shared" si="71"/>
        <v>1</v>
      </c>
      <c r="R366" s="21">
        <f t="shared" si="72"/>
        <v>162430</v>
      </c>
      <c r="S366" s="306">
        <f t="shared" si="63"/>
        <v>530</v>
      </c>
    </row>
    <row r="367" spans="1:19">
      <c r="A367" s="3180">
        <f>面积!B1022</f>
        <v>-1347</v>
      </c>
      <c r="B367" s="3181">
        <f>面积!C1022</f>
        <v>32.61</v>
      </c>
      <c r="C367" s="21">
        <f t="shared" si="64"/>
        <v>1</v>
      </c>
      <c r="D367" s="632"/>
      <c r="E367" s="21">
        <f t="shared" si="65"/>
        <v>1</v>
      </c>
      <c r="F367" s="632"/>
      <c r="G367" s="21">
        <f t="shared" si="66"/>
        <v>1</v>
      </c>
      <c r="H367" s="632"/>
      <c r="I367" s="21">
        <f t="shared" si="67"/>
        <v>1</v>
      </c>
      <c r="J367" s="632"/>
      <c r="K367" s="21">
        <f t="shared" si="68"/>
        <v>1</v>
      </c>
      <c r="L367" s="632"/>
      <c r="M367" s="21">
        <f t="shared" si="69"/>
        <v>1</v>
      </c>
      <c r="N367" s="632"/>
      <c r="O367" s="21">
        <f t="shared" si="70"/>
        <v>1</v>
      </c>
      <c r="P367" s="632"/>
      <c r="Q367" s="21">
        <f t="shared" si="71"/>
        <v>1</v>
      </c>
      <c r="R367" s="21">
        <f t="shared" si="72"/>
        <v>162430</v>
      </c>
      <c r="S367" s="306">
        <f t="shared" si="63"/>
        <v>530</v>
      </c>
    </row>
    <row r="368" spans="1:19">
      <c r="A368" s="3180">
        <f>面积!B1023</f>
        <v>-1348</v>
      </c>
      <c r="B368" s="3181">
        <f>面积!C1023</f>
        <v>32.61</v>
      </c>
      <c r="C368" s="21">
        <f t="shared" si="64"/>
        <v>1</v>
      </c>
      <c r="D368" s="632"/>
      <c r="E368" s="21">
        <f t="shared" si="65"/>
        <v>1</v>
      </c>
      <c r="F368" s="632"/>
      <c r="G368" s="21">
        <f t="shared" si="66"/>
        <v>1</v>
      </c>
      <c r="H368" s="632"/>
      <c r="I368" s="21">
        <f t="shared" si="67"/>
        <v>1</v>
      </c>
      <c r="J368" s="632"/>
      <c r="K368" s="21">
        <f t="shared" si="68"/>
        <v>1</v>
      </c>
      <c r="L368" s="632"/>
      <c r="M368" s="21">
        <f t="shared" si="69"/>
        <v>1</v>
      </c>
      <c r="N368" s="632"/>
      <c r="O368" s="21">
        <f t="shared" si="70"/>
        <v>1</v>
      </c>
      <c r="P368" s="632"/>
      <c r="Q368" s="21">
        <f t="shared" si="71"/>
        <v>1</v>
      </c>
      <c r="R368" s="21">
        <f t="shared" si="72"/>
        <v>162430</v>
      </c>
      <c r="S368" s="306">
        <f t="shared" si="63"/>
        <v>530</v>
      </c>
    </row>
    <row r="369" spans="1:19">
      <c r="A369" s="3180">
        <f>面积!B1024</f>
        <v>-1349</v>
      </c>
      <c r="B369" s="3181">
        <f>面积!C1024</f>
        <v>32.61</v>
      </c>
      <c r="C369" s="21">
        <f t="shared" si="64"/>
        <v>1</v>
      </c>
      <c r="D369" s="632"/>
      <c r="E369" s="21">
        <f t="shared" si="65"/>
        <v>1</v>
      </c>
      <c r="F369" s="632"/>
      <c r="G369" s="21">
        <f t="shared" si="66"/>
        <v>1</v>
      </c>
      <c r="H369" s="632"/>
      <c r="I369" s="21">
        <f t="shared" si="67"/>
        <v>1</v>
      </c>
      <c r="J369" s="632"/>
      <c r="K369" s="21">
        <f t="shared" si="68"/>
        <v>1</v>
      </c>
      <c r="L369" s="632"/>
      <c r="M369" s="21">
        <f t="shared" si="69"/>
        <v>1</v>
      </c>
      <c r="N369" s="632"/>
      <c r="O369" s="21">
        <f t="shared" si="70"/>
        <v>1</v>
      </c>
      <c r="P369" s="632"/>
      <c r="Q369" s="21">
        <f t="shared" si="71"/>
        <v>1</v>
      </c>
      <c r="R369" s="21">
        <f t="shared" si="72"/>
        <v>162430</v>
      </c>
      <c r="S369" s="306">
        <f t="shared" si="63"/>
        <v>530</v>
      </c>
    </row>
    <row r="370" spans="1:19">
      <c r="A370" s="3180">
        <f>面积!B1025</f>
        <v>-1350</v>
      </c>
      <c r="B370" s="3181">
        <f>面积!C1025</f>
        <v>32.61</v>
      </c>
      <c r="C370" s="21">
        <f t="shared" si="64"/>
        <v>1</v>
      </c>
      <c r="D370" s="632"/>
      <c r="E370" s="21">
        <f t="shared" si="65"/>
        <v>1</v>
      </c>
      <c r="F370" s="632"/>
      <c r="G370" s="21">
        <f t="shared" si="66"/>
        <v>1</v>
      </c>
      <c r="H370" s="632"/>
      <c r="I370" s="21">
        <f t="shared" si="67"/>
        <v>1</v>
      </c>
      <c r="J370" s="632"/>
      <c r="K370" s="21">
        <f t="shared" si="68"/>
        <v>1</v>
      </c>
      <c r="L370" s="632"/>
      <c r="M370" s="21">
        <f t="shared" si="69"/>
        <v>1</v>
      </c>
      <c r="N370" s="632"/>
      <c r="O370" s="21">
        <f t="shared" si="70"/>
        <v>1</v>
      </c>
      <c r="P370" s="632"/>
      <c r="Q370" s="21">
        <f t="shared" si="71"/>
        <v>1</v>
      </c>
      <c r="R370" s="21">
        <f t="shared" si="72"/>
        <v>162430</v>
      </c>
      <c r="S370" s="306">
        <f t="shared" si="63"/>
        <v>530</v>
      </c>
    </row>
    <row r="371" spans="1:19">
      <c r="A371" s="3180">
        <f>面积!B1026</f>
        <v>-1351</v>
      </c>
      <c r="B371" s="3181">
        <f>面积!C1026</f>
        <v>32.61</v>
      </c>
      <c r="C371" s="21">
        <f t="shared" si="64"/>
        <v>1</v>
      </c>
      <c r="D371" s="632"/>
      <c r="E371" s="21">
        <f t="shared" si="65"/>
        <v>1</v>
      </c>
      <c r="F371" s="632"/>
      <c r="G371" s="21">
        <f t="shared" si="66"/>
        <v>1</v>
      </c>
      <c r="H371" s="632"/>
      <c r="I371" s="21">
        <f t="shared" si="67"/>
        <v>1</v>
      </c>
      <c r="J371" s="632"/>
      <c r="K371" s="21">
        <f t="shared" si="68"/>
        <v>1</v>
      </c>
      <c r="L371" s="632"/>
      <c r="M371" s="21">
        <f t="shared" si="69"/>
        <v>1</v>
      </c>
      <c r="N371" s="632"/>
      <c r="O371" s="21">
        <f t="shared" si="70"/>
        <v>1</v>
      </c>
      <c r="P371" s="632"/>
      <c r="Q371" s="21">
        <f t="shared" si="71"/>
        <v>1</v>
      </c>
      <c r="R371" s="21">
        <f t="shared" si="72"/>
        <v>162430</v>
      </c>
      <c r="S371" s="306">
        <f t="shared" si="63"/>
        <v>530</v>
      </c>
    </row>
    <row r="372" spans="1:19">
      <c r="A372" s="3180">
        <f>面积!B1027</f>
        <v>-1352</v>
      </c>
      <c r="B372" s="3181">
        <f>面积!C1027</f>
        <v>32.61</v>
      </c>
      <c r="C372" s="21">
        <f t="shared" si="64"/>
        <v>1</v>
      </c>
      <c r="D372" s="632"/>
      <c r="E372" s="21">
        <f t="shared" si="65"/>
        <v>1</v>
      </c>
      <c r="F372" s="632"/>
      <c r="G372" s="21">
        <f t="shared" si="66"/>
        <v>1</v>
      </c>
      <c r="H372" s="632"/>
      <c r="I372" s="21">
        <f t="shared" si="67"/>
        <v>1</v>
      </c>
      <c r="J372" s="632"/>
      <c r="K372" s="21">
        <f t="shared" si="68"/>
        <v>1</v>
      </c>
      <c r="L372" s="632"/>
      <c r="M372" s="21">
        <f t="shared" si="69"/>
        <v>1</v>
      </c>
      <c r="N372" s="632"/>
      <c r="O372" s="21">
        <f t="shared" si="70"/>
        <v>1</v>
      </c>
      <c r="P372" s="632"/>
      <c r="Q372" s="21">
        <f t="shared" si="71"/>
        <v>1</v>
      </c>
      <c r="R372" s="21">
        <f t="shared" si="72"/>
        <v>162430</v>
      </c>
      <c r="S372" s="306">
        <f t="shared" si="63"/>
        <v>530</v>
      </c>
    </row>
    <row r="373" spans="1:19">
      <c r="A373" s="3180">
        <f>面积!B1028</f>
        <v>-1353</v>
      </c>
      <c r="B373" s="3181">
        <f>面积!C1028</f>
        <v>32.61</v>
      </c>
      <c r="C373" s="21">
        <f t="shared" si="64"/>
        <v>1</v>
      </c>
      <c r="D373" s="632"/>
      <c r="E373" s="21">
        <f t="shared" si="65"/>
        <v>1</v>
      </c>
      <c r="F373" s="632"/>
      <c r="G373" s="21">
        <f t="shared" si="66"/>
        <v>1</v>
      </c>
      <c r="H373" s="632"/>
      <c r="I373" s="21">
        <f t="shared" si="67"/>
        <v>1</v>
      </c>
      <c r="J373" s="632"/>
      <c r="K373" s="21">
        <f t="shared" si="68"/>
        <v>1</v>
      </c>
      <c r="L373" s="632"/>
      <c r="M373" s="21">
        <f t="shared" si="69"/>
        <v>1</v>
      </c>
      <c r="N373" s="632"/>
      <c r="O373" s="21">
        <f t="shared" si="70"/>
        <v>1</v>
      </c>
      <c r="P373" s="632"/>
      <c r="Q373" s="21">
        <f t="shared" si="71"/>
        <v>1</v>
      </c>
      <c r="R373" s="21">
        <f t="shared" si="72"/>
        <v>162430</v>
      </c>
      <c r="S373" s="306">
        <f t="shared" si="63"/>
        <v>530</v>
      </c>
    </row>
    <row r="374" spans="1:19">
      <c r="A374" s="3180">
        <f>面积!B1029</f>
        <v>-1354</v>
      </c>
      <c r="B374" s="3181">
        <f>面积!C1029</f>
        <v>32.61</v>
      </c>
      <c r="C374" s="21">
        <f t="shared" si="64"/>
        <v>1</v>
      </c>
      <c r="D374" s="632"/>
      <c r="E374" s="21">
        <f t="shared" si="65"/>
        <v>1</v>
      </c>
      <c r="F374" s="632"/>
      <c r="G374" s="21">
        <f t="shared" si="66"/>
        <v>1</v>
      </c>
      <c r="H374" s="632"/>
      <c r="I374" s="21">
        <f t="shared" si="67"/>
        <v>1</v>
      </c>
      <c r="J374" s="632"/>
      <c r="K374" s="21">
        <f t="shared" si="68"/>
        <v>1</v>
      </c>
      <c r="L374" s="632"/>
      <c r="M374" s="21">
        <f t="shared" si="69"/>
        <v>1</v>
      </c>
      <c r="N374" s="632"/>
      <c r="O374" s="21">
        <f t="shared" si="70"/>
        <v>1</v>
      </c>
      <c r="P374" s="632"/>
      <c r="Q374" s="21">
        <f t="shared" si="71"/>
        <v>1</v>
      </c>
      <c r="R374" s="21">
        <f t="shared" si="72"/>
        <v>162430</v>
      </c>
      <c r="S374" s="306">
        <f t="shared" si="63"/>
        <v>530</v>
      </c>
    </row>
    <row r="375" spans="1:19">
      <c r="A375" s="3180">
        <f>面积!B1030</f>
        <v>-1355</v>
      </c>
      <c r="B375" s="3181">
        <f>面积!C1030</f>
        <v>32.61</v>
      </c>
      <c r="C375" s="21">
        <f t="shared" si="64"/>
        <v>1</v>
      </c>
      <c r="D375" s="632"/>
      <c r="E375" s="21">
        <f t="shared" si="65"/>
        <v>1</v>
      </c>
      <c r="F375" s="632"/>
      <c r="G375" s="21">
        <f t="shared" si="66"/>
        <v>1</v>
      </c>
      <c r="H375" s="632"/>
      <c r="I375" s="21">
        <f t="shared" si="67"/>
        <v>1</v>
      </c>
      <c r="J375" s="632"/>
      <c r="K375" s="21">
        <f t="shared" si="68"/>
        <v>1</v>
      </c>
      <c r="L375" s="632"/>
      <c r="M375" s="21">
        <f t="shared" si="69"/>
        <v>1</v>
      </c>
      <c r="N375" s="632"/>
      <c r="O375" s="21">
        <f t="shared" si="70"/>
        <v>1</v>
      </c>
      <c r="P375" s="632"/>
      <c r="Q375" s="21">
        <f t="shared" si="71"/>
        <v>1</v>
      </c>
      <c r="R375" s="21">
        <f t="shared" si="72"/>
        <v>162430</v>
      </c>
      <c r="S375" s="306">
        <f t="shared" si="63"/>
        <v>530</v>
      </c>
    </row>
    <row r="376" spans="1:19">
      <c r="A376" s="3180">
        <f>面积!B1031</f>
        <v>-1356</v>
      </c>
      <c r="B376" s="3181">
        <f>面积!C1031</f>
        <v>32.61</v>
      </c>
      <c r="C376" s="21">
        <f t="shared" si="64"/>
        <v>1</v>
      </c>
      <c r="D376" s="632"/>
      <c r="E376" s="21">
        <f t="shared" si="65"/>
        <v>1</v>
      </c>
      <c r="F376" s="632"/>
      <c r="G376" s="21">
        <f t="shared" si="66"/>
        <v>1</v>
      </c>
      <c r="H376" s="632"/>
      <c r="I376" s="21">
        <f t="shared" si="67"/>
        <v>1</v>
      </c>
      <c r="J376" s="632"/>
      <c r="K376" s="21">
        <f t="shared" si="68"/>
        <v>1</v>
      </c>
      <c r="L376" s="632"/>
      <c r="M376" s="21">
        <f t="shared" si="69"/>
        <v>1</v>
      </c>
      <c r="N376" s="632"/>
      <c r="O376" s="21">
        <f t="shared" si="70"/>
        <v>1</v>
      </c>
      <c r="P376" s="632"/>
      <c r="Q376" s="21">
        <f t="shared" si="71"/>
        <v>1</v>
      </c>
      <c r="R376" s="21">
        <f t="shared" si="72"/>
        <v>162430</v>
      </c>
      <c r="S376" s="306">
        <f t="shared" si="63"/>
        <v>530</v>
      </c>
    </row>
    <row r="377" spans="1:19">
      <c r="A377" s="3180">
        <f>面积!B1032</f>
        <v>-1357</v>
      </c>
      <c r="B377" s="3181">
        <f>面积!C1032</f>
        <v>32.61</v>
      </c>
      <c r="C377" s="21">
        <f t="shared" si="64"/>
        <v>1</v>
      </c>
      <c r="D377" s="632"/>
      <c r="E377" s="21">
        <f t="shared" si="65"/>
        <v>1</v>
      </c>
      <c r="F377" s="632"/>
      <c r="G377" s="21">
        <f t="shared" si="66"/>
        <v>1</v>
      </c>
      <c r="H377" s="632"/>
      <c r="I377" s="21">
        <f t="shared" si="67"/>
        <v>1</v>
      </c>
      <c r="J377" s="632"/>
      <c r="K377" s="21">
        <f t="shared" si="68"/>
        <v>1</v>
      </c>
      <c r="L377" s="632"/>
      <c r="M377" s="21">
        <f t="shared" si="69"/>
        <v>1</v>
      </c>
      <c r="N377" s="632"/>
      <c r="O377" s="21">
        <f t="shared" si="70"/>
        <v>1</v>
      </c>
      <c r="P377" s="632"/>
      <c r="Q377" s="21">
        <f t="shared" si="71"/>
        <v>1</v>
      </c>
      <c r="R377" s="21">
        <f t="shared" si="72"/>
        <v>162430</v>
      </c>
      <c r="S377" s="306">
        <f t="shared" si="63"/>
        <v>530</v>
      </c>
    </row>
    <row r="378" spans="1:19">
      <c r="A378" s="3180">
        <f>面积!B1033</f>
        <v>-1358</v>
      </c>
      <c r="B378" s="3181">
        <f>面积!C1033</f>
        <v>32.61</v>
      </c>
      <c r="C378" s="21">
        <f t="shared" si="64"/>
        <v>1</v>
      </c>
      <c r="D378" s="632"/>
      <c r="E378" s="21">
        <f t="shared" si="65"/>
        <v>1</v>
      </c>
      <c r="F378" s="632"/>
      <c r="G378" s="21">
        <f t="shared" si="66"/>
        <v>1</v>
      </c>
      <c r="H378" s="632"/>
      <c r="I378" s="21">
        <f t="shared" si="67"/>
        <v>1</v>
      </c>
      <c r="J378" s="632"/>
      <c r="K378" s="21">
        <f t="shared" si="68"/>
        <v>1</v>
      </c>
      <c r="L378" s="632"/>
      <c r="M378" s="21">
        <f t="shared" si="69"/>
        <v>1</v>
      </c>
      <c r="N378" s="632"/>
      <c r="O378" s="21">
        <f t="shared" si="70"/>
        <v>1</v>
      </c>
      <c r="P378" s="632"/>
      <c r="Q378" s="21">
        <f t="shared" si="71"/>
        <v>1</v>
      </c>
      <c r="R378" s="21">
        <f t="shared" si="72"/>
        <v>162430</v>
      </c>
      <c r="S378" s="306">
        <f t="shared" si="63"/>
        <v>530</v>
      </c>
    </row>
    <row r="379" spans="1:19">
      <c r="A379" s="3180">
        <f>面积!B1034</f>
        <v>-1359</v>
      </c>
      <c r="B379" s="3181">
        <f>面积!C1034</f>
        <v>32.61</v>
      </c>
      <c r="C379" s="21">
        <f t="shared" si="64"/>
        <v>1</v>
      </c>
      <c r="D379" s="632"/>
      <c r="E379" s="21">
        <f t="shared" si="65"/>
        <v>1</v>
      </c>
      <c r="F379" s="632"/>
      <c r="G379" s="21">
        <f t="shared" si="66"/>
        <v>1</v>
      </c>
      <c r="H379" s="632"/>
      <c r="I379" s="21">
        <f t="shared" si="67"/>
        <v>1</v>
      </c>
      <c r="J379" s="632"/>
      <c r="K379" s="21">
        <f t="shared" si="68"/>
        <v>1</v>
      </c>
      <c r="L379" s="632"/>
      <c r="M379" s="21">
        <f t="shared" si="69"/>
        <v>1</v>
      </c>
      <c r="N379" s="632"/>
      <c r="O379" s="21">
        <f t="shared" si="70"/>
        <v>1</v>
      </c>
      <c r="P379" s="632"/>
      <c r="Q379" s="21">
        <f t="shared" si="71"/>
        <v>1</v>
      </c>
      <c r="R379" s="21">
        <f t="shared" si="72"/>
        <v>162430</v>
      </c>
      <c r="S379" s="306">
        <f t="shared" si="63"/>
        <v>530</v>
      </c>
    </row>
    <row r="380" spans="1:19">
      <c r="A380" s="3180">
        <f>面积!B1035</f>
        <v>-1360</v>
      </c>
      <c r="B380" s="3181">
        <f>面积!C1035</f>
        <v>32.61</v>
      </c>
      <c r="C380" s="21">
        <f t="shared" si="64"/>
        <v>1</v>
      </c>
      <c r="D380" s="632"/>
      <c r="E380" s="21">
        <f t="shared" si="65"/>
        <v>1</v>
      </c>
      <c r="F380" s="632"/>
      <c r="G380" s="21">
        <f t="shared" si="66"/>
        <v>1</v>
      </c>
      <c r="H380" s="632"/>
      <c r="I380" s="21">
        <f t="shared" si="67"/>
        <v>1</v>
      </c>
      <c r="J380" s="632"/>
      <c r="K380" s="21">
        <f t="shared" si="68"/>
        <v>1</v>
      </c>
      <c r="L380" s="632"/>
      <c r="M380" s="21">
        <f t="shared" si="69"/>
        <v>1</v>
      </c>
      <c r="N380" s="632"/>
      <c r="O380" s="21">
        <f t="shared" si="70"/>
        <v>1</v>
      </c>
      <c r="P380" s="632"/>
      <c r="Q380" s="21">
        <f t="shared" si="71"/>
        <v>1</v>
      </c>
      <c r="R380" s="21">
        <f t="shared" si="72"/>
        <v>162430</v>
      </c>
      <c r="S380" s="306">
        <f t="shared" si="63"/>
        <v>530</v>
      </c>
    </row>
    <row r="381" spans="1:19">
      <c r="A381" s="3180">
        <f>面积!B1036</f>
        <v>-1361</v>
      </c>
      <c r="B381" s="3181">
        <f>面积!C1036</f>
        <v>32.61</v>
      </c>
      <c r="C381" s="21">
        <f t="shared" si="64"/>
        <v>1</v>
      </c>
      <c r="D381" s="632"/>
      <c r="E381" s="21">
        <f t="shared" si="65"/>
        <v>1</v>
      </c>
      <c r="F381" s="632"/>
      <c r="G381" s="21">
        <f t="shared" si="66"/>
        <v>1</v>
      </c>
      <c r="H381" s="632"/>
      <c r="I381" s="21">
        <f t="shared" si="67"/>
        <v>1</v>
      </c>
      <c r="J381" s="632"/>
      <c r="K381" s="21">
        <f t="shared" si="68"/>
        <v>1</v>
      </c>
      <c r="L381" s="632"/>
      <c r="M381" s="21">
        <f t="shared" si="69"/>
        <v>1</v>
      </c>
      <c r="N381" s="632"/>
      <c r="O381" s="21">
        <f t="shared" si="70"/>
        <v>1</v>
      </c>
      <c r="P381" s="632"/>
      <c r="Q381" s="21">
        <f t="shared" si="71"/>
        <v>1</v>
      </c>
      <c r="R381" s="21">
        <f t="shared" si="72"/>
        <v>162430</v>
      </c>
      <c r="S381" s="306">
        <f t="shared" si="63"/>
        <v>530</v>
      </c>
    </row>
    <row r="382" spans="1:19">
      <c r="A382" s="3180">
        <f>面积!B1037</f>
        <v>-1362</v>
      </c>
      <c r="B382" s="3181">
        <f>面积!C1037</f>
        <v>32.61</v>
      </c>
      <c r="C382" s="21">
        <f t="shared" si="64"/>
        <v>1</v>
      </c>
      <c r="D382" s="632"/>
      <c r="E382" s="21">
        <f t="shared" si="65"/>
        <v>1</v>
      </c>
      <c r="F382" s="632"/>
      <c r="G382" s="21">
        <f t="shared" si="66"/>
        <v>1</v>
      </c>
      <c r="H382" s="632"/>
      <c r="I382" s="21">
        <f t="shared" si="67"/>
        <v>1</v>
      </c>
      <c r="J382" s="632"/>
      <c r="K382" s="21">
        <f t="shared" si="68"/>
        <v>1</v>
      </c>
      <c r="L382" s="632"/>
      <c r="M382" s="21">
        <f t="shared" si="69"/>
        <v>1</v>
      </c>
      <c r="N382" s="632"/>
      <c r="O382" s="21">
        <f t="shared" si="70"/>
        <v>1</v>
      </c>
      <c r="P382" s="632"/>
      <c r="Q382" s="21">
        <f t="shared" si="71"/>
        <v>1</v>
      </c>
      <c r="R382" s="21">
        <f t="shared" si="72"/>
        <v>162430</v>
      </c>
      <c r="S382" s="306">
        <f t="shared" si="63"/>
        <v>530</v>
      </c>
    </row>
    <row r="383" spans="1:19">
      <c r="A383" s="3180">
        <f>面积!B1038</f>
        <v>-1363</v>
      </c>
      <c r="B383" s="3181">
        <f>面积!C1038</f>
        <v>32.61</v>
      </c>
      <c r="C383" s="21">
        <f t="shared" si="64"/>
        <v>1</v>
      </c>
      <c r="D383" s="632"/>
      <c r="E383" s="21">
        <f t="shared" si="65"/>
        <v>1</v>
      </c>
      <c r="F383" s="632"/>
      <c r="G383" s="21">
        <f t="shared" si="66"/>
        <v>1</v>
      </c>
      <c r="H383" s="632"/>
      <c r="I383" s="21">
        <f t="shared" si="67"/>
        <v>1</v>
      </c>
      <c r="J383" s="632"/>
      <c r="K383" s="21">
        <f t="shared" si="68"/>
        <v>1</v>
      </c>
      <c r="L383" s="632"/>
      <c r="M383" s="21">
        <f t="shared" si="69"/>
        <v>1</v>
      </c>
      <c r="N383" s="632"/>
      <c r="O383" s="21">
        <f t="shared" si="70"/>
        <v>1</v>
      </c>
      <c r="P383" s="632"/>
      <c r="Q383" s="21">
        <f t="shared" si="71"/>
        <v>1</v>
      </c>
      <c r="R383" s="21">
        <f t="shared" si="72"/>
        <v>162430</v>
      </c>
      <c r="S383" s="306">
        <f t="shared" si="63"/>
        <v>530</v>
      </c>
    </row>
    <row r="384" spans="1:19">
      <c r="A384" s="3180">
        <f>面积!B1039</f>
        <v>-1364</v>
      </c>
      <c r="B384" s="3181">
        <f>面积!C1039</f>
        <v>32.61</v>
      </c>
      <c r="C384" s="21">
        <f t="shared" si="64"/>
        <v>1</v>
      </c>
      <c r="D384" s="632"/>
      <c r="E384" s="21">
        <f t="shared" si="65"/>
        <v>1</v>
      </c>
      <c r="F384" s="632"/>
      <c r="G384" s="21">
        <f t="shared" si="66"/>
        <v>1</v>
      </c>
      <c r="H384" s="632"/>
      <c r="I384" s="21">
        <f t="shared" si="67"/>
        <v>1</v>
      </c>
      <c r="J384" s="632"/>
      <c r="K384" s="21">
        <f t="shared" si="68"/>
        <v>1</v>
      </c>
      <c r="L384" s="632"/>
      <c r="M384" s="21">
        <f t="shared" si="69"/>
        <v>1</v>
      </c>
      <c r="N384" s="632"/>
      <c r="O384" s="21">
        <f t="shared" si="70"/>
        <v>1</v>
      </c>
      <c r="P384" s="632"/>
      <c r="Q384" s="21">
        <f t="shared" si="71"/>
        <v>1</v>
      </c>
      <c r="R384" s="21">
        <f t="shared" si="72"/>
        <v>162430</v>
      </c>
      <c r="S384" s="306">
        <f t="shared" si="63"/>
        <v>530</v>
      </c>
    </row>
    <row r="385" spans="1:19">
      <c r="A385" s="3180">
        <f>面积!B1040</f>
        <v>-1365</v>
      </c>
      <c r="B385" s="3181">
        <f>面积!C1040</f>
        <v>32.61</v>
      </c>
      <c r="C385" s="21">
        <f t="shared" si="64"/>
        <v>1</v>
      </c>
      <c r="D385" s="632"/>
      <c r="E385" s="21">
        <f t="shared" si="65"/>
        <v>1</v>
      </c>
      <c r="F385" s="632"/>
      <c r="G385" s="21">
        <f t="shared" si="66"/>
        <v>1</v>
      </c>
      <c r="H385" s="632"/>
      <c r="I385" s="21">
        <f t="shared" si="67"/>
        <v>1</v>
      </c>
      <c r="J385" s="632"/>
      <c r="K385" s="21">
        <f t="shared" si="68"/>
        <v>1</v>
      </c>
      <c r="L385" s="632"/>
      <c r="M385" s="21">
        <f t="shared" si="69"/>
        <v>1</v>
      </c>
      <c r="N385" s="632"/>
      <c r="O385" s="21">
        <f t="shared" si="70"/>
        <v>1</v>
      </c>
      <c r="P385" s="632"/>
      <c r="Q385" s="21">
        <f t="shared" si="71"/>
        <v>1</v>
      </c>
      <c r="R385" s="21">
        <f t="shared" si="72"/>
        <v>162430</v>
      </c>
      <c r="S385" s="306">
        <f t="shared" ref="S385:S422" si="73">ROUND(R385*B385/10000,0)</f>
        <v>530</v>
      </c>
    </row>
    <row r="386" spans="1:19">
      <c r="A386" s="3180">
        <f>面积!B1041</f>
        <v>-1366</v>
      </c>
      <c r="B386" s="3181">
        <f>面积!C1041</f>
        <v>32.61</v>
      </c>
      <c r="C386" s="21">
        <f t="shared" si="64"/>
        <v>1</v>
      </c>
      <c r="D386" s="632"/>
      <c r="E386" s="21">
        <f t="shared" si="65"/>
        <v>1</v>
      </c>
      <c r="F386" s="632"/>
      <c r="G386" s="21">
        <f t="shared" si="66"/>
        <v>1</v>
      </c>
      <c r="H386" s="632"/>
      <c r="I386" s="21">
        <f t="shared" si="67"/>
        <v>1</v>
      </c>
      <c r="J386" s="632"/>
      <c r="K386" s="21">
        <f t="shared" si="68"/>
        <v>1</v>
      </c>
      <c r="L386" s="632"/>
      <c r="M386" s="21">
        <f t="shared" si="69"/>
        <v>1</v>
      </c>
      <c r="N386" s="632"/>
      <c r="O386" s="21">
        <f t="shared" si="70"/>
        <v>1</v>
      </c>
      <c r="P386" s="632"/>
      <c r="Q386" s="21">
        <f t="shared" si="71"/>
        <v>1</v>
      </c>
      <c r="R386" s="21">
        <f t="shared" si="72"/>
        <v>162430</v>
      </c>
      <c r="S386" s="306">
        <f t="shared" si="73"/>
        <v>530</v>
      </c>
    </row>
    <row r="387" spans="1:19">
      <c r="A387" s="3180">
        <f>面积!B1042</f>
        <v>-1367</v>
      </c>
      <c r="B387" s="3181">
        <f>面积!C1042</f>
        <v>32.61</v>
      </c>
      <c r="C387" s="21">
        <f t="shared" si="64"/>
        <v>1</v>
      </c>
      <c r="D387" s="632"/>
      <c r="E387" s="21">
        <f t="shared" si="65"/>
        <v>1</v>
      </c>
      <c r="F387" s="632"/>
      <c r="G387" s="21">
        <f t="shared" si="66"/>
        <v>1</v>
      </c>
      <c r="H387" s="632"/>
      <c r="I387" s="21">
        <f t="shared" si="67"/>
        <v>1</v>
      </c>
      <c r="J387" s="632"/>
      <c r="K387" s="21">
        <f t="shared" si="68"/>
        <v>1</v>
      </c>
      <c r="L387" s="632"/>
      <c r="M387" s="21">
        <f t="shared" si="69"/>
        <v>1</v>
      </c>
      <c r="N387" s="632"/>
      <c r="O387" s="21">
        <f t="shared" si="70"/>
        <v>1</v>
      </c>
      <c r="P387" s="632"/>
      <c r="Q387" s="21">
        <f t="shared" si="71"/>
        <v>1</v>
      </c>
      <c r="R387" s="21">
        <f t="shared" si="72"/>
        <v>162430</v>
      </c>
      <c r="S387" s="306">
        <f t="shared" si="73"/>
        <v>530</v>
      </c>
    </row>
    <row r="388" spans="1:19">
      <c r="A388" s="3180">
        <f>面积!B1043</f>
        <v>-1368</v>
      </c>
      <c r="B388" s="3181">
        <f>面积!C1043</f>
        <v>32.61</v>
      </c>
      <c r="C388" s="21">
        <f t="shared" si="64"/>
        <v>1</v>
      </c>
      <c r="D388" s="632"/>
      <c r="E388" s="21">
        <f t="shared" si="65"/>
        <v>1</v>
      </c>
      <c r="F388" s="632"/>
      <c r="G388" s="21">
        <f t="shared" si="66"/>
        <v>1</v>
      </c>
      <c r="H388" s="632"/>
      <c r="I388" s="21">
        <f t="shared" si="67"/>
        <v>1</v>
      </c>
      <c r="J388" s="632"/>
      <c r="K388" s="21">
        <f t="shared" si="68"/>
        <v>1</v>
      </c>
      <c r="L388" s="632"/>
      <c r="M388" s="21">
        <f t="shared" si="69"/>
        <v>1</v>
      </c>
      <c r="N388" s="632"/>
      <c r="O388" s="21">
        <f t="shared" si="70"/>
        <v>1</v>
      </c>
      <c r="P388" s="632"/>
      <c r="Q388" s="21">
        <f t="shared" si="71"/>
        <v>1</v>
      </c>
      <c r="R388" s="21">
        <f t="shared" si="72"/>
        <v>162430</v>
      </c>
      <c r="S388" s="306">
        <f t="shared" si="73"/>
        <v>530</v>
      </c>
    </row>
    <row r="389" spans="1:19">
      <c r="A389" s="3180">
        <f>面积!B1044</f>
        <v>-1369</v>
      </c>
      <c r="B389" s="3181">
        <f>面积!C1044</f>
        <v>32.61</v>
      </c>
      <c r="C389" s="21">
        <f t="shared" si="64"/>
        <v>1</v>
      </c>
      <c r="D389" s="632"/>
      <c r="E389" s="21">
        <f t="shared" si="65"/>
        <v>1</v>
      </c>
      <c r="F389" s="632"/>
      <c r="G389" s="21">
        <f t="shared" si="66"/>
        <v>1</v>
      </c>
      <c r="H389" s="632"/>
      <c r="I389" s="21">
        <f t="shared" si="67"/>
        <v>1</v>
      </c>
      <c r="J389" s="632"/>
      <c r="K389" s="21">
        <f t="shared" si="68"/>
        <v>1</v>
      </c>
      <c r="L389" s="632"/>
      <c r="M389" s="21">
        <f t="shared" si="69"/>
        <v>1</v>
      </c>
      <c r="N389" s="632"/>
      <c r="O389" s="21">
        <f t="shared" si="70"/>
        <v>1</v>
      </c>
      <c r="P389" s="632"/>
      <c r="Q389" s="21">
        <f t="shared" si="71"/>
        <v>1</v>
      </c>
      <c r="R389" s="21">
        <f t="shared" si="72"/>
        <v>162430</v>
      </c>
      <c r="S389" s="306">
        <f t="shared" si="73"/>
        <v>530</v>
      </c>
    </row>
    <row r="390" spans="1:19">
      <c r="A390" s="3180">
        <f>面积!B1045</f>
        <v>-1370</v>
      </c>
      <c r="B390" s="3181">
        <f>面积!C1045</f>
        <v>32.61</v>
      </c>
      <c r="C390" s="21">
        <f t="shared" si="64"/>
        <v>1</v>
      </c>
      <c r="D390" s="632"/>
      <c r="E390" s="21">
        <f t="shared" si="65"/>
        <v>1</v>
      </c>
      <c r="F390" s="632"/>
      <c r="G390" s="21">
        <f t="shared" si="66"/>
        <v>1</v>
      </c>
      <c r="H390" s="632"/>
      <c r="I390" s="21">
        <f t="shared" si="67"/>
        <v>1</v>
      </c>
      <c r="J390" s="632"/>
      <c r="K390" s="21">
        <f t="shared" si="68"/>
        <v>1</v>
      </c>
      <c r="L390" s="632"/>
      <c r="M390" s="21">
        <f t="shared" si="69"/>
        <v>1</v>
      </c>
      <c r="N390" s="632"/>
      <c r="O390" s="21">
        <f t="shared" si="70"/>
        <v>1</v>
      </c>
      <c r="P390" s="632"/>
      <c r="Q390" s="21">
        <f t="shared" si="71"/>
        <v>1</v>
      </c>
      <c r="R390" s="21">
        <f t="shared" si="72"/>
        <v>162430</v>
      </c>
      <c r="S390" s="306">
        <f t="shared" si="73"/>
        <v>530</v>
      </c>
    </row>
    <row r="391" spans="1:19">
      <c r="A391" s="3180">
        <f>面积!B1046</f>
        <v>-1371</v>
      </c>
      <c r="B391" s="3181">
        <f>面积!C1046</f>
        <v>52.86</v>
      </c>
      <c r="C391" s="21">
        <f t="shared" si="64"/>
        <v>1.2</v>
      </c>
      <c r="D391" s="632"/>
      <c r="E391" s="21">
        <f t="shared" si="65"/>
        <v>1</v>
      </c>
      <c r="F391" s="632"/>
      <c r="G391" s="21">
        <f t="shared" si="66"/>
        <v>1</v>
      </c>
      <c r="H391" s="632"/>
      <c r="I391" s="21">
        <f t="shared" si="67"/>
        <v>1</v>
      </c>
      <c r="J391" s="632"/>
      <c r="K391" s="21">
        <f t="shared" si="68"/>
        <v>1</v>
      </c>
      <c r="L391" s="632"/>
      <c r="M391" s="21">
        <f t="shared" si="69"/>
        <v>1</v>
      </c>
      <c r="N391" s="632"/>
      <c r="O391" s="21">
        <f t="shared" si="70"/>
        <v>1</v>
      </c>
      <c r="P391" s="632"/>
      <c r="Q391" s="21">
        <f t="shared" si="71"/>
        <v>1</v>
      </c>
      <c r="R391" s="21">
        <f t="shared" si="72"/>
        <v>194916</v>
      </c>
      <c r="S391" s="306">
        <f t="shared" si="73"/>
        <v>1030</v>
      </c>
    </row>
    <row r="392" spans="1:19">
      <c r="A392" s="3180">
        <f>面积!B1047</f>
        <v>-1372</v>
      </c>
      <c r="B392" s="3181">
        <f>面积!C1047</f>
        <v>32.61</v>
      </c>
      <c r="C392" s="21">
        <f t="shared" si="64"/>
        <v>1</v>
      </c>
      <c r="D392" s="632"/>
      <c r="E392" s="21">
        <f t="shared" si="65"/>
        <v>1</v>
      </c>
      <c r="F392" s="632"/>
      <c r="G392" s="21">
        <f t="shared" si="66"/>
        <v>1</v>
      </c>
      <c r="H392" s="632"/>
      <c r="I392" s="21">
        <f t="shared" si="67"/>
        <v>1</v>
      </c>
      <c r="J392" s="632"/>
      <c r="K392" s="21">
        <f t="shared" si="68"/>
        <v>1</v>
      </c>
      <c r="L392" s="632"/>
      <c r="M392" s="21">
        <f t="shared" si="69"/>
        <v>1</v>
      </c>
      <c r="N392" s="632"/>
      <c r="O392" s="21">
        <f t="shared" si="70"/>
        <v>1</v>
      </c>
      <c r="P392" s="632"/>
      <c r="Q392" s="21">
        <f t="shared" si="71"/>
        <v>1</v>
      </c>
      <c r="R392" s="21">
        <f t="shared" si="72"/>
        <v>162430</v>
      </c>
      <c r="S392" s="306">
        <f t="shared" si="73"/>
        <v>530</v>
      </c>
    </row>
    <row r="393" spans="1:19">
      <c r="A393" s="3180">
        <f>面积!B1048</f>
        <v>-1373</v>
      </c>
      <c r="B393" s="3181">
        <f>面积!C1048</f>
        <v>32.61</v>
      </c>
      <c r="C393" s="21">
        <f t="shared" si="64"/>
        <v>1</v>
      </c>
      <c r="D393" s="632"/>
      <c r="E393" s="21">
        <f t="shared" si="65"/>
        <v>1</v>
      </c>
      <c r="F393" s="632"/>
      <c r="G393" s="21">
        <f t="shared" si="66"/>
        <v>1</v>
      </c>
      <c r="H393" s="632"/>
      <c r="I393" s="21">
        <f t="shared" si="67"/>
        <v>1</v>
      </c>
      <c r="J393" s="632"/>
      <c r="K393" s="21">
        <f t="shared" si="68"/>
        <v>1</v>
      </c>
      <c r="L393" s="632"/>
      <c r="M393" s="21">
        <f t="shared" si="69"/>
        <v>1</v>
      </c>
      <c r="N393" s="632"/>
      <c r="O393" s="21">
        <f t="shared" si="70"/>
        <v>1</v>
      </c>
      <c r="P393" s="632"/>
      <c r="Q393" s="21">
        <f t="shared" si="71"/>
        <v>1</v>
      </c>
      <c r="R393" s="21">
        <f t="shared" si="72"/>
        <v>162430</v>
      </c>
      <c r="S393" s="306">
        <f t="shared" si="73"/>
        <v>530</v>
      </c>
    </row>
    <row r="394" spans="1:19">
      <c r="A394" s="3180">
        <f>面积!B1049</f>
        <v>-1374</v>
      </c>
      <c r="B394" s="3181">
        <f>面积!C1049</f>
        <v>52.86</v>
      </c>
      <c r="C394" s="21">
        <f t="shared" si="64"/>
        <v>1.2</v>
      </c>
      <c r="D394" s="632"/>
      <c r="E394" s="21">
        <f t="shared" si="65"/>
        <v>1</v>
      </c>
      <c r="F394" s="632"/>
      <c r="G394" s="21">
        <f t="shared" si="66"/>
        <v>1</v>
      </c>
      <c r="H394" s="632"/>
      <c r="I394" s="21">
        <f t="shared" si="67"/>
        <v>1</v>
      </c>
      <c r="J394" s="632"/>
      <c r="K394" s="21">
        <f t="shared" si="68"/>
        <v>1</v>
      </c>
      <c r="L394" s="632"/>
      <c r="M394" s="21">
        <f t="shared" si="69"/>
        <v>1</v>
      </c>
      <c r="N394" s="632"/>
      <c r="O394" s="21">
        <f t="shared" si="70"/>
        <v>1</v>
      </c>
      <c r="P394" s="632"/>
      <c r="Q394" s="21">
        <f t="shared" si="71"/>
        <v>1</v>
      </c>
      <c r="R394" s="21">
        <f t="shared" si="72"/>
        <v>194916</v>
      </c>
      <c r="S394" s="306">
        <f t="shared" si="73"/>
        <v>1030</v>
      </c>
    </row>
    <row r="395" spans="1:19">
      <c r="A395" s="3180">
        <f>面积!B1050</f>
        <v>-1375</v>
      </c>
      <c r="B395" s="3181">
        <f>面积!C1050</f>
        <v>32.61</v>
      </c>
      <c r="C395" s="21">
        <f t="shared" si="64"/>
        <v>1</v>
      </c>
      <c r="D395" s="632"/>
      <c r="E395" s="21">
        <f t="shared" si="65"/>
        <v>1</v>
      </c>
      <c r="F395" s="632"/>
      <c r="G395" s="21">
        <f t="shared" si="66"/>
        <v>1</v>
      </c>
      <c r="H395" s="632"/>
      <c r="I395" s="21">
        <f t="shared" si="67"/>
        <v>1</v>
      </c>
      <c r="J395" s="632"/>
      <c r="K395" s="21">
        <f t="shared" si="68"/>
        <v>1</v>
      </c>
      <c r="L395" s="632"/>
      <c r="M395" s="21">
        <f t="shared" si="69"/>
        <v>1</v>
      </c>
      <c r="N395" s="632"/>
      <c r="O395" s="21">
        <f t="shared" si="70"/>
        <v>1</v>
      </c>
      <c r="P395" s="632"/>
      <c r="Q395" s="21">
        <f t="shared" si="71"/>
        <v>1</v>
      </c>
      <c r="R395" s="21">
        <f t="shared" si="72"/>
        <v>162430</v>
      </c>
      <c r="S395" s="306">
        <f t="shared" si="73"/>
        <v>530</v>
      </c>
    </row>
    <row r="396" spans="1:19">
      <c r="A396" s="3180">
        <f>面积!B1051</f>
        <v>-1376</v>
      </c>
      <c r="B396" s="3181">
        <f>面积!C1051</f>
        <v>32.61</v>
      </c>
      <c r="C396" s="21">
        <f t="shared" si="64"/>
        <v>1</v>
      </c>
      <c r="D396" s="632"/>
      <c r="E396" s="21">
        <f t="shared" si="65"/>
        <v>1</v>
      </c>
      <c r="F396" s="632"/>
      <c r="G396" s="21">
        <f t="shared" si="66"/>
        <v>1</v>
      </c>
      <c r="H396" s="632"/>
      <c r="I396" s="21">
        <f t="shared" si="67"/>
        <v>1</v>
      </c>
      <c r="J396" s="632"/>
      <c r="K396" s="21">
        <f t="shared" si="68"/>
        <v>1</v>
      </c>
      <c r="L396" s="632"/>
      <c r="M396" s="21">
        <f t="shared" si="69"/>
        <v>1</v>
      </c>
      <c r="N396" s="632"/>
      <c r="O396" s="21">
        <f t="shared" si="70"/>
        <v>1</v>
      </c>
      <c r="P396" s="632"/>
      <c r="Q396" s="21">
        <f t="shared" si="71"/>
        <v>1</v>
      </c>
      <c r="R396" s="21">
        <f t="shared" si="72"/>
        <v>162430</v>
      </c>
      <c r="S396" s="306">
        <f t="shared" si="73"/>
        <v>530</v>
      </c>
    </row>
    <row r="397" spans="1:19">
      <c r="A397" s="3180">
        <f>面积!B1052</f>
        <v>-1377</v>
      </c>
      <c r="B397" s="3181">
        <f>面积!C1052</f>
        <v>32.61</v>
      </c>
      <c r="C397" s="21">
        <f t="shared" si="64"/>
        <v>1</v>
      </c>
      <c r="D397" s="632"/>
      <c r="E397" s="21">
        <f t="shared" si="65"/>
        <v>1</v>
      </c>
      <c r="F397" s="632"/>
      <c r="G397" s="21">
        <f t="shared" si="66"/>
        <v>1</v>
      </c>
      <c r="H397" s="632"/>
      <c r="I397" s="21">
        <f t="shared" si="67"/>
        <v>1</v>
      </c>
      <c r="J397" s="632"/>
      <c r="K397" s="21">
        <f t="shared" si="68"/>
        <v>1</v>
      </c>
      <c r="L397" s="632"/>
      <c r="M397" s="21">
        <f t="shared" si="69"/>
        <v>1</v>
      </c>
      <c r="N397" s="632"/>
      <c r="O397" s="21">
        <f t="shared" si="70"/>
        <v>1</v>
      </c>
      <c r="P397" s="632"/>
      <c r="Q397" s="21">
        <f t="shared" si="71"/>
        <v>1</v>
      </c>
      <c r="R397" s="21">
        <f t="shared" si="72"/>
        <v>162430</v>
      </c>
      <c r="S397" s="306">
        <f t="shared" si="73"/>
        <v>530</v>
      </c>
    </row>
    <row r="398" spans="1:19">
      <c r="A398" s="3180">
        <f>面积!B1053</f>
        <v>-1378</v>
      </c>
      <c r="B398" s="3181">
        <f>面积!C1053</f>
        <v>32.61</v>
      </c>
      <c r="C398" s="21">
        <f t="shared" si="64"/>
        <v>1</v>
      </c>
      <c r="D398" s="632"/>
      <c r="E398" s="21">
        <f t="shared" si="65"/>
        <v>1</v>
      </c>
      <c r="F398" s="632"/>
      <c r="G398" s="21">
        <f t="shared" si="66"/>
        <v>1</v>
      </c>
      <c r="H398" s="632"/>
      <c r="I398" s="21">
        <f t="shared" si="67"/>
        <v>1</v>
      </c>
      <c r="J398" s="632"/>
      <c r="K398" s="21">
        <f t="shared" si="68"/>
        <v>1</v>
      </c>
      <c r="L398" s="632"/>
      <c r="M398" s="21">
        <f t="shared" si="69"/>
        <v>1</v>
      </c>
      <c r="N398" s="632"/>
      <c r="O398" s="21">
        <f t="shared" si="70"/>
        <v>1</v>
      </c>
      <c r="P398" s="632"/>
      <c r="Q398" s="21">
        <f t="shared" si="71"/>
        <v>1</v>
      </c>
      <c r="R398" s="21">
        <f t="shared" si="72"/>
        <v>162430</v>
      </c>
      <c r="S398" s="306">
        <f t="shared" si="73"/>
        <v>530</v>
      </c>
    </row>
    <row r="399" spans="1:19">
      <c r="A399" s="3180">
        <f>面积!B1054</f>
        <v>-1379</v>
      </c>
      <c r="B399" s="3181">
        <f>面积!C1054</f>
        <v>32.61</v>
      </c>
      <c r="C399" s="21">
        <f t="shared" si="64"/>
        <v>1</v>
      </c>
      <c r="D399" s="632"/>
      <c r="E399" s="21">
        <f t="shared" si="65"/>
        <v>1</v>
      </c>
      <c r="F399" s="632"/>
      <c r="G399" s="21">
        <f t="shared" si="66"/>
        <v>1</v>
      </c>
      <c r="H399" s="632"/>
      <c r="I399" s="21">
        <f t="shared" si="67"/>
        <v>1</v>
      </c>
      <c r="J399" s="632"/>
      <c r="K399" s="21">
        <f t="shared" si="68"/>
        <v>1</v>
      </c>
      <c r="L399" s="632"/>
      <c r="M399" s="21">
        <f t="shared" si="69"/>
        <v>1</v>
      </c>
      <c r="N399" s="632"/>
      <c r="O399" s="21">
        <f t="shared" si="70"/>
        <v>1</v>
      </c>
      <c r="P399" s="632"/>
      <c r="Q399" s="21">
        <f t="shared" si="71"/>
        <v>1</v>
      </c>
      <c r="R399" s="21">
        <f t="shared" si="72"/>
        <v>162430</v>
      </c>
      <c r="S399" s="306">
        <f t="shared" si="73"/>
        <v>530</v>
      </c>
    </row>
    <row r="400" spans="1:19">
      <c r="A400" s="3180">
        <f>面积!B1055</f>
        <v>-1380</v>
      </c>
      <c r="B400" s="3181">
        <f>面积!C1055</f>
        <v>32.61</v>
      </c>
      <c r="C400" s="21">
        <f t="shared" si="64"/>
        <v>1</v>
      </c>
      <c r="D400" s="632"/>
      <c r="E400" s="21">
        <f t="shared" si="65"/>
        <v>1</v>
      </c>
      <c r="F400" s="632"/>
      <c r="G400" s="21">
        <f t="shared" si="66"/>
        <v>1</v>
      </c>
      <c r="H400" s="632"/>
      <c r="I400" s="21">
        <f t="shared" si="67"/>
        <v>1</v>
      </c>
      <c r="J400" s="632"/>
      <c r="K400" s="21">
        <f t="shared" si="68"/>
        <v>1</v>
      </c>
      <c r="L400" s="632"/>
      <c r="M400" s="21">
        <f t="shared" si="69"/>
        <v>1</v>
      </c>
      <c r="N400" s="632"/>
      <c r="O400" s="21">
        <f t="shared" si="70"/>
        <v>1</v>
      </c>
      <c r="P400" s="632"/>
      <c r="Q400" s="21">
        <f t="shared" si="71"/>
        <v>1</v>
      </c>
      <c r="R400" s="21">
        <f t="shared" si="72"/>
        <v>162430</v>
      </c>
      <c r="S400" s="306">
        <f t="shared" si="73"/>
        <v>530</v>
      </c>
    </row>
    <row r="401" spans="1:19">
      <c r="A401" s="3180">
        <f>面积!B1056</f>
        <v>-1381</v>
      </c>
      <c r="B401" s="3181">
        <f>面积!C1056</f>
        <v>32.61</v>
      </c>
      <c r="C401" s="21">
        <f t="shared" si="64"/>
        <v>1</v>
      </c>
      <c r="D401" s="632"/>
      <c r="E401" s="21">
        <f t="shared" si="65"/>
        <v>1</v>
      </c>
      <c r="F401" s="632"/>
      <c r="G401" s="21">
        <f t="shared" si="66"/>
        <v>1</v>
      </c>
      <c r="H401" s="632"/>
      <c r="I401" s="21">
        <f t="shared" si="67"/>
        <v>1</v>
      </c>
      <c r="J401" s="632"/>
      <c r="K401" s="21">
        <f t="shared" si="68"/>
        <v>1</v>
      </c>
      <c r="L401" s="632"/>
      <c r="M401" s="21">
        <f t="shared" si="69"/>
        <v>1</v>
      </c>
      <c r="N401" s="632"/>
      <c r="O401" s="21">
        <f t="shared" si="70"/>
        <v>1</v>
      </c>
      <c r="P401" s="632"/>
      <c r="Q401" s="21">
        <f t="shared" si="71"/>
        <v>1</v>
      </c>
      <c r="R401" s="21">
        <f t="shared" si="72"/>
        <v>162430</v>
      </c>
      <c r="S401" s="306">
        <f t="shared" si="73"/>
        <v>530</v>
      </c>
    </row>
    <row r="402" spans="1:19">
      <c r="A402" s="3180">
        <f>面积!B1057</f>
        <v>-1382</v>
      </c>
      <c r="B402" s="3181">
        <f>面积!C1057</f>
        <v>32.61</v>
      </c>
      <c r="C402" s="21">
        <f t="shared" si="64"/>
        <v>1</v>
      </c>
      <c r="D402" s="632"/>
      <c r="E402" s="21">
        <f t="shared" si="65"/>
        <v>1</v>
      </c>
      <c r="F402" s="632"/>
      <c r="G402" s="21">
        <f t="shared" si="66"/>
        <v>1</v>
      </c>
      <c r="H402" s="632"/>
      <c r="I402" s="21">
        <f t="shared" si="67"/>
        <v>1</v>
      </c>
      <c r="J402" s="632"/>
      <c r="K402" s="21">
        <f t="shared" si="68"/>
        <v>1</v>
      </c>
      <c r="L402" s="632"/>
      <c r="M402" s="21">
        <f t="shared" si="69"/>
        <v>1</v>
      </c>
      <c r="N402" s="632"/>
      <c r="O402" s="21">
        <f t="shared" si="70"/>
        <v>1</v>
      </c>
      <c r="P402" s="632"/>
      <c r="Q402" s="21">
        <f t="shared" si="71"/>
        <v>1</v>
      </c>
      <c r="R402" s="21">
        <f t="shared" si="72"/>
        <v>162430</v>
      </c>
      <c r="S402" s="306">
        <f t="shared" si="73"/>
        <v>530</v>
      </c>
    </row>
    <row r="403" spans="1:19">
      <c r="A403" s="3180">
        <f>面积!B1058</f>
        <v>-1383</v>
      </c>
      <c r="B403" s="3181">
        <f>面积!C1058</f>
        <v>32.61</v>
      </c>
      <c r="C403" s="21">
        <f t="shared" si="64"/>
        <v>1</v>
      </c>
      <c r="D403" s="632"/>
      <c r="E403" s="21">
        <f t="shared" si="65"/>
        <v>1</v>
      </c>
      <c r="F403" s="632"/>
      <c r="G403" s="21">
        <f t="shared" si="66"/>
        <v>1</v>
      </c>
      <c r="H403" s="632"/>
      <c r="I403" s="21">
        <f t="shared" si="67"/>
        <v>1</v>
      </c>
      <c r="J403" s="632"/>
      <c r="K403" s="21">
        <f t="shared" si="68"/>
        <v>1</v>
      </c>
      <c r="L403" s="632"/>
      <c r="M403" s="21">
        <f t="shared" si="69"/>
        <v>1</v>
      </c>
      <c r="N403" s="632"/>
      <c r="O403" s="21">
        <f t="shared" si="70"/>
        <v>1</v>
      </c>
      <c r="P403" s="632"/>
      <c r="Q403" s="21">
        <f t="shared" si="71"/>
        <v>1</v>
      </c>
      <c r="R403" s="21">
        <f t="shared" si="72"/>
        <v>162430</v>
      </c>
      <c r="S403" s="306">
        <f t="shared" si="73"/>
        <v>530</v>
      </c>
    </row>
    <row r="404" spans="1:19">
      <c r="A404" s="3180">
        <f>面积!B1059</f>
        <v>-1384</v>
      </c>
      <c r="B404" s="3181">
        <f>面积!C1059</f>
        <v>32.61</v>
      </c>
      <c r="C404" s="21">
        <f t="shared" si="64"/>
        <v>1</v>
      </c>
      <c r="D404" s="632"/>
      <c r="E404" s="21">
        <f t="shared" si="65"/>
        <v>1</v>
      </c>
      <c r="F404" s="632"/>
      <c r="G404" s="21">
        <f t="shared" si="66"/>
        <v>1</v>
      </c>
      <c r="H404" s="632"/>
      <c r="I404" s="21">
        <f t="shared" si="67"/>
        <v>1</v>
      </c>
      <c r="J404" s="632"/>
      <c r="K404" s="21">
        <f t="shared" si="68"/>
        <v>1</v>
      </c>
      <c r="L404" s="632"/>
      <c r="M404" s="21">
        <f t="shared" si="69"/>
        <v>1</v>
      </c>
      <c r="N404" s="632"/>
      <c r="O404" s="21">
        <f t="shared" si="70"/>
        <v>1</v>
      </c>
      <c r="P404" s="632"/>
      <c r="Q404" s="21">
        <f t="shared" si="71"/>
        <v>1</v>
      </c>
      <c r="R404" s="21">
        <f t="shared" si="72"/>
        <v>162430</v>
      </c>
      <c r="S404" s="306">
        <f t="shared" si="73"/>
        <v>530</v>
      </c>
    </row>
    <row r="405" spans="1:19">
      <c r="A405" s="3180">
        <f>面积!B1060</f>
        <v>-1385</v>
      </c>
      <c r="B405" s="3181">
        <f>面积!C1060</f>
        <v>32.61</v>
      </c>
      <c r="C405" s="21">
        <f t="shared" si="64"/>
        <v>1</v>
      </c>
      <c r="D405" s="632"/>
      <c r="E405" s="21">
        <f t="shared" si="65"/>
        <v>1</v>
      </c>
      <c r="F405" s="632"/>
      <c r="G405" s="21">
        <f t="shared" si="66"/>
        <v>1</v>
      </c>
      <c r="H405" s="632"/>
      <c r="I405" s="21">
        <f t="shared" si="67"/>
        <v>1</v>
      </c>
      <c r="J405" s="632"/>
      <c r="K405" s="21">
        <f t="shared" si="68"/>
        <v>1</v>
      </c>
      <c r="L405" s="632"/>
      <c r="M405" s="21">
        <f t="shared" si="69"/>
        <v>1</v>
      </c>
      <c r="N405" s="632"/>
      <c r="O405" s="21">
        <f t="shared" si="70"/>
        <v>1</v>
      </c>
      <c r="P405" s="632"/>
      <c r="Q405" s="21">
        <f t="shared" si="71"/>
        <v>1</v>
      </c>
      <c r="R405" s="21">
        <f t="shared" si="72"/>
        <v>162430</v>
      </c>
      <c r="S405" s="306">
        <f t="shared" si="73"/>
        <v>530</v>
      </c>
    </row>
    <row r="406" spans="1:19">
      <c r="A406" s="3180">
        <f>面积!B1061</f>
        <v>-1386</v>
      </c>
      <c r="B406" s="3181">
        <f>面积!C1061</f>
        <v>32.61</v>
      </c>
      <c r="C406" s="21">
        <f t="shared" si="64"/>
        <v>1</v>
      </c>
      <c r="D406" s="632"/>
      <c r="E406" s="21">
        <f t="shared" si="65"/>
        <v>1</v>
      </c>
      <c r="F406" s="632"/>
      <c r="G406" s="21">
        <f t="shared" si="66"/>
        <v>1</v>
      </c>
      <c r="H406" s="632"/>
      <c r="I406" s="21">
        <f t="shared" si="67"/>
        <v>1</v>
      </c>
      <c r="J406" s="632"/>
      <c r="K406" s="21">
        <f t="shared" si="68"/>
        <v>1</v>
      </c>
      <c r="L406" s="632"/>
      <c r="M406" s="21">
        <f t="shared" si="69"/>
        <v>1</v>
      </c>
      <c r="N406" s="632"/>
      <c r="O406" s="21">
        <f t="shared" si="70"/>
        <v>1</v>
      </c>
      <c r="P406" s="632"/>
      <c r="Q406" s="21">
        <f t="shared" si="71"/>
        <v>1</v>
      </c>
      <c r="R406" s="21">
        <f t="shared" si="72"/>
        <v>162430</v>
      </c>
      <c r="S406" s="306">
        <f t="shared" si="73"/>
        <v>530</v>
      </c>
    </row>
    <row r="407" spans="1:19">
      <c r="A407" s="3180">
        <f>面积!B1062</f>
        <v>-1387</v>
      </c>
      <c r="B407" s="3181">
        <f>面积!C1062</f>
        <v>32.61</v>
      </c>
      <c r="C407" s="21">
        <f t="shared" si="64"/>
        <v>1</v>
      </c>
      <c r="D407" s="632"/>
      <c r="E407" s="21">
        <f t="shared" si="65"/>
        <v>1</v>
      </c>
      <c r="F407" s="632"/>
      <c r="G407" s="21">
        <f t="shared" si="66"/>
        <v>1</v>
      </c>
      <c r="H407" s="632"/>
      <c r="I407" s="21">
        <f t="shared" si="67"/>
        <v>1</v>
      </c>
      <c r="J407" s="632"/>
      <c r="K407" s="21">
        <f t="shared" si="68"/>
        <v>1</v>
      </c>
      <c r="L407" s="632"/>
      <c r="M407" s="21">
        <f t="shared" si="69"/>
        <v>1</v>
      </c>
      <c r="N407" s="632"/>
      <c r="O407" s="21">
        <f t="shared" si="70"/>
        <v>1</v>
      </c>
      <c r="P407" s="632"/>
      <c r="Q407" s="21">
        <f t="shared" si="71"/>
        <v>1</v>
      </c>
      <c r="R407" s="21">
        <f t="shared" si="72"/>
        <v>162430</v>
      </c>
      <c r="S407" s="306">
        <f t="shared" si="73"/>
        <v>530</v>
      </c>
    </row>
    <row r="408" spans="1:19">
      <c r="A408" s="3180">
        <f>面积!B1063</f>
        <v>-1388</v>
      </c>
      <c r="B408" s="3181">
        <f>面积!C1063</f>
        <v>32.61</v>
      </c>
      <c r="C408" s="21">
        <f t="shared" si="64"/>
        <v>1</v>
      </c>
      <c r="D408" s="632"/>
      <c r="E408" s="21">
        <f t="shared" si="65"/>
        <v>1</v>
      </c>
      <c r="F408" s="632"/>
      <c r="G408" s="21">
        <f t="shared" si="66"/>
        <v>1</v>
      </c>
      <c r="H408" s="632"/>
      <c r="I408" s="21">
        <f t="shared" si="67"/>
        <v>1</v>
      </c>
      <c r="J408" s="632"/>
      <c r="K408" s="21">
        <f t="shared" si="68"/>
        <v>1</v>
      </c>
      <c r="L408" s="632"/>
      <c r="M408" s="21">
        <f t="shared" si="69"/>
        <v>1</v>
      </c>
      <c r="N408" s="632"/>
      <c r="O408" s="21">
        <f t="shared" si="70"/>
        <v>1</v>
      </c>
      <c r="P408" s="632"/>
      <c r="Q408" s="21">
        <f t="shared" si="71"/>
        <v>1</v>
      </c>
      <c r="R408" s="21">
        <f t="shared" si="72"/>
        <v>162430</v>
      </c>
      <c r="S408" s="306">
        <f t="shared" si="73"/>
        <v>530</v>
      </c>
    </row>
    <row r="409" spans="1:19">
      <c r="A409" s="3180">
        <f>面积!B1064</f>
        <v>-1389</v>
      </c>
      <c r="B409" s="3181">
        <f>面积!C1064</f>
        <v>32.61</v>
      </c>
      <c r="C409" s="21">
        <f t="shared" si="64"/>
        <v>1</v>
      </c>
      <c r="D409" s="632"/>
      <c r="E409" s="21">
        <f t="shared" si="65"/>
        <v>1</v>
      </c>
      <c r="F409" s="632"/>
      <c r="G409" s="21">
        <f t="shared" si="66"/>
        <v>1</v>
      </c>
      <c r="H409" s="632"/>
      <c r="I409" s="21">
        <f t="shared" si="67"/>
        <v>1</v>
      </c>
      <c r="J409" s="632"/>
      <c r="K409" s="21">
        <f t="shared" si="68"/>
        <v>1</v>
      </c>
      <c r="L409" s="632"/>
      <c r="M409" s="21">
        <f t="shared" si="69"/>
        <v>1</v>
      </c>
      <c r="N409" s="632"/>
      <c r="O409" s="21">
        <f t="shared" si="70"/>
        <v>1</v>
      </c>
      <c r="P409" s="632"/>
      <c r="Q409" s="21">
        <f t="shared" si="71"/>
        <v>1</v>
      </c>
      <c r="R409" s="21">
        <f t="shared" si="72"/>
        <v>162430</v>
      </c>
      <c r="S409" s="306">
        <f t="shared" si="73"/>
        <v>530</v>
      </c>
    </row>
    <row r="410" spans="1:19">
      <c r="A410" s="3180">
        <f>面积!B1065</f>
        <v>-1390</v>
      </c>
      <c r="B410" s="3181">
        <f>面积!C1065</f>
        <v>32.61</v>
      </c>
      <c r="C410" s="21">
        <f t="shared" ref="C410:C473" si="74">IF(B410="",1,(LOOKUP(B410,$3:$3,$4:$4)-LOOKUP($B$24,$3:$3,$4:$4)+100)/100)</f>
        <v>1</v>
      </c>
      <c r="D410" s="632"/>
      <c r="E410" s="21">
        <f t="shared" ref="E410:E473" si="75">(SUMIF($5:$5,D410,$6:$6)-SUMIF($5:$5,$D$24,$6:$6)+100)/100</f>
        <v>1</v>
      </c>
      <c r="F410" s="632"/>
      <c r="G410" s="21">
        <f t="shared" ref="G410:G473" si="76">(SUMIF($7:$7,F410,$8:$8)-SUMIF($7:$7,$F$24,$8:$8)+100)/100</f>
        <v>1</v>
      </c>
      <c r="H410" s="632"/>
      <c r="I410" s="21">
        <f t="shared" ref="I410:I473" si="77">(SUMIF($9:$9,H410,$10:$10)-SUMIF($9:$9,$H$24,$10:$10)+100)/100</f>
        <v>1</v>
      </c>
      <c r="J410" s="632"/>
      <c r="K410" s="21">
        <f t="shared" ref="K410:K473" si="78">(SUMIF($11:$11,J410,$12:$12)-SUMIF($11:$11,$J$24,$12:$12)+100)/100</f>
        <v>1</v>
      </c>
      <c r="L410" s="632"/>
      <c r="M410" s="21">
        <f t="shared" ref="M410:M473" si="79">(SUMIF($13:$13,L410,$14:$14)-SUMIF($13:$13,$L$24,$14:$14)+100)/100</f>
        <v>1</v>
      </c>
      <c r="N410" s="632"/>
      <c r="O410" s="21">
        <f t="shared" ref="O410:O473" si="80">(SUMIF($15:$15,N410,$16:$16)-SUMIF($15:$15,$N$24,$16:$16)+100)/100</f>
        <v>1</v>
      </c>
      <c r="P410" s="632"/>
      <c r="Q410" s="21">
        <f t="shared" ref="Q410:Q473" si="81">(SUMIF($17:$17,P410,$18:$18)-SUMIF($17:$17,$P$24,$18:$18)+100)/100</f>
        <v>1</v>
      </c>
      <c r="R410" s="21">
        <f t="shared" ref="R410:R473" si="82">IF(B410="",0,ROUND($R$24*C410*E410*G410*I410*K410*M410*O410*Q410,0))</f>
        <v>162430</v>
      </c>
      <c r="S410" s="306">
        <f t="shared" si="73"/>
        <v>530</v>
      </c>
    </row>
    <row r="411" spans="1:19">
      <c r="A411" s="3180">
        <f>面积!B1066</f>
        <v>-1391</v>
      </c>
      <c r="B411" s="3181">
        <f>面积!C1066</f>
        <v>32.61</v>
      </c>
      <c r="C411" s="21">
        <f t="shared" si="74"/>
        <v>1</v>
      </c>
      <c r="D411" s="632"/>
      <c r="E411" s="21">
        <f t="shared" si="75"/>
        <v>1</v>
      </c>
      <c r="F411" s="632"/>
      <c r="G411" s="21">
        <f t="shared" si="76"/>
        <v>1</v>
      </c>
      <c r="H411" s="632"/>
      <c r="I411" s="21">
        <f t="shared" si="77"/>
        <v>1</v>
      </c>
      <c r="J411" s="632"/>
      <c r="K411" s="21">
        <f t="shared" si="78"/>
        <v>1</v>
      </c>
      <c r="L411" s="632"/>
      <c r="M411" s="21">
        <f t="shared" si="79"/>
        <v>1</v>
      </c>
      <c r="N411" s="632"/>
      <c r="O411" s="21">
        <f t="shared" si="80"/>
        <v>1</v>
      </c>
      <c r="P411" s="632"/>
      <c r="Q411" s="21">
        <f t="shared" si="81"/>
        <v>1</v>
      </c>
      <c r="R411" s="21">
        <f t="shared" si="82"/>
        <v>162430</v>
      </c>
      <c r="S411" s="306">
        <f t="shared" si="73"/>
        <v>530</v>
      </c>
    </row>
    <row r="412" spans="1:19">
      <c r="A412" s="3180">
        <f>面积!B1067</f>
        <v>-1392</v>
      </c>
      <c r="B412" s="3181">
        <f>面积!C1067</f>
        <v>32.61</v>
      </c>
      <c r="C412" s="21">
        <f t="shared" si="74"/>
        <v>1</v>
      </c>
      <c r="D412" s="632"/>
      <c r="E412" s="21">
        <f t="shared" si="75"/>
        <v>1</v>
      </c>
      <c r="F412" s="632"/>
      <c r="G412" s="21">
        <f t="shared" si="76"/>
        <v>1</v>
      </c>
      <c r="H412" s="632"/>
      <c r="I412" s="21">
        <f t="shared" si="77"/>
        <v>1</v>
      </c>
      <c r="J412" s="632"/>
      <c r="K412" s="21">
        <f t="shared" si="78"/>
        <v>1</v>
      </c>
      <c r="L412" s="632"/>
      <c r="M412" s="21">
        <f t="shared" si="79"/>
        <v>1</v>
      </c>
      <c r="N412" s="632"/>
      <c r="O412" s="21">
        <f t="shared" si="80"/>
        <v>1</v>
      </c>
      <c r="P412" s="632"/>
      <c r="Q412" s="21">
        <f t="shared" si="81"/>
        <v>1</v>
      </c>
      <c r="R412" s="21">
        <f t="shared" si="82"/>
        <v>162430</v>
      </c>
      <c r="S412" s="306">
        <f t="shared" si="73"/>
        <v>530</v>
      </c>
    </row>
    <row r="413" spans="1:19">
      <c r="A413" s="3180">
        <f>面积!B1068</f>
        <v>-1393</v>
      </c>
      <c r="B413" s="3181">
        <f>面积!C1068</f>
        <v>32.61</v>
      </c>
      <c r="C413" s="21">
        <f t="shared" si="74"/>
        <v>1</v>
      </c>
      <c r="D413" s="632"/>
      <c r="E413" s="21">
        <f t="shared" si="75"/>
        <v>1</v>
      </c>
      <c r="F413" s="632"/>
      <c r="G413" s="21">
        <f t="shared" si="76"/>
        <v>1</v>
      </c>
      <c r="H413" s="632"/>
      <c r="I413" s="21">
        <f t="shared" si="77"/>
        <v>1</v>
      </c>
      <c r="J413" s="632"/>
      <c r="K413" s="21">
        <f t="shared" si="78"/>
        <v>1</v>
      </c>
      <c r="L413" s="632"/>
      <c r="M413" s="21">
        <f t="shared" si="79"/>
        <v>1</v>
      </c>
      <c r="N413" s="632"/>
      <c r="O413" s="21">
        <f t="shared" si="80"/>
        <v>1</v>
      </c>
      <c r="P413" s="632"/>
      <c r="Q413" s="21">
        <f t="shared" si="81"/>
        <v>1</v>
      </c>
      <c r="R413" s="21">
        <f t="shared" si="82"/>
        <v>162430</v>
      </c>
      <c r="S413" s="306">
        <f t="shared" si="73"/>
        <v>530</v>
      </c>
    </row>
    <row r="414" spans="1:19">
      <c r="A414" s="3180">
        <f>面积!B1069</f>
        <v>-1394</v>
      </c>
      <c r="B414" s="3181">
        <f>面积!C1069</f>
        <v>32.61</v>
      </c>
      <c r="C414" s="21">
        <f t="shared" si="74"/>
        <v>1</v>
      </c>
      <c r="D414" s="632"/>
      <c r="E414" s="21">
        <f t="shared" si="75"/>
        <v>1</v>
      </c>
      <c r="F414" s="632"/>
      <c r="G414" s="21">
        <f t="shared" si="76"/>
        <v>1</v>
      </c>
      <c r="H414" s="632"/>
      <c r="I414" s="21">
        <f t="shared" si="77"/>
        <v>1</v>
      </c>
      <c r="J414" s="632"/>
      <c r="K414" s="21">
        <f t="shared" si="78"/>
        <v>1</v>
      </c>
      <c r="L414" s="632"/>
      <c r="M414" s="21">
        <f t="shared" si="79"/>
        <v>1</v>
      </c>
      <c r="N414" s="632"/>
      <c r="O414" s="21">
        <f t="shared" si="80"/>
        <v>1</v>
      </c>
      <c r="P414" s="632"/>
      <c r="Q414" s="21">
        <f t="shared" si="81"/>
        <v>1</v>
      </c>
      <c r="R414" s="21">
        <f t="shared" si="82"/>
        <v>162430</v>
      </c>
      <c r="S414" s="306">
        <f t="shared" si="73"/>
        <v>530</v>
      </c>
    </row>
    <row r="415" spans="1:19">
      <c r="A415" s="3180">
        <f>面积!B1070</f>
        <v>-1395</v>
      </c>
      <c r="B415" s="3181">
        <f>面积!C1070</f>
        <v>32.61</v>
      </c>
      <c r="C415" s="21">
        <f t="shared" si="74"/>
        <v>1</v>
      </c>
      <c r="D415" s="632"/>
      <c r="E415" s="21">
        <f t="shared" si="75"/>
        <v>1</v>
      </c>
      <c r="F415" s="632"/>
      <c r="G415" s="21">
        <f t="shared" si="76"/>
        <v>1</v>
      </c>
      <c r="H415" s="632"/>
      <c r="I415" s="21">
        <f t="shared" si="77"/>
        <v>1</v>
      </c>
      <c r="J415" s="632"/>
      <c r="K415" s="21">
        <f t="shared" si="78"/>
        <v>1</v>
      </c>
      <c r="L415" s="632"/>
      <c r="M415" s="21">
        <f t="shared" si="79"/>
        <v>1</v>
      </c>
      <c r="N415" s="632"/>
      <c r="O415" s="21">
        <f t="shared" si="80"/>
        <v>1</v>
      </c>
      <c r="P415" s="632"/>
      <c r="Q415" s="21">
        <f t="shared" si="81"/>
        <v>1</v>
      </c>
      <c r="R415" s="21">
        <f t="shared" si="82"/>
        <v>162430</v>
      </c>
      <c r="S415" s="306">
        <f t="shared" si="73"/>
        <v>530</v>
      </c>
    </row>
    <row r="416" spans="1:19">
      <c r="A416" s="3180">
        <f>面积!B1071</f>
        <v>-1396</v>
      </c>
      <c r="B416" s="3181">
        <f>面积!C1071</f>
        <v>32.61</v>
      </c>
      <c r="C416" s="21">
        <f t="shared" si="74"/>
        <v>1</v>
      </c>
      <c r="D416" s="632"/>
      <c r="E416" s="21">
        <f t="shared" si="75"/>
        <v>1</v>
      </c>
      <c r="F416" s="632"/>
      <c r="G416" s="21">
        <f t="shared" si="76"/>
        <v>1</v>
      </c>
      <c r="H416" s="632"/>
      <c r="I416" s="21">
        <f t="shared" si="77"/>
        <v>1</v>
      </c>
      <c r="J416" s="632"/>
      <c r="K416" s="21">
        <f t="shared" si="78"/>
        <v>1</v>
      </c>
      <c r="L416" s="632"/>
      <c r="M416" s="21">
        <f t="shared" si="79"/>
        <v>1</v>
      </c>
      <c r="N416" s="632"/>
      <c r="O416" s="21">
        <f t="shared" si="80"/>
        <v>1</v>
      </c>
      <c r="P416" s="632"/>
      <c r="Q416" s="21">
        <f t="shared" si="81"/>
        <v>1</v>
      </c>
      <c r="R416" s="21">
        <f t="shared" si="82"/>
        <v>162430</v>
      </c>
      <c r="S416" s="306">
        <f t="shared" si="73"/>
        <v>530</v>
      </c>
    </row>
    <row r="417" spans="1:19">
      <c r="A417" s="3180">
        <f>面积!B1072</f>
        <v>-1397</v>
      </c>
      <c r="B417" s="3181">
        <f>面积!C1072</f>
        <v>32.61</v>
      </c>
      <c r="C417" s="21">
        <f t="shared" si="74"/>
        <v>1</v>
      </c>
      <c r="D417" s="632"/>
      <c r="E417" s="21">
        <f t="shared" si="75"/>
        <v>1</v>
      </c>
      <c r="F417" s="632"/>
      <c r="G417" s="21">
        <f t="shared" si="76"/>
        <v>1</v>
      </c>
      <c r="H417" s="632"/>
      <c r="I417" s="21">
        <f t="shared" si="77"/>
        <v>1</v>
      </c>
      <c r="J417" s="632"/>
      <c r="K417" s="21">
        <f t="shared" si="78"/>
        <v>1</v>
      </c>
      <c r="L417" s="632"/>
      <c r="M417" s="21">
        <f t="shared" si="79"/>
        <v>1</v>
      </c>
      <c r="N417" s="632"/>
      <c r="O417" s="21">
        <f t="shared" si="80"/>
        <v>1</v>
      </c>
      <c r="P417" s="632"/>
      <c r="Q417" s="21">
        <f t="shared" si="81"/>
        <v>1</v>
      </c>
      <c r="R417" s="21">
        <f t="shared" si="82"/>
        <v>162430</v>
      </c>
      <c r="S417" s="306">
        <f t="shared" si="73"/>
        <v>530</v>
      </c>
    </row>
    <row r="418" spans="1:19">
      <c r="A418" s="3180">
        <f>面积!B1073</f>
        <v>-1398</v>
      </c>
      <c r="B418" s="3181">
        <f>面积!C1073</f>
        <v>32.61</v>
      </c>
      <c r="C418" s="21">
        <f t="shared" si="74"/>
        <v>1</v>
      </c>
      <c r="D418" s="632"/>
      <c r="E418" s="21">
        <f t="shared" si="75"/>
        <v>1</v>
      </c>
      <c r="F418" s="632"/>
      <c r="G418" s="21">
        <f t="shared" si="76"/>
        <v>1</v>
      </c>
      <c r="H418" s="632"/>
      <c r="I418" s="21">
        <f t="shared" si="77"/>
        <v>1</v>
      </c>
      <c r="J418" s="632"/>
      <c r="K418" s="21">
        <f t="shared" si="78"/>
        <v>1</v>
      </c>
      <c r="L418" s="632"/>
      <c r="M418" s="21">
        <f t="shared" si="79"/>
        <v>1</v>
      </c>
      <c r="N418" s="632"/>
      <c r="O418" s="21">
        <f t="shared" si="80"/>
        <v>1</v>
      </c>
      <c r="P418" s="632"/>
      <c r="Q418" s="21">
        <f t="shared" si="81"/>
        <v>1</v>
      </c>
      <c r="R418" s="21">
        <f t="shared" si="82"/>
        <v>162430</v>
      </c>
      <c r="S418" s="306">
        <f t="shared" si="73"/>
        <v>530</v>
      </c>
    </row>
    <row r="419" spans="1:19">
      <c r="A419" s="3180">
        <f>面积!B1074</f>
        <v>-1399</v>
      </c>
      <c r="B419" s="3181">
        <f>面积!C1074</f>
        <v>32.61</v>
      </c>
      <c r="C419" s="21">
        <f t="shared" si="74"/>
        <v>1</v>
      </c>
      <c r="D419" s="632"/>
      <c r="E419" s="21">
        <f t="shared" si="75"/>
        <v>1</v>
      </c>
      <c r="F419" s="632"/>
      <c r="G419" s="21">
        <f t="shared" si="76"/>
        <v>1</v>
      </c>
      <c r="H419" s="632"/>
      <c r="I419" s="21">
        <f t="shared" si="77"/>
        <v>1</v>
      </c>
      <c r="J419" s="632"/>
      <c r="K419" s="21">
        <f t="shared" si="78"/>
        <v>1</v>
      </c>
      <c r="L419" s="632"/>
      <c r="M419" s="21">
        <f t="shared" si="79"/>
        <v>1</v>
      </c>
      <c r="N419" s="632"/>
      <c r="O419" s="21">
        <f t="shared" si="80"/>
        <v>1</v>
      </c>
      <c r="P419" s="632"/>
      <c r="Q419" s="21">
        <f t="shared" si="81"/>
        <v>1</v>
      </c>
      <c r="R419" s="21">
        <f t="shared" si="82"/>
        <v>162430</v>
      </c>
      <c r="S419" s="306">
        <f t="shared" si="73"/>
        <v>530</v>
      </c>
    </row>
    <row r="420" spans="1:19">
      <c r="A420" s="3180">
        <f>面积!B1075</f>
        <v>-1400</v>
      </c>
      <c r="B420" s="3181">
        <f>面积!C1075</f>
        <v>32.61</v>
      </c>
      <c r="C420" s="21">
        <f t="shared" si="74"/>
        <v>1</v>
      </c>
      <c r="D420" s="632"/>
      <c r="E420" s="21">
        <f t="shared" si="75"/>
        <v>1</v>
      </c>
      <c r="F420" s="632"/>
      <c r="G420" s="21">
        <f t="shared" si="76"/>
        <v>1</v>
      </c>
      <c r="H420" s="632"/>
      <c r="I420" s="21">
        <f t="shared" si="77"/>
        <v>1</v>
      </c>
      <c r="J420" s="632"/>
      <c r="K420" s="21">
        <f t="shared" si="78"/>
        <v>1</v>
      </c>
      <c r="L420" s="632"/>
      <c r="M420" s="21">
        <f t="shared" si="79"/>
        <v>1</v>
      </c>
      <c r="N420" s="632"/>
      <c r="O420" s="21">
        <f t="shared" si="80"/>
        <v>1</v>
      </c>
      <c r="P420" s="632"/>
      <c r="Q420" s="21">
        <f t="shared" si="81"/>
        <v>1</v>
      </c>
      <c r="R420" s="21">
        <f t="shared" si="82"/>
        <v>162430</v>
      </c>
      <c r="S420" s="306">
        <f t="shared" si="73"/>
        <v>530</v>
      </c>
    </row>
    <row r="421" spans="1:19">
      <c r="A421" s="3180">
        <f>面积!B1076</f>
        <v>-1401</v>
      </c>
      <c r="B421" s="3181">
        <f>面积!C1076</f>
        <v>32.61</v>
      </c>
      <c r="C421" s="21">
        <f t="shared" si="74"/>
        <v>1</v>
      </c>
      <c r="D421" s="632"/>
      <c r="E421" s="21">
        <f t="shared" si="75"/>
        <v>1</v>
      </c>
      <c r="F421" s="632"/>
      <c r="G421" s="21">
        <f t="shared" si="76"/>
        <v>1</v>
      </c>
      <c r="H421" s="632"/>
      <c r="I421" s="21">
        <f t="shared" si="77"/>
        <v>1</v>
      </c>
      <c r="J421" s="632"/>
      <c r="K421" s="21">
        <f t="shared" si="78"/>
        <v>1</v>
      </c>
      <c r="L421" s="632"/>
      <c r="M421" s="21">
        <f t="shared" si="79"/>
        <v>1</v>
      </c>
      <c r="N421" s="632"/>
      <c r="O421" s="21">
        <f t="shared" si="80"/>
        <v>1</v>
      </c>
      <c r="P421" s="632"/>
      <c r="Q421" s="21">
        <f t="shared" si="81"/>
        <v>1</v>
      </c>
      <c r="R421" s="21">
        <f t="shared" si="82"/>
        <v>162430</v>
      </c>
      <c r="S421" s="306">
        <f t="shared" si="73"/>
        <v>530</v>
      </c>
    </row>
    <row r="422" spans="1:19">
      <c r="A422" s="3180">
        <f>面积!B1077</f>
        <v>-1402</v>
      </c>
      <c r="B422" s="3181">
        <f>面积!C1077</f>
        <v>32.61</v>
      </c>
      <c r="C422" s="21">
        <f t="shared" si="74"/>
        <v>1</v>
      </c>
      <c r="D422" s="632"/>
      <c r="E422" s="21">
        <f t="shared" si="75"/>
        <v>1</v>
      </c>
      <c r="F422" s="632"/>
      <c r="G422" s="21">
        <f t="shared" si="76"/>
        <v>1</v>
      </c>
      <c r="H422" s="632"/>
      <c r="I422" s="21">
        <f t="shared" si="77"/>
        <v>1</v>
      </c>
      <c r="J422" s="632"/>
      <c r="K422" s="21">
        <f t="shared" si="78"/>
        <v>1</v>
      </c>
      <c r="L422" s="632"/>
      <c r="M422" s="21">
        <f t="shared" si="79"/>
        <v>1</v>
      </c>
      <c r="N422" s="632"/>
      <c r="O422" s="21">
        <f t="shared" si="80"/>
        <v>1</v>
      </c>
      <c r="P422" s="632"/>
      <c r="Q422" s="21">
        <f t="shared" si="81"/>
        <v>1</v>
      </c>
      <c r="R422" s="21">
        <f t="shared" si="82"/>
        <v>162430</v>
      </c>
      <c r="S422" s="306">
        <f t="shared" si="73"/>
        <v>530</v>
      </c>
    </row>
    <row r="423" spans="1:19">
      <c r="A423" s="3180">
        <f>面积!B1078</f>
        <v>-1403</v>
      </c>
      <c r="B423" s="3181">
        <f>面积!C1078</f>
        <v>32.61</v>
      </c>
      <c r="C423" s="21">
        <f t="shared" si="74"/>
        <v>1</v>
      </c>
      <c r="D423" s="632"/>
      <c r="E423" s="21">
        <f t="shared" si="75"/>
        <v>1</v>
      </c>
      <c r="F423" s="632"/>
      <c r="G423" s="21">
        <f t="shared" si="76"/>
        <v>1</v>
      </c>
      <c r="H423" s="632"/>
      <c r="I423" s="21">
        <f t="shared" si="77"/>
        <v>1</v>
      </c>
      <c r="J423" s="632"/>
      <c r="K423" s="21">
        <f t="shared" si="78"/>
        <v>1</v>
      </c>
      <c r="L423" s="632"/>
      <c r="M423" s="21">
        <f t="shared" si="79"/>
        <v>1</v>
      </c>
      <c r="N423" s="632"/>
      <c r="O423" s="21">
        <f t="shared" si="80"/>
        <v>1</v>
      </c>
      <c r="P423" s="632"/>
      <c r="Q423" s="21">
        <f t="shared" si="81"/>
        <v>1</v>
      </c>
      <c r="R423" s="21">
        <f t="shared" si="82"/>
        <v>162430</v>
      </c>
      <c r="S423" s="306">
        <f t="shared" ref="S423:S467" si="83">ROUND(R423*B423/10000,0)</f>
        <v>530</v>
      </c>
    </row>
    <row r="424" spans="1:19">
      <c r="A424" s="3180">
        <f>面积!B1079</f>
        <v>-1404</v>
      </c>
      <c r="B424" s="3181">
        <f>面积!C1079</f>
        <v>32.61</v>
      </c>
      <c r="C424" s="21">
        <f t="shared" si="74"/>
        <v>1</v>
      </c>
      <c r="D424" s="632"/>
      <c r="E424" s="21">
        <f t="shared" si="75"/>
        <v>1</v>
      </c>
      <c r="F424" s="632"/>
      <c r="G424" s="21">
        <f t="shared" si="76"/>
        <v>1</v>
      </c>
      <c r="H424" s="632"/>
      <c r="I424" s="21">
        <f t="shared" si="77"/>
        <v>1</v>
      </c>
      <c r="J424" s="632"/>
      <c r="K424" s="21">
        <f t="shared" si="78"/>
        <v>1</v>
      </c>
      <c r="L424" s="632"/>
      <c r="M424" s="21">
        <f t="shared" si="79"/>
        <v>1</v>
      </c>
      <c r="N424" s="632"/>
      <c r="O424" s="21">
        <f t="shared" si="80"/>
        <v>1</v>
      </c>
      <c r="P424" s="632"/>
      <c r="Q424" s="21">
        <f t="shared" si="81"/>
        <v>1</v>
      </c>
      <c r="R424" s="21">
        <f t="shared" si="82"/>
        <v>162430</v>
      </c>
      <c r="S424" s="306">
        <f t="shared" si="83"/>
        <v>530</v>
      </c>
    </row>
    <row r="425" spans="1:19">
      <c r="A425" s="3180">
        <f>面积!B1080</f>
        <v>-1405</v>
      </c>
      <c r="B425" s="3181">
        <f>面积!C1080</f>
        <v>32.61</v>
      </c>
      <c r="C425" s="21">
        <f t="shared" si="74"/>
        <v>1</v>
      </c>
      <c r="D425" s="632"/>
      <c r="E425" s="21">
        <f t="shared" si="75"/>
        <v>1</v>
      </c>
      <c r="F425" s="632"/>
      <c r="G425" s="21">
        <f t="shared" si="76"/>
        <v>1</v>
      </c>
      <c r="H425" s="632"/>
      <c r="I425" s="21">
        <f t="shared" si="77"/>
        <v>1</v>
      </c>
      <c r="J425" s="632"/>
      <c r="K425" s="21">
        <f t="shared" si="78"/>
        <v>1</v>
      </c>
      <c r="L425" s="632"/>
      <c r="M425" s="21">
        <f t="shared" si="79"/>
        <v>1</v>
      </c>
      <c r="N425" s="632"/>
      <c r="O425" s="21">
        <f t="shared" si="80"/>
        <v>1</v>
      </c>
      <c r="P425" s="632"/>
      <c r="Q425" s="21">
        <f t="shared" si="81"/>
        <v>1</v>
      </c>
      <c r="R425" s="21">
        <f t="shared" si="82"/>
        <v>162430</v>
      </c>
      <c r="S425" s="306">
        <f t="shared" si="83"/>
        <v>530</v>
      </c>
    </row>
    <row r="426" spans="1:19">
      <c r="A426" s="3180">
        <f>面积!B1081</f>
        <v>-1406</v>
      </c>
      <c r="B426" s="3181">
        <f>面积!C1081</f>
        <v>32.61</v>
      </c>
      <c r="C426" s="21">
        <f t="shared" si="74"/>
        <v>1</v>
      </c>
      <c r="D426" s="632"/>
      <c r="E426" s="21">
        <f t="shared" si="75"/>
        <v>1</v>
      </c>
      <c r="F426" s="632"/>
      <c r="G426" s="21">
        <f t="shared" si="76"/>
        <v>1</v>
      </c>
      <c r="H426" s="632"/>
      <c r="I426" s="21">
        <f t="shared" si="77"/>
        <v>1</v>
      </c>
      <c r="J426" s="632"/>
      <c r="K426" s="21">
        <f t="shared" si="78"/>
        <v>1</v>
      </c>
      <c r="L426" s="632"/>
      <c r="M426" s="21">
        <f t="shared" si="79"/>
        <v>1</v>
      </c>
      <c r="N426" s="632"/>
      <c r="O426" s="21">
        <f t="shared" si="80"/>
        <v>1</v>
      </c>
      <c r="P426" s="632"/>
      <c r="Q426" s="21">
        <f t="shared" si="81"/>
        <v>1</v>
      </c>
      <c r="R426" s="21">
        <f t="shared" si="82"/>
        <v>162430</v>
      </c>
      <c r="S426" s="306">
        <f t="shared" si="83"/>
        <v>530</v>
      </c>
    </row>
    <row r="427" spans="1:19">
      <c r="A427" s="3180">
        <f>面积!B1082</f>
        <v>-1407</v>
      </c>
      <c r="B427" s="3181">
        <f>面积!C1082</f>
        <v>32.61</v>
      </c>
      <c r="C427" s="21">
        <f t="shared" si="74"/>
        <v>1</v>
      </c>
      <c r="D427" s="632"/>
      <c r="E427" s="21">
        <f t="shared" si="75"/>
        <v>1</v>
      </c>
      <c r="F427" s="632"/>
      <c r="G427" s="21">
        <f t="shared" si="76"/>
        <v>1</v>
      </c>
      <c r="H427" s="632"/>
      <c r="I427" s="21">
        <f t="shared" si="77"/>
        <v>1</v>
      </c>
      <c r="J427" s="632"/>
      <c r="K427" s="21">
        <f t="shared" si="78"/>
        <v>1</v>
      </c>
      <c r="L427" s="632"/>
      <c r="M427" s="21">
        <f t="shared" si="79"/>
        <v>1</v>
      </c>
      <c r="N427" s="632"/>
      <c r="O427" s="21">
        <f t="shared" si="80"/>
        <v>1</v>
      </c>
      <c r="P427" s="632"/>
      <c r="Q427" s="21">
        <f t="shared" si="81"/>
        <v>1</v>
      </c>
      <c r="R427" s="21">
        <f t="shared" si="82"/>
        <v>162430</v>
      </c>
      <c r="S427" s="306">
        <f t="shared" si="83"/>
        <v>530</v>
      </c>
    </row>
    <row r="428" spans="1:19">
      <c r="A428" s="3180">
        <f>面积!B1083</f>
        <v>-1408</v>
      </c>
      <c r="B428" s="3181">
        <f>面积!C1083</f>
        <v>32.61</v>
      </c>
      <c r="C428" s="21">
        <f t="shared" si="74"/>
        <v>1</v>
      </c>
      <c r="D428" s="632"/>
      <c r="E428" s="21">
        <f t="shared" si="75"/>
        <v>1</v>
      </c>
      <c r="F428" s="632"/>
      <c r="G428" s="21">
        <f t="shared" si="76"/>
        <v>1</v>
      </c>
      <c r="H428" s="632"/>
      <c r="I428" s="21">
        <f t="shared" si="77"/>
        <v>1</v>
      </c>
      <c r="J428" s="632"/>
      <c r="K428" s="21">
        <f t="shared" si="78"/>
        <v>1</v>
      </c>
      <c r="L428" s="632"/>
      <c r="M428" s="21">
        <f t="shared" si="79"/>
        <v>1</v>
      </c>
      <c r="N428" s="632"/>
      <c r="O428" s="21">
        <f t="shared" si="80"/>
        <v>1</v>
      </c>
      <c r="P428" s="632"/>
      <c r="Q428" s="21">
        <f t="shared" si="81"/>
        <v>1</v>
      </c>
      <c r="R428" s="21">
        <f t="shared" si="82"/>
        <v>162430</v>
      </c>
      <c r="S428" s="306">
        <f t="shared" si="83"/>
        <v>530</v>
      </c>
    </row>
    <row r="429" spans="1:19">
      <c r="A429" s="3180">
        <f>面积!B1084</f>
        <v>-1409</v>
      </c>
      <c r="B429" s="3181">
        <f>面积!C1084</f>
        <v>32.61</v>
      </c>
      <c r="C429" s="21">
        <f t="shared" si="74"/>
        <v>1</v>
      </c>
      <c r="D429" s="632"/>
      <c r="E429" s="21">
        <f t="shared" si="75"/>
        <v>1</v>
      </c>
      <c r="F429" s="632"/>
      <c r="G429" s="21">
        <f t="shared" si="76"/>
        <v>1</v>
      </c>
      <c r="H429" s="632"/>
      <c r="I429" s="21">
        <f t="shared" si="77"/>
        <v>1</v>
      </c>
      <c r="J429" s="632"/>
      <c r="K429" s="21">
        <f t="shared" si="78"/>
        <v>1</v>
      </c>
      <c r="L429" s="632"/>
      <c r="M429" s="21">
        <f t="shared" si="79"/>
        <v>1</v>
      </c>
      <c r="N429" s="632"/>
      <c r="O429" s="21">
        <f t="shared" si="80"/>
        <v>1</v>
      </c>
      <c r="P429" s="632"/>
      <c r="Q429" s="21">
        <f t="shared" si="81"/>
        <v>1</v>
      </c>
      <c r="R429" s="21">
        <f t="shared" si="82"/>
        <v>162430</v>
      </c>
      <c r="S429" s="306">
        <f t="shared" si="83"/>
        <v>530</v>
      </c>
    </row>
    <row r="430" spans="1:19">
      <c r="A430" s="3180">
        <f>面积!B1085</f>
        <v>-1410</v>
      </c>
      <c r="B430" s="3181">
        <f>面积!C1085</f>
        <v>32.61</v>
      </c>
      <c r="C430" s="21">
        <f t="shared" si="74"/>
        <v>1</v>
      </c>
      <c r="D430" s="632"/>
      <c r="E430" s="21">
        <f t="shared" si="75"/>
        <v>1</v>
      </c>
      <c r="F430" s="632"/>
      <c r="G430" s="21">
        <f t="shared" si="76"/>
        <v>1</v>
      </c>
      <c r="H430" s="632"/>
      <c r="I430" s="21">
        <f t="shared" si="77"/>
        <v>1</v>
      </c>
      <c r="J430" s="632"/>
      <c r="K430" s="21">
        <f t="shared" si="78"/>
        <v>1</v>
      </c>
      <c r="L430" s="632"/>
      <c r="M430" s="21">
        <f t="shared" si="79"/>
        <v>1</v>
      </c>
      <c r="N430" s="632"/>
      <c r="O430" s="21">
        <f t="shared" si="80"/>
        <v>1</v>
      </c>
      <c r="P430" s="632"/>
      <c r="Q430" s="21">
        <f t="shared" si="81"/>
        <v>1</v>
      </c>
      <c r="R430" s="21">
        <f t="shared" si="82"/>
        <v>162430</v>
      </c>
      <c r="S430" s="306">
        <f t="shared" si="83"/>
        <v>530</v>
      </c>
    </row>
    <row r="431" spans="1:19">
      <c r="A431" s="3180">
        <f>面积!B1086</f>
        <v>-1411</v>
      </c>
      <c r="B431" s="3181">
        <f>面积!C1086</f>
        <v>32.61</v>
      </c>
      <c r="C431" s="21">
        <f t="shared" si="74"/>
        <v>1</v>
      </c>
      <c r="D431" s="632"/>
      <c r="E431" s="21">
        <f t="shared" si="75"/>
        <v>1</v>
      </c>
      <c r="F431" s="632"/>
      <c r="G431" s="21">
        <f t="shared" si="76"/>
        <v>1</v>
      </c>
      <c r="H431" s="632"/>
      <c r="I431" s="21">
        <f t="shared" si="77"/>
        <v>1</v>
      </c>
      <c r="J431" s="632"/>
      <c r="K431" s="21">
        <f t="shared" si="78"/>
        <v>1</v>
      </c>
      <c r="L431" s="632"/>
      <c r="M431" s="21">
        <f t="shared" si="79"/>
        <v>1</v>
      </c>
      <c r="N431" s="632"/>
      <c r="O431" s="21">
        <f t="shared" si="80"/>
        <v>1</v>
      </c>
      <c r="P431" s="632"/>
      <c r="Q431" s="21">
        <f t="shared" si="81"/>
        <v>1</v>
      </c>
      <c r="R431" s="21">
        <f t="shared" si="82"/>
        <v>162430</v>
      </c>
      <c r="S431" s="306">
        <f t="shared" si="83"/>
        <v>530</v>
      </c>
    </row>
    <row r="432" spans="1:19">
      <c r="A432" s="3180">
        <f>面积!B1087</f>
        <v>-1412</v>
      </c>
      <c r="B432" s="3181">
        <f>面积!C1087</f>
        <v>32.61</v>
      </c>
      <c r="C432" s="21">
        <f t="shared" si="74"/>
        <v>1</v>
      </c>
      <c r="D432" s="632"/>
      <c r="E432" s="21">
        <f t="shared" si="75"/>
        <v>1</v>
      </c>
      <c r="F432" s="632"/>
      <c r="G432" s="21">
        <f t="shared" si="76"/>
        <v>1</v>
      </c>
      <c r="H432" s="632"/>
      <c r="I432" s="21">
        <f t="shared" si="77"/>
        <v>1</v>
      </c>
      <c r="J432" s="632"/>
      <c r="K432" s="21">
        <f t="shared" si="78"/>
        <v>1</v>
      </c>
      <c r="L432" s="632"/>
      <c r="M432" s="21">
        <f t="shared" si="79"/>
        <v>1</v>
      </c>
      <c r="N432" s="632"/>
      <c r="O432" s="21">
        <f t="shared" si="80"/>
        <v>1</v>
      </c>
      <c r="P432" s="632"/>
      <c r="Q432" s="21">
        <f t="shared" si="81"/>
        <v>1</v>
      </c>
      <c r="R432" s="21">
        <f t="shared" si="82"/>
        <v>162430</v>
      </c>
      <c r="S432" s="306">
        <f t="shared" si="83"/>
        <v>530</v>
      </c>
    </row>
    <row r="433" spans="1:19">
      <c r="A433" s="3180">
        <f>面积!B1088</f>
        <v>-1413</v>
      </c>
      <c r="B433" s="3181">
        <f>面积!C1088</f>
        <v>32.61</v>
      </c>
      <c r="C433" s="21">
        <f t="shared" si="74"/>
        <v>1</v>
      </c>
      <c r="D433" s="632"/>
      <c r="E433" s="21">
        <f t="shared" si="75"/>
        <v>1</v>
      </c>
      <c r="F433" s="632"/>
      <c r="G433" s="21">
        <f t="shared" si="76"/>
        <v>1</v>
      </c>
      <c r="H433" s="632"/>
      <c r="I433" s="21">
        <f t="shared" si="77"/>
        <v>1</v>
      </c>
      <c r="J433" s="632"/>
      <c r="K433" s="21">
        <f t="shared" si="78"/>
        <v>1</v>
      </c>
      <c r="L433" s="632"/>
      <c r="M433" s="21">
        <f t="shared" si="79"/>
        <v>1</v>
      </c>
      <c r="N433" s="632"/>
      <c r="O433" s="21">
        <f t="shared" si="80"/>
        <v>1</v>
      </c>
      <c r="P433" s="632"/>
      <c r="Q433" s="21">
        <f t="shared" si="81"/>
        <v>1</v>
      </c>
      <c r="R433" s="21">
        <f t="shared" si="82"/>
        <v>162430</v>
      </c>
      <c r="S433" s="306">
        <f t="shared" si="83"/>
        <v>530</v>
      </c>
    </row>
    <row r="434" spans="1:19">
      <c r="A434" s="3180">
        <f>面积!B1089</f>
        <v>-1414</v>
      </c>
      <c r="B434" s="3181">
        <f>面积!C1089</f>
        <v>32.61</v>
      </c>
      <c r="C434" s="21">
        <f t="shared" si="74"/>
        <v>1</v>
      </c>
      <c r="D434" s="632"/>
      <c r="E434" s="21">
        <f t="shared" si="75"/>
        <v>1</v>
      </c>
      <c r="F434" s="632"/>
      <c r="G434" s="21">
        <f t="shared" si="76"/>
        <v>1</v>
      </c>
      <c r="H434" s="632"/>
      <c r="I434" s="21">
        <f t="shared" si="77"/>
        <v>1</v>
      </c>
      <c r="J434" s="632"/>
      <c r="K434" s="21">
        <f t="shared" si="78"/>
        <v>1</v>
      </c>
      <c r="L434" s="632"/>
      <c r="M434" s="21">
        <f t="shared" si="79"/>
        <v>1</v>
      </c>
      <c r="N434" s="632"/>
      <c r="O434" s="21">
        <f t="shared" si="80"/>
        <v>1</v>
      </c>
      <c r="P434" s="632"/>
      <c r="Q434" s="21">
        <f t="shared" si="81"/>
        <v>1</v>
      </c>
      <c r="R434" s="21">
        <f t="shared" si="82"/>
        <v>162430</v>
      </c>
      <c r="S434" s="306">
        <f t="shared" si="83"/>
        <v>530</v>
      </c>
    </row>
    <row r="435" spans="1:19">
      <c r="A435" s="3180">
        <f>面积!B1090</f>
        <v>-1415</v>
      </c>
      <c r="B435" s="3181">
        <f>面积!C1090</f>
        <v>32.61</v>
      </c>
      <c r="C435" s="21">
        <f t="shared" si="74"/>
        <v>1</v>
      </c>
      <c r="D435" s="632"/>
      <c r="E435" s="21">
        <f t="shared" si="75"/>
        <v>1</v>
      </c>
      <c r="F435" s="632"/>
      <c r="G435" s="21">
        <f t="shared" si="76"/>
        <v>1</v>
      </c>
      <c r="H435" s="632"/>
      <c r="I435" s="21">
        <f t="shared" si="77"/>
        <v>1</v>
      </c>
      <c r="J435" s="632"/>
      <c r="K435" s="21">
        <f t="shared" si="78"/>
        <v>1</v>
      </c>
      <c r="L435" s="632"/>
      <c r="M435" s="21">
        <f t="shared" si="79"/>
        <v>1</v>
      </c>
      <c r="N435" s="632"/>
      <c r="O435" s="21">
        <f t="shared" si="80"/>
        <v>1</v>
      </c>
      <c r="P435" s="632"/>
      <c r="Q435" s="21">
        <f t="shared" si="81"/>
        <v>1</v>
      </c>
      <c r="R435" s="21">
        <f t="shared" si="82"/>
        <v>162430</v>
      </c>
      <c r="S435" s="306">
        <f t="shared" si="83"/>
        <v>530</v>
      </c>
    </row>
    <row r="436" spans="1:19">
      <c r="A436" s="3180">
        <f>面积!B1091</f>
        <v>-1416</v>
      </c>
      <c r="B436" s="3181">
        <f>面积!C1091</f>
        <v>32.61</v>
      </c>
      <c r="C436" s="21">
        <f t="shared" si="74"/>
        <v>1</v>
      </c>
      <c r="D436" s="632"/>
      <c r="E436" s="21">
        <f t="shared" si="75"/>
        <v>1</v>
      </c>
      <c r="F436" s="632"/>
      <c r="G436" s="21">
        <f t="shared" si="76"/>
        <v>1</v>
      </c>
      <c r="H436" s="632"/>
      <c r="I436" s="21">
        <f t="shared" si="77"/>
        <v>1</v>
      </c>
      <c r="J436" s="632"/>
      <c r="K436" s="21">
        <f t="shared" si="78"/>
        <v>1</v>
      </c>
      <c r="L436" s="632"/>
      <c r="M436" s="21">
        <f t="shared" si="79"/>
        <v>1</v>
      </c>
      <c r="N436" s="632"/>
      <c r="O436" s="21">
        <f t="shared" si="80"/>
        <v>1</v>
      </c>
      <c r="P436" s="632"/>
      <c r="Q436" s="21">
        <f t="shared" si="81"/>
        <v>1</v>
      </c>
      <c r="R436" s="21">
        <f t="shared" si="82"/>
        <v>162430</v>
      </c>
      <c r="S436" s="306">
        <f t="shared" si="83"/>
        <v>530</v>
      </c>
    </row>
    <row r="437" spans="1:19">
      <c r="A437" s="3180">
        <f>面积!B1092</f>
        <v>-1417</v>
      </c>
      <c r="B437" s="3181">
        <f>面积!C1092</f>
        <v>32.61</v>
      </c>
      <c r="C437" s="21">
        <f t="shared" si="74"/>
        <v>1</v>
      </c>
      <c r="D437" s="632"/>
      <c r="E437" s="21">
        <f t="shared" si="75"/>
        <v>1</v>
      </c>
      <c r="F437" s="632"/>
      <c r="G437" s="21">
        <f t="shared" si="76"/>
        <v>1</v>
      </c>
      <c r="H437" s="632"/>
      <c r="I437" s="21">
        <f t="shared" si="77"/>
        <v>1</v>
      </c>
      <c r="J437" s="632"/>
      <c r="K437" s="21">
        <f t="shared" si="78"/>
        <v>1</v>
      </c>
      <c r="L437" s="632"/>
      <c r="M437" s="21">
        <f t="shared" si="79"/>
        <v>1</v>
      </c>
      <c r="N437" s="632"/>
      <c r="O437" s="21">
        <f t="shared" si="80"/>
        <v>1</v>
      </c>
      <c r="P437" s="632"/>
      <c r="Q437" s="21">
        <f t="shared" si="81"/>
        <v>1</v>
      </c>
      <c r="R437" s="21">
        <f t="shared" si="82"/>
        <v>162430</v>
      </c>
      <c r="S437" s="306">
        <f t="shared" si="83"/>
        <v>530</v>
      </c>
    </row>
    <row r="438" spans="1:19">
      <c r="A438" s="3180">
        <f>面积!B1093</f>
        <v>-1418</v>
      </c>
      <c r="B438" s="3181">
        <f>面积!C1093</f>
        <v>32.61</v>
      </c>
      <c r="C438" s="21">
        <f t="shared" si="74"/>
        <v>1</v>
      </c>
      <c r="D438" s="632"/>
      <c r="E438" s="21">
        <f t="shared" si="75"/>
        <v>1</v>
      </c>
      <c r="F438" s="632"/>
      <c r="G438" s="21">
        <f t="shared" si="76"/>
        <v>1</v>
      </c>
      <c r="H438" s="632"/>
      <c r="I438" s="21">
        <f t="shared" si="77"/>
        <v>1</v>
      </c>
      <c r="J438" s="632"/>
      <c r="K438" s="21">
        <f t="shared" si="78"/>
        <v>1</v>
      </c>
      <c r="L438" s="632"/>
      <c r="M438" s="21">
        <f t="shared" si="79"/>
        <v>1</v>
      </c>
      <c r="N438" s="632"/>
      <c r="O438" s="21">
        <f t="shared" si="80"/>
        <v>1</v>
      </c>
      <c r="P438" s="632"/>
      <c r="Q438" s="21">
        <f t="shared" si="81"/>
        <v>1</v>
      </c>
      <c r="R438" s="21">
        <f t="shared" si="82"/>
        <v>162430</v>
      </c>
      <c r="S438" s="306">
        <f t="shared" si="83"/>
        <v>530</v>
      </c>
    </row>
    <row r="439" spans="1:19">
      <c r="A439" s="3180">
        <f>面积!B1094</f>
        <v>-1419</v>
      </c>
      <c r="B439" s="3181">
        <f>面积!C1094</f>
        <v>32.61</v>
      </c>
      <c r="C439" s="21">
        <f t="shared" si="74"/>
        <v>1</v>
      </c>
      <c r="D439" s="632"/>
      <c r="E439" s="21">
        <f t="shared" si="75"/>
        <v>1</v>
      </c>
      <c r="F439" s="632"/>
      <c r="G439" s="21">
        <f t="shared" si="76"/>
        <v>1</v>
      </c>
      <c r="H439" s="632"/>
      <c r="I439" s="21">
        <f t="shared" si="77"/>
        <v>1</v>
      </c>
      <c r="J439" s="632"/>
      <c r="K439" s="21">
        <f t="shared" si="78"/>
        <v>1</v>
      </c>
      <c r="L439" s="632"/>
      <c r="M439" s="21">
        <f t="shared" si="79"/>
        <v>1</v>
      </c>
      <c r="N439" s="632"/>
      <c r="O439" s="21">
        <f t="shared" si="80"/>
        <v>1</v>
      </c>
      <c r="P439" s="632"/>
      <c r="Q439" s="21">
        <f t="shared" si="81"/>
        <v>1</v>
      </c>
      <c r="R439" s="21">
        <f t="shared" si="82"/>
        <v>162430</v>
      </c>
      <c r="S439" s="306">
        <f t="shared" si="83"/>
        <v>530</v>
      </c>
    </row>
    <row r="440" spans="1:19">
      <c r="A440" s="3180">
        <f>面积!B1095</f>
        <v>-1420</v>
      </c>
      <c r="B440" s="3181">
        <f>面积!C1095</f>
        <v>32.61</v>
      </c>
      <c r="C440" s="21">
        <f t="shared" si="74"/>
        <v>1</v>
      </c>
      <c r="D440" s="632"/>
      <c r="E440" s="21">
        <f t="shared" si="75"/>
        <v>1</v>
      </c>
      <c r="F440" s="632"/>
      <c r="G440" s="21">
        <f t="shared" si="76"/>
        <v>1</v>
      </c>
      <c r="H440" s="632"/>
      <c r="I440" s="21">
        <f t="shared" si="77"/>
        <v>1</v>
      </c>
      <c r="J440" s="632"/>
      <c r="K440" s="21">
        <f t="shared" si="78"/>
        <v>1</v>
      </c>
      <c r="L440" s="632"/>
      <c r="M440" s="21">
        <f t="shared" si="79"/>
        <v>1</v>
      </c>
      <c r="N440" s="632"/>
      <c r="O440" s="21">
        <f t="shared" si="80"/>
        <v>1</v>
      </c>
      <c r="P440" s="632"/>
      <c r="Q440" s="21">
        <f t="shared" si="81"/>
        <v>1</v>
      </c>
      <c r="R440" s="21">
        <f t="shared" si="82"/>
        <v>162430</v>
      </c>
      <c r="S440" s="306">
        <f t="shared" si="83"/>
        <v>530</v>
      </c>
    </row>
    <row r="441" spans="1:19">
      <c r="A441" s="3180">
        <f>面积!B1096</f>
        <v>-1421</v>
      </c>
      <c r="B441" s="3181">
        <f>面积!C1096</f>
        <v>32.61</v>
      </c>
      <c r="C441" s="21">
        <f t="shared" si="74"/>
        <v>1</v>
      </c>
      <c r="D441" s="632"/>
      <c r="E441" s="21">
        <f t="shared" si="75"/>
        <v>1</v>
      </c>
      <c r="F441" s="632"/>
      <c r="G441" s="21">
        <f t="shared" si="76"/>
        <v>1</v>
      </c>
      <c r="H441" s="632"/>
      <c r="I441" s="21">
        <f t="shared" si="77"/>
        <v>1</v>
      </c>
      <c r="J441" s="632"/>
      <c r="K441" s="21">
        <f t="shared" si="78"/>
        <v>1</v>
      </c>
      <c r="L441" s="632"/>
      <c r="M441" s="21">
        <f t="shared" si="79"/>
        <v>1</v>
      </c>
      <c r="N441" s="632"/>
      <c r="O441" s="21">
        <f t="shared" si="80"/>
        <v>1</v>
      </c>
      <c r="P441" s="632"/>
      <c r="Q441" s="21">
        <f t="shared" si="81"/>
        <v>1</v>
      </c>
      <c r="R441" s="21">
        <f t="shared" si="82"/>
        <v>162430</v>
      </c>
      <c r="S441" s="306">
        <f t="shared" si="83"/>
        <v>530</v>
      </c>
    </row>
    <row r="442" spans="1:19">
      <c r="A442" s="3180">
        <f>面积!B1097</f>
        <v>-1422</v>
      </c>
      <c r="B442" s="3181">
        <f>面积!C1097</f>
        <v>32.61</v>
      </c>
      <c r="C442" s="21">
        <f t="shared" si="74"/>
        <v>1</v>
      </c>
      <c r="D442" s="632"/>
      <c r="E442" s="21">
        <f t="shared" si="75"/>
        <v>1</v>
      </c>
      <c r="F442" s="632"/>
      <c r="G442" s="21">
        <f t="shared" si="76"/>
        <v>1</v>
      </c>
      <c r="H442" s="632"/>
      <c r="I442" s="21">
        <f t="shared" si="77"/>
        <v>1</v>
      </c>
      <c r="J442" s="632"/>
      <c r="K442" s="21">
        <f t="shared" si="78"/>
        <v>1</v>
      </c>
      <c r="L442" s="632"/>
      <c r="M442" s="21">
        <f t="shared" si="79"/>
        <v>1</v>
      </c>
      <c r="N442" s="632"/>
      <c r="O442" s="21">
        <f t="shared" si="80"/>
        <v>1</v>
      </c>
      <c r="P442" s="632"/>
      <c r="Q442" s="21">
        <f t="shared" si="81"/>
        <v>1</v>
      </c>
      <c r="R442" s="21">
        <f t="shared" si="82"/>
        <v>162430</v>
      </c>
      <c r="S442" s="306">
        <f t="shared" si="83"/>
        <v>530</v>
      </c>
    </row>
    <row r="443" spans="1:19">
      <c r="A443" s="3180">
        <f>面积!B1098</f>
        <v>-1423</v>
      </c>
      <c r="B443" s="3181">
        <f>面积!C1098</f>
        <v>32.61</v>
      </c>
      <c r="C443" s="21">
        <f t="shared" si="74"/>
        <v>1</v>
      </c>
      <c r="D443" s="632"/>
      <c r="E443" s="21">
        <f t="shared" si="75"/>
        <v>1</v>
      </c>
      <c r="F443" s="632"/>
      <c r="G443" s="21">
        <f t="shared" si="76"/>
        <v>1</v>
      </c>
      <c r="H443" s="632"/>
      <c r="I443" s="21">
        <f t="shared" si="77"/>
        <v>1</v>
      </c>
      <c r="J443" s="632"/>
      <c r="K443" s="21">
        <f t="shared" si="78"/>
        <v>1</v>
      </c>
      <c r="L443" s="632"/>
      <c r="M443" s="21">
        <f t="shared" si="79"/>
        <v>1</v>
      </c>
      <c r="N443" s="632"/>
      <c r="O443" s="21">
        <f t="shared" si="80"/>
        <v>1</v>
      </c>
      <c r="P443" s="632"/>
      <c r="Q443" s="21">
        <f t="shared" si="81"/>
        <v>1</v>
      </c>
      <c r="R443" s="21">
        <f t="shared" si="82"/>
        <v>162430</v>
      </c>
      <c r="S443" s="306">
        <f t="shared" si="83"/>
        <v>530</v>
      </c>
    </row>
    <row r="444" spans="1:19">
      <c r="A444" s="3180">
        <f>面积!B1099</f>
        <v>-1424</v>
      </c>
      <c r="B444" s="3181">
        <f>面积!C1099</f>
        <v>32.61</v>
      </c>
      <c r="C444" s="21">
        <f t="shared" si="74"/>
        <v>1</v>
      </c>
      <c r="D444" s="632"/>
      <c r="E444" s="21">
        <f t="shared" si="75"/>
        <v>1</v>
      </c>
      <c r="F444" s="632"/>
      <c r="G444" s="21">
        <f t="shared" si="76"/>
        <v>1</v>
      </c>
      <c r="H444" s="632"/>
      <c r="I444" s="21">
        <f t="shared" si="77"/>
        <v>1</v>
      </c>
      <c r="J444" s="632"/>
      <c r="K444" s="21">
        <f t="shared" si="78"/>
        <v>1</v>
      </c>
      <c r="L444" s="632"/>
      <c r="M444" s="21">
        <f t="shared" si="79"/>
        <v>1</v>
      </c>
      <c r="N444" s="632"/>
      <c r="O444" s="21">
        <f t="shared" si="80"/>
        <v>1</v>
      </c>
      <c r="P444" s="632"/>
      <c r="Q444" s="21">
        <f t="shared" si="81"/>
        <v>1</v>
      </c>
      <c r="R444" s="21">
        <f t="shared" si="82"/>
        <v>162430</v>
      </c>
      <c r="S444" s="306">
        <f t="shared" si="83"/>
        <v>530</v>
      </c>
    </row>
    <row r="445" spans="1:19">
      <c r="A445" s="3180">
        <f>面积!B1100</f>
        <v>-1425</v>
      </c>
      <c r="B445" s="3181">
        <f>面积!C1100</f>
        <v>32.61</v>
      </c>
      <c r="C445" s="21">
        <f t="shared" si="74"/>
        <v>1</v>
      </c>
      <c r="D445" s="632"/>
      <c r="E445" s="21">
        <f t="shared" si="75"/>
        <v>1</v>
      </c>
      <c r="F445" s="632"/>
      <c r="G445" s="21">
        <f t="shared" si="76"/>
        <v>1</v>
      </c>
      <c r="H445" s="632"/>
      <c r="I445" s="21">
        <f t="shared" si="77"/>
        <v>1</v>
      </c>
      <c r="J445" s="632"/>
      <c r="K445" s="21">
        <f t="shared" si="78"/>
        <v>1</v>
      </c>
      <c r="L445" s="632"/>
      <c r="M445" s="21">
        <f t="shared" si="79"/>
        <v>1</v>
      </c>
      <c r="N445" s="632"/>
      <c r="O445" s="21">
        <f t="shared" si="80"/>
        <v>1</v>
      </c>
      <c r="P445" s="632"/>
      <c r="Q445" s="21">
        <f t="shared" si="81"/>
        <v>1</v>
      </c>
      <c r="R445" s="21">
        <f t="shared" si="82"/>
        <v>162430</v>
      </c>
      <c r="S445" s="306">
        <f t="shared" si="83"/>
        <v>530</v>
      </c>
    </row>
    <row r="446" spans="1:19">
      <c r="A446" s="3180">
        <f>面积!B1101</f>
        <v>-1426</v>
      </c>
      <c r="B446" s="3181">
        <f>面积!C1101</f>
        <v>32.61</v>
      </c>
      <c r="C446" s="21">
        <f t="shared" si="74"/>
        <v>1</v>
      </c>
      <c r="D446" s="632"/>
      <c r="E446" s="21">
        <f t="shared" si="75"/>
        <v>1</v>
      </c>
      <c r="F446" s="632"/>
      <c r="G446" s="21">
        <f t="shared" si="76"/>
        <v>1</v>
      </c>
      <c r="H446" s="632"/>
      <c r="I446" s="21">
        <f t="shared" si="77"/>
        <v>1</v>
      </c>
      <c r="J446" s="632"/>
      <c r="K446" s="21">
        <f t="shared" si="78"/>
        <v>1</v>
      </c>
      <c r="L446" s="632"/>
      <c r="M446" s="21">
        <f t="shared" si="79"/>
        <v>1</v>
      </c>
      <c r="N446" s="632"/>
      <c r="O446" s="21">
        <f t="shared" si="80"/>
        <v>1</v>
      </c>
      <c r="P446" s="632"/>
      <c r="Q446" s="21">
        <f t="shared" si="81"/>
        <v>1</v>
      </c>
      <c r="R446" s="21">
        <f t="shared" si="82"/>
        <v>162430</v>
      </c>
      <c r="S446" s="306">
        <f t="shared" si="83"/>
        <v>530</v>
      </c>
    </row>
    <row r="447" spans="1:19">
      <c r="A447" s="3180">
        <f>面积!B1102</f>
        <v>-1427</v>
      </c>
      <c r="B447" s="3181">
        <f>面积!C1102</f>
        <v>32.61</v>
      </c>
      <c r="C447" s="21">
        <f t="shared" si="74"/>
        <v>1</v>
      </c>
      <c r="D447" s="632"/>
      <c r="E447" s="21">
        <f t="shared" si="75"/>
        <v>1</v>
      </c>
      <c r="F447" s="632"/>
      <c r="G447" s="21">
        <f t="shared" si="76"/>
        <v>1</v>
      </c>
      <c r="H447" s="632"/>
      <c r="I447" s="21">
        <f t="shared" si="77"/>
        <v>1</v>
      </c>
      <c r="J447" s="632"/>
      <c r="K447" s="21">
        <f t="shared" si="78"/>
        <v>1</v>
      </c>
      <c r="L447" s="632"/>
      <c r="M447" s="21">
        <f t="shared" si="79"/>
        <v>1</v>
      </c>
      <c r="N447" s="632"/>
      <c r="O447" s="21">
        <f t="shared" si="80"/>
        <v>1</v>
      </c>
      <c r="P447" s="632"/>
      <c r="Q447" s="21">
        <f t="shared" si="81"/>
        <v>1</v>
      </c>
      <c r="R447" s="21">
        <f t="shared" si="82"/>
        <v>162430</v>
      </c>
      <c r="S447" s="306">
        <f t="shared" si="83"/>
        <v>530</v>
      </c>
    </row>
    <row r="448" spans="1:19">
      <c r="A448" s="3180">
        <f>面积!B1103</f>
        <v>-1428</v>
      </c>
      <c r="B448" s="3181">
        <f>面积!C1103</f>
        <v>32.61</v>
      </c>
      <c r="C448" s="21">
        <f t="shared" si="74"/>
        <v>1</v>
      </c>
      <c r="D448" s="632"/>
      <c r="E448" s="21">
        <f t="shared" si="75"/>
        <v>1</v>
      </c>
      <c r="F448" s="632"/>
      <c r="G448" s="21">
        <f t="shared" si="76"/>
        <v>1</v>
      </c>
      <c r="H448" s="632"/>
      <c r="I448" s="21">
        <f t="shared" si="77"/>
        <v>1</v>
      </c>
      <c r="J448" s="632"/>
      <c r="K448" s="21">
        <f t="shared" si="78"/>
        <v>1</v>
      </c>
      <c r="L448" s="632"/>
      <c r="M448" s="21">
        <f t="shared" si="79"/>
        <v>1</v>
      </c>
      <c r="N448" s="632"/>
      <c r="O448" s="21">
        <f t="shared" si="80"/>
        <v>1</v>
      </c>
      <c r="P448" s="632"/>
      <c r="Q448" s="21">
        <f t="shared" si="81"/>
        <v>1</v>
      </c>
      <c r="R448" s="21">
        <f t="shared" si="82"/>
        <v>162430</v>
      </c>
      <c r="S448" s="306">
        <f t="shared" si="83"/>
        <v>530</v>
      </c>
    </row>
    <row r="449" spans="1:19">
      <c r="A449" s="3180">
        <f>面积!B1104</f>
        <v>-1429</v>
      </c>
      <c r="B449" s="3181">
        <f>面积!C1104</f>
        <v>32.61</v>
      </c>
      <c r="C449" s="21">
        <f t="shared" si="74"/>
        <v>1</v>
      </c>
      <c r="D449" s="632"/>
      <c r="E449" s="21">
        <f t="shared" si="75"/>
        <v>1</v>
      </c>
      <c r="F449" s="632"/>
      <c r="G449" s="21">
        <f t="shared" si="76"/>
        <v>1</v>
      </c>
      <c r="H449" s="632"/>
      <c r="I449" s="21">
        <f t="shared" si="77"/>
        <v>1</v>
      </c>
      <c r="J449" s="632"/>
      <c r="K449" s="21">
        <f t="shared" si="78"/>
        <v>1</v>
      </c>
      <c r="L449" s="632"/>
      <c r="M449" s="21">
        <f t="shared" si="79"/>
        <v>1</v>
      </c>
      <c r="N449" s="632"/>
      <c r="O449" s="21">
        <f t="shared" si="80"/>
        <v>1</v>
      </c>
      <c r="P449" s="632"/>
      <c r="Q449" s="21">
        <f t="shared" si="81"/>
        <v>1</v>
      </c>
      <c r="R449" s="21">
        <f t="shared" si="82"/>
        <v>162430</v>
      </c>
      <c r="S449" s="306">
        <f t="shared" si="83"/>
        <v>530</v>
      </c>
    </row>
    <row r="450" spans="1:19">
      <c r="A450" s="3180">
        <f>面积!B1105</f>
        <v>-1430</v>
      </c>
      <c r="B450" s="3181">
        <f>面积!C1105</f>
        <v>32.61</v>
      </c>
      <c r="C450" s="21">
        <f t="shared" si="74"/>
        <v>1</v>
      </c>
      <c r="D450" s="632"/>
      <c r="E450" s="21">
        <f t="shared" si="75"/>
        <v>1</v>
      </c>
      <c r="F450" s="632"/>
      <c r="G450" s="21">
        <f t="shared" si="76"/>
        <v>1</v>
      </c>
      <c r="H450" s="632"/>
      <c r="I450" s="21">
        <f t="shared" si="77"/>
        <v>1</v>
      </c>
      <c r="J450" s="632"/>
      <c r="K450" s="21">
        <f t="shared" si="78"/>
        <v>1</v>
      </c>
      <c r="L450" s="632"/>
      <c r="M450" s="21">
        <f t="shared" si="79"/>
        <v>1</v>
      </c>
      <c r="N450" s="632"/>
      <c r="O450" s="21">
        <f t="shared" si="80"/>
        <v>1</v>
      </c>
      <c r="P450" s="632"/>
      <c r="Q450" s="21">
        <f t="shared" si="81"/>
        <v>1</v>
      </c>
      <c r="R450" s="21">
        <f t="shared" si="82"/>
        <v>162430</v>
      </c>
      <c r="S450" s="306">
        <f t="shared" si="83"/>
        <v>530</v>
      </c>
    </row>
    <row r="451" spans="1:19">
      <c r="A451" s="3180">
        <f>面积!B1106</f>
        <v>-1431</v>
      </c>
      <c r="B451" s="3181">
        <f>面积!C1106</f>
        <v>32.61</v>
      </c>
      <c r="C451" s="21">
        <f t="shared" si="74"/>
        <v>1</v>
      </c>
      <c r="D451" s="632"/>
      <c r="E451" s="21">
        <f t="shared" si="75"/>
        <v>1</v>
      </c>
      <c r="F451" s="632"/>
      <c r="G451" s="21">
        <f t="shared" si="76"/>
        <v>1</v>
      </c>
      <c r="H451" s="632"/>
      <c r="I451" s="21">
        <f t="shared" si="77"/>
        <v>1</v>
      </c>
      <c r="J451" s="632"/>
      <c r="K451" s="21">
        <f t="shared" si="78"/>
        <v>1</v>
      </c>
      <c r="L451" s="632"/>
      <c r="M451" s="21">
        <f t="shared" si="79"/>
        <v>1</v>
      </c>
      <c r="N451" s="632"/>
      <c r="O451" s="21">
        <f t="shared" si="80"/>
        <v>1</v>
      </c>
      <c r="P451" s="632"/>
      <c r="Q451" s="21">
        <f t="shared" si="81"/>
        <v>1</v>
      </c>
      <c r="R451" s="21">
        <f t="shared" si="82"/>
        <v>162430</v>
      </c>
      <c r="S451" s="306">
        <f t="shared" si="83"/>
        <v>530</v>
      </c>
    </row>
    <row r="452" spans="1:19">
      <c r="A452" s="3180">
        <f>面积!B1107</f>
        <v>-1432</v>
      </c>
      <c r="B452" s="3181">
        <f>面积!C1107</f>
        <v>32.61</v>
      </c>
      <c r="C452" s="21">
        <f t="shared" si="74"/>
        <v>1</v>
      </c>
      <c r="D452" s="632"/>
      <c r="E452" s="21">
        <f t="shared" si="75"/>
        <v>1</v>
      </c>
      <c r="F452" s="632"/>
      <c r="G452" s="21">
        <f t="shared" si="76"/>
        <v>1</v>
      </c>
      <c r="H452" s="632"/>
      <c r="I452" s="21">
        <f t="shared" si="77"/>
        <v>1</v>
      </c>
      <c r="J452" s="632"/>
      <c r="K452" s="21">
        <f t="shared" si="78"/>
        <v>1</v>
      </c>
      <c r="L452" s="632"/>
      <c r="M452" s="21">
        <f t="shared" si="79"/>
        <v>1</v>
      </c>
      <c r="N452" s="632"/>
      <c r="O452" s="21">
        <f t="shared" si="80"/>
        <v>1</v>
      </c>
      <c r="P452" s="632"/>
      <c r="Q452" s="21">
        <f t="shared" si="81"/>
        <v>1</v>
      </c>
      <c r="R452" s="21">
        <f t="shared" si="82"/>
        <v>162430</v>
      </c>
      <c r="S452" s="306">
        <f t="shared" si="83"/>
        <v>530</v>
      </c>
    </row>
    <row r="453" spans="1:19">
      <c r="A453" s="3180">
        <f>面积!B1108</f>
        <v>-1433</v>
      </c>
      <c r="B453" s="3181">
        <f>面积!C1108</f>
        <v>32.61</v>
      </c>
      <c r="C453" s="21">
        <f t="shared" si="74"/>
        <v>1</v>
      </c>
      <c r="D453" s="632"/>
      <c r="E453" s="21">
        <f t="shared" si="75"/>
        <v>1</v>
      </c>
      <c r="F453" s="632"/>
      <c r="G453" s="21">
        <f t="shared" si="76"/>
        <v>1</v>
      </c>
      <c r="H453" s="632"/>
      <c r="I453" s="21">
        <f t="shared" si="77"/>
        <v>1</v>
      </c>
      <c r="J453" s="632"/>
      <c r="K453" s="21">
        <f t="shared" si="78"/>
        <v>1</v>
      </c>
      <c r="L453" s="632"/>
      <c r="M453" s="21">
        <f t="shared" si="79"/>
        <v>1</v>
      </c>
      <c r="N453" s="632"/>
      <c r="O453" s="21">
        <f t="shared" si="80"/>
        <v>1</v>
      </c>
      <c r="P453" s="632"/>
      <c r="Q453" s="21">
        <f t="shared" si="81"/>
        <v>1</v>
      </c>
      <c r="R453" s="21">
        <f t="shared" si="82"/>
        <v>162430</v>
      </c>
      <c r="S453" s="306">
        <f t="shared" si="83"/>
        <v>530</v>
      </c>
    </row>
    <row r="454" spans="1:19">
      <c r="A454" s="3180">
        <f>面积!B1109</f>
        <v>-1434</v>
      </c>
      <c r="B454" s="3181">
        <f>面积!C1109</f>
        <v>32.61</v>
      </c>
      <c r="C454" s="21">
        <f t="shared" si="74"/>
        <v>1</v>
      </c>
      <c r="D454" s="632"/>
      <c r="E454" s="21">
        <f t="shared" si="75"/>
        <v>1</v>
      </c>
      <c r="F454" s="632"/>
      <c r="G454" s="21">
        <f t="shared" si="76"/>
        <v>1</v>
      </c>
      <c r="H454" s="632"/>
      <c r="I454" s="21">
        <f t="shared" si="77"/>
        <v>1</v>
      </c>
      <c r="J454" s="632"/>
      <c r="K454" s="21">
        <f t="shared" si="78"/>
        <v>1</v>
      </c>
      <c r="L454" s="632"/>
      <c r="M454" s="21">
        <f t="shared" si="79"/>
        <v>1</v>
      </c>
      <c r="N454" s="632"/>
      <c r="O454" s="21">
        <f t="shared" si="80"/>
        <v>1</v>
      </c>
      <c r="P454" s="632"/>
      <c r="Q454" s="21">
        <f t="shared" si="81"/>
        <v>1</v>
      </c>
      <c r="R454" s="21">
        <f t="shared" si="82"/>
        <v>162430</v>
      </c>
      <c r="S454" s="306">
        <f t="shared" si="83"/>
        <v>530</v>
      </c>
    </row>
    <row r="455" spans="1:19">
      <c r="A455" s="3180">
        <f>面积!B1110</f>
        <v>-1435</v>
      </c>
      <c r="B455" s="3181">
        <f>面积!C1110</f>
        <v>32.61</v>
      </c>
      <c r="C455" s="21">
        <f t="shared" si="74"/>
        <v>1</v>
      </c>
      <c r="D455" s="632"/>
      <c r="E455" s="21">
        <f t="shared" si="75"/>
        <v>1</v>
      </c>
      <c r="F455" s="632"/>
      <c r="G455" s="21">
        <f t="shared" si="76"/>
        <v>1</v>
      </c>
      <c r="H455" s="632"/>
      <c r="I455" s="21">
        <f t="shared" si="77"/>
        <v>1</v>
      </c>
      <c r="J455" s="632"/>
      <c r="K455" s="21">
        <f t="shared" si="78"/>
        <v>1</v>
      </c>
      <c r="L455" s="632"/>
      <c r="M455" s="21">
        <f t="shared" si="79"/>
        <v>1</v>
      </c>
      <c r="N455" s="632"/>
      <c r="O455" s="21">
        <f t="shared" si="80"/>
        <v>1</v>
      </c>
      <c r="P455" s="632"/>
      <c r="Q455" s="21">
        <f t="shared" si="81"/>
        <v>1</v>
      </c>
      <c r="R455" s="21">
        <f t="shared" si="82"/>
        <v>162430</v>
      </c>
      <c r="S455" s="306">
        <f t="shared" si="83"/>
        <v>530</v>
      </c>
    </row>
    <row r="456" spans="1:19">
      <c r="A456" s="3180">
        <f>面积!B1111</f>
        <v>-1436</v>
      </c>
      <c r="B456" s="3181">
        <f>面积!C1111</f>
        <v>32.61</v>
      </c>
      <c r="C456" s="21">
        <f t="shared" si="74"/>
        <v>1</v>
      </c>
      <c r="D456" s="632"/>
      <c r="E456" s="21">
        <f t="shared" si="75"/>
        <v>1</v>
      </c>
      <c r="F456" s="632"/>
      <c r="G456" s="21">
        <f t="shared" si="76"/>
        <v>1</v>
      </c>
      <c r="H456" s="632"/>
      <c r="I456" s="21">
        <f t="shared" si="77"/>
        <v>1</v>
      </c>
      <c r="J456" s="632"/>
      <c r="K456" s="21">
        <f t="shared" si="78"/>
        <v>1</v>
      </c>
      <c r="L456" s="632"/>
      <c r="M456" s="21">
        <f t="shared" si="79"/>
        <v>1</v>
      </c>
      <c r="N456" s="632"/>
      <c r="O456" s="21">
        <f t="shared" si="80"/>
        <v>1</v>
      </c>
      <c r="P456" s="632"/>
      <c r="Q456" s="21">
        <f t="shared" si="81"/>
        <v>1</v>
      </c>
      <c r="R456" s="21">
        <f t="shared" si="82"/>
        <v>162430</v>
      </c>
      <c r="S456" s="306">
        <f t="shared" si="83"/>
        <v>530</v>
      </c>
    </row>
    <row r="457" spans="1:19">
      <c r="A457" s="3180">
        <f>面积!B1112</f>
        <v>-1437</v>
      </c>
      <c r="B457" s="3181">
        <f>面积!C1112</f>
        <v>32.61</v>
      </c>
      <c r="C457" s="21">
        <f t="shared" si="74"/>
        <v>1</v>
      </c>
      <c r="D457" s="632"/>
      <c r="E457" s="21">
        <f t="shared" si="75"/>
        <v>1</v>
      </c>
      <c r="F457" s="632"/>
      <c r="G457" s="21">
        <f t="shared" si="76"/>
        <v>1</v>
      </c>
      <c r="H457" s="632"/>
      <c r="I457" s="21">
        <f t="shared" si="77"/>
        <v>1</v>
      </c>
      <c r="J457" s="632"/>
      <c r="K457" s="21">
        <f t="shared" si="78"/>
        <v>1</v>
      </c>
      <c r="L457" s="632"/>
      <c r="M457" s="21">
        <f t="shared" si="79"/>
        <v>1</v>
      </c>
      <c r="N457" s="632"/>
      <c r="O457" s="21">
        <f t="shared" si="80"/>
        <v>1</v>
      </c>
      <c r="P457" s="632"/>
      <c r="Q457" s="21">
        <f t="shared" si="81"/>
        <v>1</v>
      </c>
      <c r="R457" s="21">
        <f t="shared" si="82"/>
        <v>162430</v>
      </c>
      <c r="S457" s="306">
        <f t="shared" si="83"/>
        <v>530</v>
      </c>
    </row>
    <row r="458" spans="1:19">
      <c r="A458" s="3180">
        <f>面积!B1113</f>
        <v>-1438</v>
      </c>
      <c r="B458" s="3181">
        <f>面积!C1113</f>
        <v>32.61</v>
      </c>
      <c r="C458" s="21">
        <f t="shared" si="74"/>
        <v>1</v>
      </c>
      <c r="D458" s="632"/>
      <c r="E458" s="21">
        <f t="shared" si="75"/>
        <v>1</v>
      </c>
      <c r="F458" s="632"/>
      <c r="G458" s="21">
        <f t="shared" si="76"/>
        <v>1</v>
      </c>
      <c r="H458" s="632"/>
      <c r="I458" s="21">
        <f t="shared" si="77"/>
        <v>1</v>
      </c>
      <c r="J458" s="632"/>
      <c r="K458" s="21">
        <f t="shared" si="78"/>
        <v>1</v>
      </c>
      <c r="L458" s="632"/>
      <c r="M458" s="21">
        <f t="shared" si="79"/>
        <v>1</v>
      </c>
      <c r="N458" s="632"/>
      <c r="O458" s="21">
        <f t="shared" si="80"/>
        <v>1</v>
      </c>
      <c r="P458" s="632"/>
      <c r="Q458" s="21">
        <f t="shared" si="81"/>
        <v>1</v>
      </c>
      <c r="R458" s="21">
        <f t="shared" si="82"/>
        <v>162430</v>
      </c>
      <c r="S458" s="306">
        <f t="shared" si="83"/>
        <v>530</v>
      </c>
    </row>
    <row r="459" spans="1:19">
      <c r="A459" s="3180">
        <f>面积!B1114</f>
        <v>-1439</v>
      </c>
      <c r="B459" s="3181">
        <f>面积!C1114</f>
        <v>32.61</v>
      </c>
      <c r="C459" s="21">
        <f t="shared" si="74"/>
        <v>1</v>
      </c>
      <c r="D459" s="632"/>
      <c r="E459" s="21">
        <f t="shared" si="75"/>
        <v>1</v>
      </c>
      <c r="F459" s="632"/>
      <c r="G459" s="21">
        <f t="shared" si="76"/>
        <v>1</v>
      </c>
      <c r="H459" s="632"/>
      <c r="I459" s="21">
        <f t="shared" si="77"/>
        <v>1</v>
      </c>
      <c r="J459" s="632"/>
      <c r="K459" s="21">
        <f t="shared" si="78"/>
        <v>1</v>
      </c>
      <c r="L459" s="632"/>
      <c r="M459" s="21">
        <f t="shared" si="79"/>
        <v>1</v>
      </c>
      <c r="N459" s="632"/>
      <c r="O459" s="21">
        <f t="shared" si="80"/>
        <v>1</v>
      </c>
      <c r="P459" s="632"/>
      <c r="Q459" s="21">
        <f t="shared" si="81"/>
        <v>1</v>
      </c>
      <c r="R459" s="21">
        <f t="shared" si="82"/>
        <v>162430</v>
      </c>
      <c r="S459" s="306">
        <f t="shared" si="83"/>
        <v>530</v>
      </c>
    </row>
    <row r="460" spans="1:19">
      <c r="A460" s="3180">
        <f>面积!B1115</f>
        <v>-1440</v>
      </c>
      <c r="B460" s="3181">
        <f>面积!C1115</f>
        <v>32.61</v>
      </c>
      <c r="C460" s="21">
        <f t="shared" si="74"/>
        <v>1</v>
      </c>
      <c r="D460" s="632"/>
      <c r="E460" s="21">
        <f t="shared" si="75"/>
        <v>1</v>
      </c>
      <c r="F460" s="632"/>
      <c r="G460" s="21">
        <f t="shared" si="76"/>
        <v>1</v>
      </c>
      <c r="H460" s="632"/>
      <c r="I460" s="21">
        <f t="shared" si="77"/>
        <v>1</v>
      </c>
      <c r="J460" s="632"/>
      <c r="K460" s="21">
        <f t="shared" si="78"/>
        <v>1</v>
      </c>
      <c r="L460" s="632"/>
      <c r="M460" s="21">
        <f t="shared" si="79"/>
        <v>1</v>
      </c>
      <c r="N460" s="632"/>
      <c r="O460" s="21">
        <f t="shared" si="80"/>
        <v>1</v>
      </c>
      <c r="P460" s="632"/>
      <c r="Q460" s="21">
        <f t="shared" si="81"/>
        <v>1</v>
      </c>
      <c r="R460" s="21">
        <f t="shared" si="82"/>
        <v>162430</v>
      </c>
      <c r="S460" s="306">
        <f t="shared" si="83"/>
        <v>530</v>
      </c>
    </row>
    <row r="461" spans="1:19">
      <c r="A461" s="3180">
        <f>面积!B1116</f>
        <v>-1441</v>
      </c>
      <c r="B461" s="3181">
        <f>面积!C1116</f>
        <v>32.61</v>
      </c>
      <c r="C461" s="21">
        <f t="shared" si="74"/>
        <v>1</v>
      </c>
      <c r="D461" s="632"/>
      <c r="E461" s="21">
        <f t="shared" si="75"/>
        <v>1</v>
      </c>
      <c r="F461" s="632"/>
      <c r="G461" s="21">
        <f t="shared" si="76"/>
        <v>1</v>
      </c>
      <c r="H461" s="632"/>
      <c r="I461" s="21">
        <f t="shared" si="77"/>
        <v>1</v>
      </c>
      <c r="J461" s="632"/>
      <c r="K461" s="21">
        <f t="shared" si="78"/>
        <v>1</v>
      </c>
      <c r="L461" s="632"/>
      <c r="M461" s="21">
        <f t="shared" si="79"/>
        <v>1</v>
      </c>
      <c r="N461" s="632"/>
      <c r="O461" s="21">
        <f t="shared" si="80"/>
        <v>1</v>
      </c>
      <c r="P461" s="632"/>
      <c r="Q461" s="21">
        <f t="shared" si="81"/>
        <v>1</v>
      </c>
      <c r="R461" s="21">
        <f t="shared" si="82"/>
        <v>162430</v>
      </c>
      <c r="S461" s="306">
        <f t="shared" si="83"/>
        <v>530</v>
      </c>
    </row>
    <row r="462" spans="1:19">
      <c r="A462" s="3180">
        <f>面积!B1117</f>
        <v>-1442</v>
      </c>
      <c r="B462" s="3181">
        <f>面积!C1117</f>
        <v>32.61</v>
      </c>
      <c r="C462" s="21">
        <f t="shared" si="74"/>
        <v>1</v>
      </c>
      <c r="D462" s="632"/>
      <c r="E462" s="21">
        <f t="shared" si="75"/>
        <v>1</v>
      </c>
      <c r="F462" s="632"/>
      <c r="G462" s="21">
        <f t="shared" si="76"/>
        <v>1</v>
      </c>
      <c r="H462" s="632"/>
      <c r="I462" s="21">
        <f t="shared" si="77"/>
        <v>1</v>
      </c>
      <c r="J462" s="632"/>
      <c r="K462" s="21">
        <f t="shared" si="78"/>
        <v>1</v>
      </c>
      <c r="L462" s="632"/>
      <c r="M462" s="21">
        <f t="shared" si="79"/>
        <v>1</v>
      </c>
      <c r="N462" s="632"/>
      <c r="O462" s="21">
        <f t="shared" si="80"/>
        <v>1</v>
      </c>
      <c r="P462" s="632"/>
      <c r="Q462" s="21">
        <f t="shared" si="81"/>
        <v>1</v>
      </c>
      <c r="R462" s="21">
        <f t="shared" si="82"/>
        <v>162430</v>
      </c>
      <c r="S462" s="306">
        <f t="shared" si="83"/>
        <v>530</v>
      </c>
    </row>
    <row r="463" spans="1:19">
      <c r="A463" s="3180">
        <f>面积!B1118</f>
        <v>-1443</v>
      </c>
      <c r="B463" s="3181">
        <f>面积!C1118</f>
        <v>32.61</v>
      </c>
      <c r="C463" s="21">
        <f t="shared" si="74"/>
        <v>1</v>
      </c>
      <c r="D463" s="632"/>
      <c r="E463" s="21">
        <f t="shared" si="75"/>
        <v>1</v>
      </c>
      <c r="F463" s="632"/>
      <c r="G463" s="21">
        <f t="shared" si="76"/>
        <v>1</v>
      </c>
      <c r="H463" s="632"/>
      <c r="I463" s="21">
        <f t="shared" si="77"/>
        <v>1</v>
      </c>
      <c r="J463" s="632"/>
      <c r="K463" s="21">
        <f t="shared" si="78"/>
        <v>1</v>
      </c>
      <c r="L463" s="632"/>
      <c r="M463" s="21">
        <f t="shared" si="79"/>
        <v>1</v>
      </c>
      <c r="N463" s="632"/>
      <c r="O463" s="21">
        <f t="shared" si="80"/>
        <v>1</v>
      </c>
      <c r="P463" s="632"/>
      <c r="Q463" s="21">
        <f t="shared" si="81"/>
        <v>1</v>
      </c>
      <c r="R463" s="21">
        <f t="shared" si="82"/>
        <v>162430</v>
      </c>
      <c r="S463" s="306">
        <f t="shared" si="83"/>
        <v>530</v>
      </c>
    </row>
    <row r="464" spans="1:19">
      <c r="A464" s="3180">
        <f>面积!B1119</f>
        <v>-1444</v>
      </c>
      <c r="B464" s="3181">
        <f>面积!C1119</f>
        <v>32.61</v>
      </c>
      <c r="C464" s="21">
        <f t="shared" si="74"/>
        <v>1</v>
      </c>
      <c r="D464" s="632"/>
      <c r="E464" s="21">
        <f t="shared" si="75"/>
        <v>1</v>
      </c>
      <c r="F464" s="632"/>
      <c r="G464" s="21">
        <f t="shared" si="76"/>
        <v>1</v>
      </c>
      <c r="H464" s="632"/>
      <c r="I464" s="21">
        <f t="shared" si="77"/>
        <v>1</v>
      </c>
      <c r="J464" s="632"/>
      <c r="K464" s="21">
        <f t="shared" si="78"/>
        <v>1</v>
      </c>
      <c r="L464" s="632"/>
      <c r="M464" s="21">
        <f t="shared" si="79"/>
        <v>1</v>
      </c>
      <c r="N464" s="632"/>
      <c r="O464" s="21">
        <f t="shared" si="80"/>
        <v>1</v>
      </c>
      <c r="P464" s="632"/>
      <c r="Q464" s="21">
        <f t="shared" si="81"/>
        <v>1</v>
      </c>
      <c r="R464" s="21">
        <f t="shared" si="82"/>
        <v>162430</v>
      </c>
      <c r="S464" s="306">
        <f t="shared" si="83"/>
        <v>530</v>
      </c>
    </row>
    <row r="465" spans="1:19">
      <c r="A465" s="3180">
        <f>面积!B1120</f>
        <v>-1445</v>
      </c>
      <c r="B465" s="3181">
        <f>面积!C1120</f>
        <v>32.61</v>
      </c>
      <c r="C465" s="21">
        <f t="shared" si="74"/>
        <v>1</v>
      </c>
      <c r="D465" s="632"/>
      <c r="E465" s="21">
        <f t="shared" si="75"/>
        <v>1</v>
      </c>
      <c r="F465" s="632"/>
      <c r="G465" s="21">
        <f t="shared" si="76"/>
        <v>1</v>
      </c>
      <c r="H465" s="632"/>
      <c r="I465" s="21">
        <f t="shared" si="77"/>
        <v>1</v>
      </c>
      <c r="J465" s="632"/>
      <c r="K465" s="21">
        <f t="shared" si="78"/>
        <v>1</v>
      </c>
      <c r="L465" s="632"/>
      <c r="M465" s="21">
        <f t="shared" si="79"/>
        <v>1</v>
      </c>
      <c r="N465" s="632"/>
      <c r="O465" s="21">
        <f t="shared" si="80"/>
        <v>1</v>
      </c>
      <c r="P465" s="632"/>
      <c r="Q465" s="21">
        <f t="shared" si="81"/>
        <v>1</v>
      </c>
      <c r="R465" s="21">
        <f t="shared" si="82"/>
        <v>162430</v>
      </c>
      <c r="S465" s="306">
        <f t="shared" si="83"/>
        <v>530</v>
      </c>
    </row>
    <row r="466" spans="1:19">
      <c r="A466" s="3180">
        <f>面积!B1121</f>
        <v>-1446</v>
      </c>
      <c r="B466" s="3181">
        <f>面积!C1121</f>
        <v>32.61</v>
      </c>
      <c r="C466" s="21">
        <f t="shared" si="74"/>
        <v>1</v>
      </c>
      <c r="D466" s="632"/>
      <c r="E466" s="21">
        <f t="shared" si="75"/>
        <v>1</v>
      </c>
      <c r="F466" s="632"/>
      <c r="G466" s="21">
        <f t="shared" si="76"/>
        <v>1</v>
      </c>
      <c r="H466" s="632"/>
      <c r="I466" s="21">
        <f t="shared" si="77"/>
        <v>1</v>
      </c>
      <c r="J466" s="632"/>
      <c r="K466" s="21">
        <f t="shared" si="78"/>
        <v>1</v>
      </c>
      <c r="L466" s="632"/>
      <c r="M466" s="21">
        <f t="shared" si="79"/>
        <v>1</v>
      </c>
      <c r="N466" s="632"/>
      <c r="O466" s="21">
        <f t="shared" si="80"/>
        <v>1</v>
      </c>
      <c r="P466" s="632"/>
      <c r="Q466" s="21">
        <f t="shared" si="81"/>
        <v>1</v>
      </c>
      <c r="R466" s="21">
        <f t="shared" si="82"/>
        <v>162430</v>
      </c>
      <c r="S466" s="306">
        <f t="shared" si="83"/>
        <v>530</v>
      </c>
    </row>
    <row r="467" spans="1:19">
      <c r="A467" s="3180">
        <f>面积!B1122</f>
        <v>-1447</v>
      </c>
      <c r="B467" s="3181">
        <f>面积!C1122</f>
        <v>32.61</v>
      </c>
      <c r="C467" s="21">
        <f t="shared" si="74"/>
        <v>1</v>
      </c>
      <c r="D467" s="632"/>
      <c r="E467" s="21">
        <f t="shared" si="75"/>
        <v>1</v>
      </c>
      <c r="F467" s="632"/>
      <c r="G467" s="21">
        <f t="shared" si="76"/>
        <v>1</v>
      </c>
      <c r="H467" s="632"/>
      <c r="I467" s="21">
        <f t="shared" si="77"/>
        <v>1</v>
      </c>
      <c r="J467" s="632"/>
      <c r="K467" s="21">
        <f t="shared" si="78"/>
        <v>1</v>
      </c>
      <c r="L467" s="632"/>
      <c r="M467" s="21">
        <f t="shared" si="79"/>
        <v>1</v>
      </c>
      <c r="N467" s="632"/>
      <c r="O467" s="21">
        <f t="shared" si="80"/>
        <v>1</v>
      </c>
      <c r="P467" s="632"/>
      <c r="Q467" s="21">
        <f t="shared" si="81"/>
        <v>1</v>
      </c>
      <c r="R467" s="21">
        <f t="shared" si="82"/>
        <v>162430</v>
      </c>
      <c r="S467" s="306">
        <f t="shared" si="83"/>
        <v>530</v>
      </c>
    </row>
    <row r="468" spans="1:19">
      <c r="A468" s="3180">
        <f>面积!B1123</f>
        <v>-1448</v>
      </c>
      <c r="B468" s="3181">
        <f>面积!C1123</f>
        <v>32.61</v>
      </c>
      <c r="C468" s="21">
        <f t="shared" si="74"/>
        <v>1</v>
      </c>
      <c r="D468" s="632"/>
      <c r="E468" s="21">
        <f t="shared" si="75"/>
        <v>1</v>
      </c>
      <c r="F468" s="632"/>
      <c r="G468" s="21">
        <f t="shared" si="76"/>
        <v>1</v>
      </c>
      <c r="H468" s="632"/>
      <c r="I468" s="21">
        <f t="shared" si="77"/>
        <v>1</v>
      </c>
      <c r="J468" s="632"/>
      <c r="K468" s="21">
        <f t="shared" si="78"/>
        <v>1</v>
      </c>
      <c r="L468" s="632"/>
      <c r="M468" s="21">
        <f t="shared" si="79"/>
        <v>1</v>
      </c>
      <c r="N468" s="632"/>
      <c r="O468" s="21">
        <f t="shared" si="80"/>
        <v>1</v>
      </c>
      <c r="P468" s="632"/>
      <c r="Q468" s="21">
        <f t="shared" si="81"/>
        <v>1</v>
      </c>
      <c r="R468" s="21">
        <f t="shared" si="82"/>
        <v>162430</v>
      </c>
      <c r="S468" s="306">
        <f t="shared" ref="S468:S497" si="84">ROUND(R468*B468/10000,0)</f>
        <v>530</v>
      </c>
    </row>
    <row r="469" spans="1:19">
      <c r="A469" s="3180">
        <f>面积!B1124</f>
        <v>-1449</v>
      </c>
      <c r="B469" s="3181">
        <f>面积!C1124</f>
        <v>32.61</v>
      </c>
      <c r="C469" s="21">
        <f t="shared" si="74"/>
        <v>1</v>
      </c>
      <c r="D469" s="632"/>
      <c r="E469" s="21">
        <f t="shared" si="75"/>
        <v>1</v>
      </c>
      <c r="F469" s="632"/>
      <c r="G469" s="21">
        <f t="shared" si="76"/>
        <v>1</v>
      </c>
      <c r="H469" s="632"/>
      <c r="I469" s="21">
        <f t="shared" si="77"/>
        <v>1</v>
      </c>
      <c r="J469" s="632"/>
      <c r="K469" s="21">
        <f t="shared" si="78"/>
        <v>1</v>
      </c>
      <c r="L469" s="632"/>
      <c r="M469" s="21">
        <f t="shared" si="79"/>
        <v>1</v>
      </c>
      <c r="N469" s="632"/>
      <c r="O469" s="21">
        <f t="shared" si="80"/>
        <v>1</v>
      </c>
      <c r="P469" s="632"/>
      <c r="Q469" s="21">
        <f t="shared" si="81"/>
        <v>1</v>
      </c>
      <c r="R469" s="21">
        <f t="shared" si="82"/>
        <v>162430</v>
      </c>
      <c r="S469" s="306">
        <f t="shared" si="84"/>
        <v>530</v>
      </c>
    </row>
    <row r="470" spans="1:19">
      <c r="A470" s="3180">
        <f>面积!B1125</f>
        <v>-1450</v>
      </c>
      <c r="B470" s="3181">
        <f>面积!C1125</f>
        <v>32.61</v>
      </c>
      <c r="C470" s="21">
        <f t="shared" si="74"/>
        <v>1</v>
      </c>
      <c r="D470" s="632"/>
      <c r="E470" s="21">
        <f t="shared" si="75"/>
        <v>1</v>
      </c>
      <c r="F470" s="632"/>
      <c r="G470" s="21">
        <f t="shared" si="76"/>
        <v>1</v>
      </c>
      <c r="H470" s="632"/>
      <c r="I470" s="21">
        <f t="shared" si="77"/>
        <v>1</v>
      </c>
      <c r="J470" s="632"/>
      <c r="K470" s="21">
        <f t="shared" si="78"/>
        <v>1</v>
      </c>
      <c r="L470" s="632"/>
      <c r="M470" s="21">
        <f t="shared" si="79"/>
        <v>1</v>
      </c>
      <c r="N470" s="632"/>
      <c r="O470" s="21">
        <f t="shared" si="80"/>
        <v>1</v>
      </c>
      <c r="P470" s="632"/>
      <c r="Q470" s="21">
        <f t="shared" si="81"/>
        <v>1</v>
      </c>
      <c r="R470" s="21">
        <f t="shared" si="82"/>
        <v>162430</v>
      </c>
      <c r="S470" s="306">
        <f t="shared" si="84"/>
        <v>530</v>
      </c>
    </row>
    <row r="471" spans="1:19">
      <c r="A471" s="3180">
        <f>面积!B1126</f>
        <v>-1451</v>
      </c>
      <c r="B471" s="3181">
        <f>面积!C1126</f>
        <v>32.61</v>
      </c>
      <c r="C471" s="21">
        <f t="shared" si="74"/>
        <v>1</v>
      </c>
      <c r="D471" s="632"/>
      <c r="E471" s="21">
        <f t="shared" si="75"/>
        <v>1</v>
      </c>
      <c r="F471" s="632"/>
      <c r="G471" s="21">
        <f t="shared" si="76"/>
        <v>1</v>
      </c>
      <c r="H471" s="632"/>
      <c r="I471" s="21">
        <f t="shared" si="77"/>
        <v>1</v>
      </c>
      <c r="J471" s="632"/>
      <c r="K471" s="21">
        <f t="shared" si="78"/>
        <v>1</v>
      </c>
      <c r="L471" s="632"/>
      <c r="M471" s="21">
        <f t="shared" si="79"/>
        <v>1</v>
      </c>
      <c r="N471" s="632"/>
      <c r="O471" s="21">
        <f t="shared" si="80"/>
        <v>1</v>
      </c>
      <c r="P471" s="632"/>
      <c r="Q471" s="21">
        <f t="shared" si="81"/>
        <v>1</v>
      </c>
      <c r="R471" s="21">
        <f t="shared" si="82"/>
        <v>162430</v>
      </c>
      <c r="S471" s="306">
        <f t="shared" si="84"/>
        <v>530</v>
      </c>
    </row>
    <row r="472" spans="1:19">
      <c r="A472" s="3180">
        <f>面积!B1127</f>
        <v>-1452</v>
      </c>
      <c r="B472" s="3181">
        <f>面积!C1127</f>
        <v>32.61</v>
      </c>
      <c r="C472" s="21">
        <f t="shared" si="74"/>
        <v>1</v>
      </c>
      <c r="D472" s="632"/>
      <c r="E472" s="21">
        <f t="shared" si="75"/>
        <v>1</v>
      </c>
      <c r="F472" s="632"/>
      <c r="G472" s="21">
        <f t="shared" si="76"/>
        <v>1</v>
      </c>
      <c r="H472" s="632"/>
      <c r="I472" s="21">
        <f t="shared" si="77"/>
        <v>1</v>
      </c>
      <c r="J472" s="632"/>
      <c r="K472" s="21">
        <f t="shared" si="78"/>
        <v>1</v>
      </c>
      <c r="L472" s="632"/>
      <c r="M472" s="21">
        <f t="shared" si="79"/>
        <v>1</v>
      </c>
      <c r="N472" s="632"/>
      <c r="O472" s="21">
        <f t="shared" si="80"/>
        <v>1</v>
      </c>
      <c r="P472" s="632"/>
      <c r="Q472" s="21">
        <f t="shared" si="81"/>
        <v>1</v>
      </c>
      <c r="R472" s="21">
        <f t="shared" si="82"/>
        <v>162430</v>
      </c>
      <c r="S472" s="306">
        <f t="shared" si="84"/>
        <v>530</v>
      </c>
    </row>
    <row r="473" spans="1:19">
      <c r="A473" s="3180">
        <f>面积!B1128</f>
        <v>-1453</v>
      </c>
      <c r="B473" s="3181">
        <f>面积!C1128</f>
        <v>32.61</v>
      </c>
      <c r="C473" s="21">
        <f t="shared" si="74"/>
        <v>1</v>
      </c>
      <c r="D473" s="632"/>
      <c r="E473" s="21">
        <f t="shared" si="75"/>
        <v>1</v>
      </c>
      <c r="F473" s="632"/>
      <c r="G473" s="21">
        <f t="shared" si="76"/>
        <v>1</v>
      </c>
      <c r="H473" s="632"/>
      <c r="I473" s="21">
        <f t="shared" si="77"/>
        <v>1</v>
      </c>
      <c r="J473" s="632"/>
      <c r="K473" s="21">
        <f t="shared" si="78"/>
        <v>1</v>
      </c>
      <c r="L473" s="632"/>
      <c r="M473" s="21">
        <f t="shared" si="79"/>
        <v>1</v>
      </c>
      <c r="N473" s="632"/>
      <c r="O473" s="21">
        <f t="shared" si="80"/>
        <v>1</v>
      </c>
      <c r="P473" s="632"/>
      <c r="Q473" s="21">
        <f t="shared" si="81"/>
        <v>1</v>
      </c>
      <c r="R473" s="21">
        <f t="shared" si="82"/>
        <v>162430</v>
      </c>
      <c r="S473" s="306">
        <f t="shared" si="84"/>
        <v>530</v>
      </c>
    </row>
    <row r="474" spans="1:19">
      <c r="A474" s="3180">
        <f>面积!B1129</f>
        <v>-1454</v>
      </c>
      <c r="B474" s="3181">
        <f>面积!C1129</f>
        <v>32.61</v>
      </c>
      <c r="C474" s="21">
        <f t="shared" ref="C474:C524" si="85">IF(B474="",1,(LOOKUP(B474,$3:$3,$4:$4)-LOOKUP($B$24,$3:$3,$4:$4)+100)/100)</f>
        <v>1</v>
      </c>
      <c r="D474" s="632"/>
      <c r="E474" s="21">
        <f t="shared" ref="E474:E524" si="86">(SUMIF($5:$5,D474,$6:$6)-SUMIF($5:$5,$D$24,$6:$6)+100)/100</f>
        <v>1</v>
      </c>
      <c r="F474" s="632"/>
      <c r="G474" s="21">
        <f t="shared" ref="G474:G524" si="87">(SUMIF($7:$7,F474,$8:$8)-SUMIF($7:$7,$F$24,$8:$8)+100)/100</f>
        <v>1</v>
      </c>
      <c r="H474" s="632"/>
      <c r="I474" s="21">
        <f t="shared" ref="I474:I524" si="88">(SUMIF($9:$9,H474,$10:$10)-SUMIF($9:$9,$H$24,$10:$10)+100)/100</f>
        <v>1</v>
      </c>
      <c r="J474" s="632"/>
      <c r="K474" s="21">
        <f t="shared" ref="K474:K524" si="89">(SUMIF($11:$11,J474,$12:$12)-SUMIF($11:$11,$J$24,$12:$12)+100)/100</f>
        <v>1</v>
      </c>
      <c r="L474" s="632"/>
      <c r="M474" s="21">
        <f t="shared" ref="M474:M524" si="90">(SUMIF($13:$13,L474,$14:$14)-SUMIF($13:$13,$L$24,$14:$14)+100)/100</f>
        <v>1</v>
      </c>
      <c r="N474" s="632"/>
      <c r="O474" s="21">
        <f t="shared" ref="O474:O524" si="91">(SUMIF($15:$15,N474,$16:$16)-SUMIF($15:$15,$N$24,$16:$16)+100)/100</f>
        <v>1</v>
      </c>
      <c r="P474" s="632"/>
      <c r="Q474" s="21">
        <f t="shared" ref="Q474:Q524" si="92">(SUMIF($17:$17,P474,$18:$18)-SUMIF($17:$17,$P$24,$18:$18)+100)/100</f>
        <v>1</v>
      </c>
      <c r="R474" s="21">
        <f t="shared" ref="R474:R524" si="93">IF(B474="",0,ROUND($R$24*C474*E474*G474*I474*K474*M474*O474*Q474,0))</f>
        <v>162430</v>
      </c>
      <c r="S474" s="306">
        <f t="shared" si="84"/>
        <v>530</v>
      </c>
    </row>
    <row r="475" spans="1:19">
      <c r="A475" s="3180">
        <f>面积!B1130</f>
        <v>-1455</v>
      </c>
      <c r="B475" s="3181">
        <f>面积!C1130</f>
        <v>32.61</v>
      </c>
      <c r="C475" s="21">
        <f t="shared" si="85"/>
        <v>1</v>
      </c>
      <c r="D475" s="632"/>
      <c r="E475" s="21">
        <f t="shared" si="86"/>
        <v>1</v>
      </c>
      <c r="F475" s="632"/>
      <c r="G475" s="21">
        <f t="shared" si="87"/>
        <v>1</v>
      </c>
      <c r="H475" s="632"/>
      <c r="I475" s="21">
        <f t="shared" si="88"/>
        <v>1</v>
      </c>
      <c r="J475" s="632"/>
      <c r="K475" s="21">
        <f t="shared" si="89"/>
        <v>1</v>
      </c>
      <c r="L475" s="632"/>
      <c r="M475" s="21">
        <f t="shared" si="90"/>
        <v>1</v>
      </c>
      <c r="N475" s="632"/>
      <c r="O475" s="21">
        <f t="shared" si="91"/>
        <v>1</v>
      </c>
      <c r="P475" s="632"/>
      <c r="Q475" s="21">
        <f t="shared" si="92"/>
        <v>1</v>
      </c>
      <c r="R475" s="21">
        <f t="shared" si="93"/>
        <v>162430</v>
      </c>
      <c r="S475" s="306">
        <f t="shared" si="84"/>
        <v>530</v>
      </c>
    </row>
    <row r="476" spans="1:19">
      <c r="A476" s="3180">
        <f>面积!B1131</f>
        <v>-1456</v>
      </c>
      <c r="B476" s="3181">
        <f>面积!C1131</f>
        <v>32.61</v>
      </c>
      <c r="C476" s="21">
        <f t="shared" si="85"/>
        <v>1</v>
      </c>
      <c r="D476" s="632"/>
      <c r="E476" s="21">
        <f t="shared" si="86"/>
        <v>1</v>
      </c>
      <c r="F476" s="632"/>
      <c r="G476" s="21">
        <f t="shared" si="87"/>
        <v>1</v>
      </c>
      <c r="H476" s="632"/>
      <c r="I476" s="21">
        <f t="shared" si="88"/>
        <v>1</v>
      </c>
      <c r="J476" s="632"/>
      <c r="K476" s="21">
        <f t="shared" si="89"/>
        <v>1</v>
      </c>
      <c r="L476" s="632"/>
      <c r="M476" s="21">
        <f t="shared" si="90"/>
        <v>1</v>
      </c>
      <c r="N476" s="632"/>
      <c r="O476" s="21">
        <f t="shared" si="91"/>
        <v>1</v>
      </c>
      <c r="P476" s="632"/>
      <c r="Q476" s="21">
        <f t="shared" si="92"/>
        <v>1</v>
      </c>
      <c r="R476" s="21">
        <f t="shared" si="93"/>
        <v>162430</v>
      </c>
      <c r="S476" s="306">
        <f t="shared" si="84"/>
        <v>530</v>
      </c>
    </row>
    <row r="477" spans="1:19">
      <c r="A477" s="3180">
        <f>面积!B1132</f>
        <v>-1457</v>
      </c>
      <c r="B477" s="3181">
        <f>面积!C1132</f>
        <v>32.61</v>
      </c>
      <c r="C477" s="21">
        <f t="shared" si="85"/>
        <v>1</v>
      </c>
      <c r="D477" s="632"/>
      <c r="E477" s="21">
        <f t="shared" si="86"/>
        <v>1</v>
      </c>
      <c r="F477" s="632"/>
      <c r="G477" s="21">
        <f t="shared" si="87"/>
        <v>1</v>
      </c>
      <c r="H477" s="632"/>
      <c r="I477" s="21">
        <f t="shared" si="88"/>
        <v>1</v>
      </c>
      <c r="J477" s="632"/>
      <c r="K477" s="21">
        <f t="shared" si="89"/>
        <v>1</v>
      </c>
      <c r="L477" s="632"/>
      <c r="M477" s="21">
        <f t="shared" si="90"/>
        <v>1</v>
      </c>
      <c r="N477" s="632"/>
      <c r="O477" s="21">
        <f t="shared" si="91"/>
        <v>1</v>
      </c>
      <c r="P477" s="632"/>
      <c r="Q477" s="21">
        <f t="shared" si="92"/>
        <v>1</v>
      </c>
      <c r="R477" s="21">
        <f t="shared" si="93"/>
        <v>162430</v>
      </c>
      <c r="S477" s="306">
        <f t="shared" si="84"/>
        <v>530</v>
      </c>
    </row>
    <row r="478" spans="1:19">
      <c r="A478" s="3180">
        <f>面积!B1133</f>
        <v>-1458</v>
      </c>
      <c r="B478" s="3181">
        <f>面积!C1133</f>
        <v>32.61</v>
      </c>
      <c r="C478" s="21">
        <f t="shared" si="85"/>
        <v>1</v>
      </c>
      <c r="D478" s="632"/>
      <c r="E478" s="21">
        <f t="shared" si="86"/>
        <v>1</v>
      </c>
      <c r="F478" s="632"/>
      <c r="G478" s="21">
        <f t="shared" si="87"/>
        <v>1</v>
      </c>
      <c r="H478" s="632"/>
      <c r="I478" s="21">
        <f t="shared" si="88"/>
        <v>1</v>
      </c>
      <c r="J478" s="632"/>
      <c r="K478" s="21">
        <f t="shared" si="89"/>
        <v>1</v>
      </c>
      <c r="L478" s="632"/>
      <c r="M478" s="21">
        <f t="shared" si="90"/>
        <v>1</v>
      </c>
      <c r="N478" s="632"/>
      <c r="O478" s="21">
        <f t="shared" si="91"/>
        <v>1</v>
      </c>
      <c r="P478" s="632"/>
      <c r="Q478" s="21">
        <f t="shared" si="92"/>
        <v>1</v>
      </c>
      <c r="R478" s="21">
        <f t="shared" si="93"/>
        <v>162430</v>
      </c>
      <c r="S478" s="306">
        <f t="shared" si="84"/>
        <v>530</v>
      </c>
    </row>
    <row r="479" spans="1:19">
      <c r="A479" s="3180">
        <f>面积!B1134</f>
        <v>-1459</v>
      </c>
      <c r="B479" s="3181">
        <f>面积!C1134</f>
        <v>32.61</v>
      </c>
      <c r="C479" s="21">
        <f t="shared" si="85"/>
        <v>1</v>
      </c>
      <c r="D479" s="632"/>
      <c r="E479" s="21">
        <f t="shared" si="86"/>
        <v>1</v>
      </c>
      <c r="F479" s="632"/>
      <c r="G479" s="21">
        <f t="shared" si="87"/>
        <v>1</v>
      </c>
      <c r="H479" s="632"/>
      <c r="I479" s="21">
        <f t="shared" si="88"/>
        <v>1</v>
      </c>
      <c r="J479" s="632"/>
      <c r="K479" s="21">
        <f t="shared" si="89"/>
        <v>1</v>
      </c>
      <c r="L479" s="632"/>
      <c r="M479" s="21">
        <f t="shared" si="90"/>
        <v>1</v>
      </c>
      <c r="N479" s="632"/>
      <c r="O479" s="21">
        <f t="shared" si="91"/>
        <v>1</v>
      </c>
      <c r="P479" s="632"/>
      <c r="Q479" s="21">
        <f t="shared" si="92"/>
        <v>1</v>
      </c>
      <c r="R479" s="21">
        <f t="shared" si="93"/>
        <v>162430</v>
      </c>
      <c r="S479" s="306">
        <f t="shared" si="84"/>
        <v>530</v>
      </c>
    </row>
    <row r="480" spans="1:19">
      <c r="A480" s="3180">
        <f>面积!B1135</f>
        <v>-1460</v>
      </c>
      <c r="B480" s="3181">
        <f>面积!C1135</f>
        <v>32.61</v>
      </c>
      <c r="C480" s="21">
        <f t="shared" si="85"/>
        <v>1</v>
      </c>
      <c r="D480" s="632"/>
      <c r="E480" s="21">
        <f t="shared" si="86"/>
        <v>1</v>
      </c>
      <c r="F480" s="632"/>
      <c r="G480" s="21">
        <f t="shared" si="87"/>
        <v>1</v>
      </c>
      <c r="H480" s="632"/>
      <c r="I480" s="21">
        <f t="shared" si="88"/>
        <v>1</v>
      </c>
      <c r="J480" s="632"/>
      <c r="K480" s="21">
        <f t="shared" si="89"/>
        <v>1</v>
      </c>
      <c r="L480" s="632"/>
      <c r="M480" s="21">
        <f t="shared" si="90"/>
        <v>1</v>
      </c>
      <c r="N480" s="632"/>
      <c r="O480" s="21">
        <f t="shared" si="91"/>
        <v>1</v>
      </c>
      <c r="P480" s="632"/>
      <c r="Q480" s="21">
        <f t="shared" si="92"/>
        <v>1</v>
      </c>
      <c r="R480" s="21">
        <f t="shared" si="93"/>
        <v>162430</v>
      </c>
      <c r="S480" s="306">
        <f t="shared" si="84"/>
        <v>530</v>
      </c>
    </row>
    <row r="481" spans="1:19">
      <c r="A481" s="3180">
        <f>面积!B1136</f>
        <v>-1461</v>
      </c>
      <c r="B481" s="3181">
        <f>面积!C1136</f>
        <v>32.61</v>
      </c>
      <c r="C481" s="21">
        <f t="shared" si="85"/>
        <v>1</v>
      </c>
      <c r="D481" s="632"/>
      <c r="E481" s="21">
        <f t="shared" si="86"/>
        <v>1</v>
      </c>
      <c r="F481" s="632"/>
      <c r="G481" s="21">
        <f t="shared" si="87"/>
        <v>1</v>
      </c>
      <c r="H481" s="632"/>
      <c r="I481" s="21">
        <f t="shared" si="88"/>
        <v>1</v>
      </c>
      <c r="J481" s="632"/>
      <c r="K481" s="21">
        <f t="shared" si="89"/>
        <v>1</v>
      </c>
      <c r="L481" s="632"/>
      <c r="M481" s="21">
        <f t="shared" si="90"/>
        <v>1</v>
      </c>
      <c r="N481" s="632"/>
      <c r="O481" s="21">
        <f t="shared" si="91"/>
        <v>1</v>
      </c>
      <c r="P481" s="632"/>
      <c r="Q481" s="21">
        <f t="shared" si="92"/>
        <v>1</v>
      </c>
      <c r="R481" s="21">
        <f t="shared" si="93"/>
        <v>162430</v>
      </c>
      <c r="S481" s="306">
        <f t="shared" si="84"/>
        <v>530</v>
      </c>
    </row>
    <row r="482" spans="1:19">
      <c r="A482" s="3180">
        <f>面积!B1137</f>
        <v>-1462</v>
      </c>
      <c r="B482" s="3181">
        <f>面积!C1137</f>
        <v>32.61</v>
      </c>
      <c r="C482" s="21">
        <f t="shared" si="85"/>
        <v>1</v>
      </c>
      <c r="D482" s="632"/>
      <c r="E482" s="21">
        <f t="shared" si="86"/>
        <v>1</v>
      </c>
      <c r="F482" s="632"/>
      <c r="G482" s="21">
        <f t="shared" si="87"/>
        <v>1</v>
      </c>
      <c r="H482" s="632"/>
      <c r="I482" s="21">
        <f t="shared" si="88"/>
        <v>1</v>
      </c>
      <c r="J482" s="632"/>
      <c r="K482" s="21">
        <f t="shared" si="89"/>
        <v>1</v>
      </c>
      <c r="L482" s="632"/>
      <c r="M482" s="21">
        <f t="shared" si="90"/>
        <v>1</v>
      </c>
      <c r="N482" s="632"/>
      <c r="O482" s="21">
        <f t="shared" si="91"/>
        <v>1</v>
      </c>
      <c r="P482" s="632"/>
      <c r="Q482" s="21">
        <f t="shared" si="92"/>
        <v>1</v>
      </c>
      <c r="R482" s="21">
        <f t="shared" si="93"/>
        <v>162430</v>
      </c>
      <c r="S482" s="306">
        <f t="shared" si="84"/>
        <v>530</v>
      </c>
    </row>
    <row r="483" spans="1:19">
      <c r="A483" s="3180">
        <f>面积!B1138</f>
        <v>-1463</v>
      </c>
      <c r="B483" s="3181">
        <f>面积!C1138</f>
        <v>32.61</v>
      </c>
      <c r="C483" s="21">
        <f t="shared" si="85"/>
        <v>1</v>
      </c>
      <c r="D483" s="632"/>
      <c r="E483" s="21">
        <f t="shared" si="86"/>
        <v>1</v>
      </c>
      <c r="F483" s="632"/>
      <c r="G483" s="21">
        <f t="shared" si="87"/>
        <v>1</v>
      </c>
      <c r="H483" s="632"/>
      <c r="I483" s="21">
        <f t="shared" si="88"/>
        <v>1</v>
      </c>
      <c r="J483" s="632"/>
      <c r="K483" s="21">
        <f t="shared" si="89"/>
        <v>1</v>
      </c>
      <c r="L483" s="632"/>
      <c r="M483" s="21">
        <f t="shared" si="90"/>
        <v>1</v>
      </c>
      <c r="N483" s="632"/>
      <c r="O483" s="21">
        <f t="shared" si="91"/>
        <v>1</v>
      </c>
      <c r="P483" s="632"/>
      <c r="Q483" s="21">
        <f t="shared" si="92"/>
        <v>1</v>
      </c>
      <c r="R483" s="21">
        <f t="shared" si="93"/>
        <v>162430</v>
      </c>
      <c r="S483" s="306">
        <f t="shared" si="84"/>
        <v>530</v>
      </c>
    </row>
    <row r="484" spans="1:19">
      <c r="A484" s="3180">
        <f>面积!B1139</f>
        <v>-1464</v>
      </c>
      <c r="B484" s="3181">
        <f>面积!C1139</f>
        <v>32.61</v>
      </c>
      <c r="C484" s="21">
        <f t="shared" si="85"/>
        <v>1</v>
      </c>
      <c r="D484" s="632"/>
      <c r="E484" s="21">
        <f t="shared" si="86"/>
        <v>1</v>
      </c>
      <c r="F484" s="632"/>
      <c r="G484" s="21">
        <f t="shared" si="87"/>
        <v>1</v>
      </c>
      <c r="H484" s="632"/>
      <c r="I484" s="21">
        <f t="shared" si="88"/>
        <v>1</v>
      </c>
      <c r="J484" s="632"/>
      <c r="K484" s="21">
        <f t="shared" si="89"/>
        <v>1</v>
      </c>
      <c r="L484" s="632"/>
      <c r="M484" s="21">
        <f t="shared" si="90"/>
        <v>1</v>
      </c>
      <c r="N484" s="632"/>
      <c r="O484" s="21">
        <f t="shared" si="91"/>
        <v>1</v>
      </c>
      <c r="P484" s="632"/>
      <c r="Q484" s="21">
        <f t="shared" si="92"/>
        <v>1</v>
      </c>
      <c r="R484" s="21">
        <f t="shared" si="93"/>
        <v>162430</v>
      </c>
      <c r="S484" s="306">
        <f t="shared" si="84"/>
        <v>530</v>
      </c>
    </row>
    <row r="485" spans="1:19">
      <c r="A485" s="3180">
        <f>面积!B1140</f>
        <v>-1465</v>
      </c>
      <c r="B485" s="3181">
        <f>面积!C1140</f>
        <v>32.61</v>
      </c>
      <c r="C485" s="21">
        <f t="shared" si="85"/>
        <v>1</v>
      </c>
      <c r="D485" s="632"/>
      <c r="E485" s="21">
        <f t="shared" si="86"/>
        <v>1</v>
      </c>
      <c r="F485" s="632"/>
      <c r="G485" s="21">
        <f t="shared" si="87"/>
        <v>1</v>
      </c>
      <c r="H485" s="632"/>
      <c r="I485" s="21">
        <f t="shared" si="88"/>
        <v>1</v>
      </c>
      <c r="J485" s="632"/>
      <c r="K485" s="21">
        <f t="shared" si="89"/>
        <v>1</v>
      </c>
      <c r="L485" s="632"/>
      <c r="M485" s="21">
        <f t="shared" si="90"/>
        <v>1</v>
      </c>
      <c r="N485" s="632"/>
      <c r="O485" s="21">
        <f t="shared" si="91"/>
        <v>1</v>
      </c>
      <c r="P485" s="632"/>
      <c r="Q485" s="21">
        <f t="shared" si="92"/>
        <v>1</v>
      </c>
      <c r="R485" s="21">
        <f t="shared" si="93"/>
        <v>162430</v>
      </c>
      <c r="S485" s="306">
        <f t="shared" si="84"/>
        <v>530</v>
      </c>
    </row>
    <row r="486" spans="1:19">
      <c r="A486" s="3180">
        <f>面积!B1141</f>
        <v>-1466</v>
      </c>
      <c r="B486" s="3181">
        <f>面积!C1141</f>
        <v>32.61</v>
      </c>
      <c r="C486" s="21">
        <f t="shared" si="85"/>
        <v>1</v>
      </c>
      <c r="D486" s="632"/>
      <c r="E486" s="21">
        <f t="shared" si="86"/>
        <v>1</v>
      </c>
      <c r="F486" s="632"/>
      <c r="G486" s="21">
        <f t="shared" si="87"/>
        <v>1</v>
      </c>
      <c r="H486" s="632"/>
      <c r="I486" s="21">
        <f t="shared" si="88"/>
        <v>1</v>
      </c>
      <c r="J486" s="632"/>
      <c r="K486" s="21">
        <f t="shared" si="89"/>
        <v>1</v>
      </c>
      <c r="L486" s="632"/>
      <c r="M486" s="21">
        <f t="shared" si="90"/>
        <v>1</v>
      </c>
      <c r="N486" s="632"/>
      <c r="O486" s="21">
        <f t="shared" si="91"/>
        <v>1</v>
      </c>
      <c r="P486" s="632"/>
      <c r="Q486" s="21">
        <f t="shared" si="92"/>
        <v>1</v>
      </c>
      <c r="R486" s="21">
        <f t="shared" si="93"/>
        <v>162430</v>
      </c>
      <c r="S486" s="306">
        <f t="shared" si="84"/>
        <v>530</v>
      </c>
    </row>
    <row r="487" spans="1:19">
      <c r="A487" s="3180">
        <f>面积!B1142</f>
        <v>-1467</v>
      </c>
      <c r="B487" s="3181">
        <f>面积!C1142</f>
        <v>32.61</v>
      </c>
      <c r="C487" s="21">
        <f t="shared" si="85"/>
        <v>1</v>
      </c>
      <c r="D487" s="632"/>
      <c r="E487" s="21">
        <f t="shared" si="86"/>
        <v>1</v>
      </c>
      <c r="F487" s="632"/>
      <c r="G487" s="21">
        <f t="shared" si="87"/>
        <v>1</v>
      </c>
      <c r="H487" s="632"/>
      <c r="I487" s="21">
        <f t="shared" si="88"/>
        <v>1</v>
      </c>
      <c r="J487" s="632"/>
      <c r="K487" s="21">
        <f t="shared" si="89"/>
        <v>1</v>
      </c>
      <c r="L487" s="632"/>
      <c r="M487" s="21">
        <f t="shared" si="90"/>
        <v>1</v>
      </c>
      <c r="N487" s="632"/>
      <c r="O487" s="21">
        <f t="shared" si="91"/>
        <v>1</v>
      </c>
      <c r="P487" s="632"/>
      <c r="Q487" s="21">
        <f t="shared" si="92"/>
        <v>1</v>
      </c>
      <c r="R487" s="21">
        <f t="shared" si="93"/>
        <v>162430</v>
      </c>
      <c r="S487" s="306">
        <f t="shared" si="84"/>
        <v>530</v>
      </c>
    </row>
    <row r="488" spans="1:19">
      <c r="A488" s="3180">
        <f>面积!B1143</f>
        <v>-1468</v>
      </c>
      <c r="B488" s="3181">
        <f>面积!C1143</f>
        <v>32.61</v>
      </c>
      <c r="C488" s="21">
        <f t="shared" si="85"/>
        <v>1</v>
      </c>
      <c r="D488" s="632"/>
      <c r="E488" s="21">
        <f t="shared" si="86"/>
        <v>1</v>
      </c>
      <c r="F488" s="632"/>
      <c r="G488" s="21">
        <f t="shared" si="87"/>
        <v>1</v>
      </c>
      <c r="H488" s="632"/>
      <c r="I488" s="21">
        <f t="shared" si="88"/>
        <v>1</v>
      </c>
      <c r="J488" s="632"/>
      <c r="K488" s="21">
        <f t="shared" si="89"/>
        <v>1</v>
      </c>
      <c r="L488" s="632"/>
      <c r="M488" s="21">
        <f t="shared" si="90"/>
        <v>1</v>
      </c>
      <c r="N488" s="632"/>
      <c r="O488" s="21">
        <f t="shared" si="91"/>
        <v>1</v>
      </c>
      <c r="P488" s="632"/>
      <c r="Q488" s="21">
        <f t="shared" si="92"/>
        <v>1</v>
      </c>
      <c r="R488" s="21">
        <f t="shared" si="93"/>
        <v>162430</v>
      </c>
      <c r="S488" s="306">
        <f t="shared" si="84"/>
        <v>530</v>
      </c>
    </row>
    <row r="489" spans="1:19">
      <c r="A489" s="3180">
        <f>面积!B1144</f>
        <v>-1469</v>
      </c>
      <c r="B489" s="3181">
        <f>面积!C1144</f>
        <v>32.61</v>
      </c>
      <c r="C489" s="21">
        <f t="shared" si="85"/>
        <v>1</v>
      </c>
      <c r="D489" s="632"/>
      <c r="E489" s="21">
        <f t="shared" si="86"/>
        <v>1</v>
      </c>
      <c r="F489" s="632"/>
      <c r="G489" s="21">
        <f t="shared" si="87"/>
        <v>1</v>
      </c>
      <c r="H489" s="632"/>
      <c r="I489" s="21">
        <f t="shared" si="88"/>
        <v>1</v>
      </c>
      <c r="J489" s="632"/>
      <c r="K489" s="21">
        <f t="shared" si="89"/>
        <v>1</v>
      </c>
      <c r="L489" s="632"/>
      <c r="M489" s="21">
        <f t="shared" si="90"/>
        <v>1</v>
      </c>
      <c r="N489" s="632"/>
      <c r="O489" s="21">
        <f t="shared" si="91"/>
        <v>1</v>
      </c>
      <c r="P489" s="632"/>
      <c r="Q489" s="21">
        <f t="shared" si="92"/>
        <v>1</v>
      </c>
      <c r="R489" s="21">
        <f t="shared" si="93"/>
        <v>162430</v>
      </c>
      <c r="S489" s="306">
        <f t="shared" si="84"/>
        <v>530</v>
      </c>
    </row>
    <row r="490" spans="1:19">
      <c r="A490" s="3180">
        <f>面积!B1145</f>
        <v>-1470</v>
      </c>
      <c r="B490" s="3181">
        <f>面积!C1145</f>
        <v>32.61</v>
      </c>
      <c r="C490" s="21">
        <f t="shared" si="85"/>
        <v>1</v>
      </c>
      <c r="D490" s="632"/>
      <c r="E490" s="21">
        <f t="shared" si="86"/>
        <v>1</v>
      </c>
      <c r="F490" s="632"/>
      <c r="G490" s="21">
        <f t="shared" si="87"/>
        <v>1</v>
      </c>
      <c r="H490" s="632"/>
      <c r="I490" s="21">
        <f t="shared" si="88"/>
        <v>1</v>
      </c>
      <c r="J490" s="632"/>
      <c r="K490" s="21">
        <f t="shared" si="89"/>
        <v>1</v>
      </c>
      <c r="L490" s="632"/>
      <c r="M490" s="21">
        <f t="shared" si="90"/>
        <v>1</v>
      </c>
      <c r="N490" s="632"/>
      <c r="O490" s="21">
        <f t="shared" si="91"/>
        <v>1</v>
      </c>
      <c r="P490" s="632"/>
      <c r="Q490" s="21">
        <f t="shared" si="92"/>
        <v>1</v>
      </c>
      <c r="R490" s="21">
        <f t="shared" si="93"/>
        <v>162430</v>
      </c>
      <c r="S490" s="306">
        <f t="shared" si="84"/>
        <v>530</v>
      </c>
    </row>
    <row r="491" spans="1:19">
      <c r="A491" s="3180">
        <f>面积!B1146</f>
        <v>-1471</v>
      </c>
      <c r="B491" s="3181">
        <f>面积!C1146</f>
        <v>32.61</v>
      </c>
      <c r="C491" s="21">
        <f t="shared" si="85"/>
        <v>1</v>
      </c>
      <c r="D491" s="632"/>
      <c r="E491" s="21">
        <f t="shared" si="86"/>
        <v>1</v>
      </c>
      <c r="F491" s="632"/>
      <c r="G491" s="21">
        <f t="shared" si="87"/>
        <v>1</v>
      </c>
      <c r="H491" s="632"/>
      <c r="I491" s="21">
        <f t="shared" si="88"/>
        <v>1</v>
      </c>
      <c r="J491" s="632"/>
      <c r="K491" s="21">
        <f t="shared" si="89"/>
        <v>1</v>
      </c>
      <c r="L491" s="632"/>
      <c r="M491" s="21">
        <f t="shared" si="90"/>
        <v>1</v>
      </c>
      <c r="N491" s="632"/>
      <c r="O491" s="21">
        <f t="shared" si="91"/>
        <v>1</v>
      </c>
      <c r="P491" s="632"/>
      <c r="Q491" s="21">
        <f t="shared" si="92"/>
        <v>1</v>
      </c>
      <c r="R491" s="21">
        <f t="shared" si="93"/>
        <v>162430</v>
      </c>
      <c r="S491" s="306">
        <f t="shared" si="84"/>
        <v>530</v>
      </c>
    </row>
    <row r="492" spans="1:19">
      <c r="A492" s="3180">
        <f>面积!B1147</f>
        <v>-1472</v>
      </c>
      <c r="B492" s="3181">
        <f>面积!C1147</f>
        <v>32.61</v>
      </c>
      <c r="C492" s="21">
        <f t="shared" si="85"/>
        <v>1</v>
      </c>
      <c r="D492" s="632"/>
      <c r="E492" s="21">
        <f t="shared" si="86"/>
        <v>1</v>
      </c>
      <c r="F492" s="632"/>
      <c r="G492" s="21">
        <f t="shared" si="87"/>
        <v>1</v>
      </c>
      <c r="H492" s="632"/>
      <c r="I492" s="21">
        <f t="shared" si="88"/>
        <v>1</v>
      </c>
      <c r="J492" s="632"/>
      <c r="K492" s="21">
        <f t="shared" si="89"/>
        <v>1</v>
      </c>
      <c r="L492" s="632"/>
      <c r="M492" s="21">
        <f t="shared" si="90"/>
        <v>1</v>
      </c>
      <c r="N492" s="632"/>
      <c r="O492" s="21">
        <f t="shared" si="91"/>
        <v>1</v>
      </c>
      <c r="P492" s="632"/>
      <c r="Q492" s="21">
        <f t="shared" si="92"/>
        <v>1</v>
      </c>
      <c r="R492" s="21">
        <f t="shared" si="93"/>
        <v>162430</v>
      </c>
      <c r="S492" s="306">
        <f t="shared" si="84"/>
        <v>530</v>
      </c>
    </row>
    <row r="493" spans="1:19">
      <c r="A493" s="3180">
        <f>面积!B1148</f>
        <v>-1473</v>
      </c>
      <c r="B493" s="3181">
        <f>面积!C1148</f>
        <v>32.61</v>
      </c>
      <c r="C493" s="21">
        <f t="shared" si="85"/>
        <v>1</v>
      </c>
      <c r="D493" s="632"/>
      <c r="E493" s="21">
        <f t="shared" si="86"/>
        <v>1</v>
      </c>
      <c r="F493" s="632"/>
      <c r="G493" s="21">
        <f t="shared" si="87"/>
        <v>1</v>
      </c>
      <c r="H493" s="632"/>
      <c r="I493" s="21">
        <f t="shared" si="88"/>
        <v>1</v>
      </c>
      <c r="J493" s="632"/>
      <c r="K493" s="21">
        <f t="shared" si="89"/>
        <v>1</v>
      </c>
      <c r="L493" s="632"/>
      <c r="M493" s="21">
        <f t="shared" si="90"/>
        <v>1</v>
      </c>
      <c r="N493" s="632"/>
      <c r="O493" s="21">
        <f t="shared" si="91"/>
        <v>1</v>
      </c>
      <c r="P493" s="632"/>
      <c r="Q493" s="21">
        <f t="shared" si="92"/>
        <v>1</v>
      </c>
      <c r="R493" s="21">
        <f t="shared" si="93"/>
        <v>162430</v>
      </c>
      <c r="S493" s="306">
        <f t="shared" si="84"/>
        <v>530</v>
      </c>
    </row>
    <row r="494" spans="1:19">
      <c r="A494" s="3180">
        <f>面积!B1149</f>
        <v>-1474</v>
      </c>
      <c r="B494" s="3181">
        <f>面积!C1149</f>
        <v>32.61</v>
      </c>
      <c r="C494" s="21">
        <f t="shared" si="85"/>
        <v>1</v>
      </c>
      <c r="D494" s="632"/>
      <c r="E494" s="21">
        <f t="shared" si="86"/>
        <v>1</v>
      </c>
      <c r="F494" s="632"/>
      <c r="G494" s="21">
        <f t="shared" si="87"/>
        <v>1</v>
      </c>
      <c r="H494" s="632"/>
      <c r="I494" s="21">
        <f t="shared" si="88"/>
        <v>1</v>
      </c>
      <c r="J494" s="632"/>
      <c r="K494" s="21">
        <f t="shared" si="89"/>
        <v>1</v>
      </c>
      <c r="L494" s="632"/>
      <c r="M494" s="21">
        <f t="shared" si="90"/>
        <v>1</v>
      </c>
      <c r="N494" s="632"/>
      <c r="O494" s="21">
        <f t="shared" si="91"/>
        <v>1</v>
      </c>
      <c r="P494" s="632"/>
      <c r="Q494" s="21">
        <f t="shared" si="92"/>
        <v>1</v>
      </c>
      <c r="R494" s="21">
        <f t="shared" si="93"/>
        <v>162430</v>
      </c>
      <c r="S494" s="306">
        <f t="shared" si="84"/>
        <v>530</v>
      </c>
    </row>
    <row r="495" spans="1:19">
      <c r="A495" s="3180">
        <f>面积!B1150</f>
        <v>-1475</v>
      </c>
      <c r="B495" s="3181">
        <f>面积!C1150</f>
        <v>32.61</v>
      </c>
      <c r="C495" s="21">
        <f t="shared" si="85"/>
        <v>1</v>
      </c>
      <c r="D495" s="632"/>
      <c r="E495" s="21">
        <f t="shared" si="86"/>
        <v>1</v>
      </c>
      <c r="F495" s="632"/>
      <c r="G495" s="21">
        <f t="shared" si="87"/>
        <v>1</v>
      </c>
      <c r="H495" s="632"/>
      <c r="I495" s="21">
        <f t="shared" si="88"/>
        <v>1</v>
      </c>
      <c r="J495" s="632"/>
      <c r="K495" s="21">
        <f t="shared" si="89"/>
        <v>1</v>
      </c>
      <c r="L495" s="632"/>
      <c r="M495" s="21">
        <f t="shared" si="90"/>
        <v>1</v>
      </c>
      <c r="N495" s="632"/>
      <c r="O495" s="21">
        <f t="shared" si="91"/>
        <v>1</v>
      </c>
      <c r="P495" s="632"/>
      <c r="Q495" s="21">
        <f t="shared" si="92"/>
        <v>1</v>
      </c>
      <c r="R495" s="21">
        <f t="shared" si="93"/>
        <v>162430</v>
      </c>
      <c r="S495" s="306">
        <f t="shared" si="84"/>
        <v>530</v>
      </c>
    </row>
    <row r="496" spans="1:19">
      <c r="A496" s="3180">
        <f>面积!B1151</f>
        <v>-1476</v>
      </c>
      <c r="B496" s="3181">
        <f>面积!C1151</f>
        <v>32.61</v>
      </c>
      <c r="C496" s="21">
        <f t="shared" si="85"/>
        <v>1</v>
      </c>
      <c r="D496" s="632"/>
      <c r="E496" s="21">
        <f t="shared" si="86"/>
        <v>1</v>
      </c>
      <c r="F496" s="632"/>
      <c r="G496" s="21">
        <f t="shared" si="87"/>
        <v>1</v>
      </c>
      <c r="H496" s="632"/>
      <c r="I496" s="21">
        <f t="shared" si="88"/>
        <v>1</v>
      </c>
      <c r="J496" s="632"/>
      <c r="K496" s="21">
        <f t="shared" si="89"/>
        <v>1</v>
      </c>
      <c r="L496" s="632"/>
      <c r="M496" s="21">
        <f t="shared" si="90"/>
        <v>1</v>
      </c>
      <c r="N496" s="632"/>
      <c r="O496" s="21">
        <f t="shared" si="91"/>
        <v>1</v>
      </c>
      <c r="P496" s="632"/>
      <c r="Q496" s="21">
        <f t="shared" si="92"/>
        <v>1</v>
      </c>
      <c r="R496" s="21">
        <f t="shared" si="93"/>
        <v>162430</v>
      </c>
      <c r="S496" s="306">
        <f t="shared" si="84"/>
        <v>530</v>
      </c>
    </row>
    <row r="497" spans="1:19">
      <c r="A497" s="3180">
        <f>面积!B1152</f>
        <v>-1477</v>
      </c>
      <c r="B497" s="3181">
        <f>面积!C1152</f>
        <v>32.61</v>
      </c>
      <c r="C497" s="21">
        <f t="shared" si="85"/>
        <v>1</v>
      </c>
      <c r="D497" s="632"/>
      <c r="E497" s="21">
        <f t="shared" si="86"/>
        <v>1</v>
      </c>
      <c r="F497" s="632"/>
      <c r="G497" s="21">
        <f t="shared" si="87"/>
        <v>1</v>
      </c>
      <c r="H497" s="632"/>
      <c r="I497" s="21">
        <f t="shared" si="88"/>
        <v>1</v>
      </c>
      <c r="J497" s="632"/>
      <c r="K497" s="21">
        <f t="shared" si="89"/>
        <v>1</v>
      </c>
      <c r="L497" s="632"/>
      <c r="M497" s="21">
        <f t="shared" si="90"/>
        <v>1</v>
      </c>
      <c r="N497" s="632"/>
      <c r="O497" s="21">
        <f t="shared" si="91"/>
        <v>1</v>
      </c>
      <c r="P497" s="632"/>
      <c r="Q497" s="21">
        <f t="shared" si="92"/>
        <v>1</v>
      </c>
      <c r="R497" s="21">
        <f t="shared" si="93"/>
        <v>162430</v>
      </c>
      <c r="S497" s="306">
        <f t="shared" si="84"/>
        <v>530</v>
      </c>
    </row>
    <row r="498" spans="1:19">
      <c r="A498" s="3180">
        <f>面积!B1153</f>
        <v>-1478</v>
      </c>
      <c r="B498" s="3181">
        <f>面积!C1153</f>
        <v>32.61</v>
      </c>
      <c r="C498" s="21">
        <f t="shared" si="85"/>
        <v>1</v>
      </c>
      <c r="D498" s="632"/>
      <c r="E498" s="21">
        <f t="shared" si="86"/>
        <v>1</v>
      </c>
      <c r="F498" s="632"/>
      <c r="G498" s="21">
        <f t="shared" si="87"/>
        <v>1</v>
      </c>
      <c r="H498" s="632"/>
      <c r="I498" s="21">
        <f t="shared" si="88"/>
        <v>1</v>
      </c>
      <c r="J498" s="632"/>
      <c r="K498" s="21">
        <f t="shared" si="89"/>
        <v>1</v>
      </c>
      <c r="L498" s="632"/>
      <c r="M498" s="21">
        <f t="shared" si="90"/>
        <v>1</v>
      </c>
      <c r="N498" s="632"/>
      <c r="O498" s="21">
        <f t="shared" si="91"/>
        <v>1</v>
      </c>
      <c r="P498" s="632"/>
      <c r="Q498" s="21">
        <f t="shared" si="92"/>
        <v>1</v>
      </c>
      <c r="R498" s="21">
        <f t="shared" si="93"/>
        <v>162430</v>
      </c>
      <c r="S498" s="306">
        <f t="shared" ref="S498:S524" si="94">ROUND(R498*B498/10000,0)</f>
        <v>530</v>
      </c>
    </row>
    <row r="499" spans="1:19">
      <c r="A499" s="3180">
        <f>面积!B1154</f>
        <v>-1479</v>
      </c>
      <c r="B499" s="3181">
        <f>面积!C1154</f>
        <v>32.61</v>
      </c>
      <c r="C499" s="21">
        <f t="shared" si="85"/>
        <v>1</v>
      </c>
      <c r="D499" s="632"/>
      <c r="E499" s="21">
        <f t="shared" si="86"/>
        <v>1</v>
      </c>
      <c r="F499" s="632"/>
      <c r="G499" s="21">
        <f t="shared" si="87"/>
        <v>1</v>
      </c>
      <c r="H499" s="632"/>
      <c r="I499" s="21">
        <f t="shared" si="88"/>
        <v>1</v>
      </c>
      <c r="J499" s="632"/>
      <c r="K499" s="21">
        <f t="shared" si="89"/>
        <v>1</v>
      </c>
      <c r="L499" s="632"/>
      <c r="M499" s="21">
        <f t="shared" si="90"/>
        <v>1</v>
      </c>
      <c r="N499" s="632"/>
      <c r="O499" s="21">
        <f t="shared" si="91"/>
        <v>1</v>
      </c>
      <c r="P499" s="632"/>
      <c r="Q499" s="21">
        <f t="shared" si="92"/>
        <v>1</v>
      </c>
      <c r="R499" s="21">
        <f t="shared" si="93"/>
        <v>162430</v>
      </c>
      <c r="S499" s="306">
        <f t="shared" si="94"/>
        <v>530</v>
      </c>
    </row>
    <row r="500" spans="1:19">
      <c r="A500" s="3180">
        <f>面积!B1155</f>
        <v>-1480</v>
      </c>
      <c r="B500" s="3181">
        <f>面积!C1155</f>
        <v>32.61</v>
      </c>
      <c r="C500" s="21">
        <f t="shared" si="85"/>
        <v>1</v>
      </c>
      <c r="D500" s="632"/>
      <c r="E500" s="21">
        <f t="shared" si="86"/>
        <v>1</v>
      </c>
      <c r="F500" s="632"/>
      <c r="G500" s="21">
        <f t="shared" si="87"/>
        <v>1</v>
      </c>
      <c r="H500" s="632"/>
      <c r="I500" s="21">
        <f t="shared" si="88"/>
        <v>1</v>
      </c>
      <c r="J500" s="632"/>
      <c r="K500" s="21">
        <f t="shared" si="89"/>
        <v>1</v>
      </c>
      <c r="L500" s="632"/>
      <c r="M500" s="21">
        <f t="shared" si="90"/>
        <v>1</v>
      </c>
      <c r="N500" s="632"/>
      <c r="O500" s="21">
        <f t="shared" si="91"/>
        <v>1</v>
      </c>
      <c r="P500" s="632"/>
      <c r="Q500" s="21">
        <f t="shared" si="92"/>
        <v>1</v>
      </c>
      <c r="R500" s="21">
        <f t="shared" si="93"/>
        <v>162430</v>
      </c>
      <c r="S500" s="306">
        <f t="shared" si="94"/>
        <v>530</v>
      </c>
    </row>
    <row r="501" spans="1:19">
      <c r="A501" s="3180">
        <f>面积!B1156</f>
        <v>-1481</v>
      </c>
      <c r="B501" s="3181">
        <f>面积!C1156</f>
        <v>32.61</v>
      </c>
      <c r="C501" s="21">
        <f t="shared" si="85"/>
        <v>1</v>
      </c>
      <c r="D501" s="632"/>
      <c r="E501" s="21">
        <f t="shared" si="86"/>
        <v>1</v>
      </c>
      <c r="F501" s="632"/>
      <c r="G501" s="21">
        <f t="shared" si="87"/>
        <v>1</v>
      </c>
      <c r="H501" s="632"/>
      <c r="I501" s="21">
        <f t="shared" si="88"/>
        <v>1</v>
      </c>
      <c r="J501" s="632"/>
      <c r="K501" s="21">
        <f t="shared" si="89"/>
        <v>1</v>
      </c>
      <c r="L501" s="632"/>
      <c r="M501" s="21">
        <f t="shared" si="90"/>
        <v>1</v>
      </c>
      <c r="N501" s="632"/>
      <c r="O501" s="21">
        <f t="shared" si="91"/>
        <v>1</v>
      </c>
      <c r="P501" s="632"/>
      <c r="Q501" s="21">
        <f t="shared" si="92"/>
        <v>1</v>
      </c>
      <c r="R501" s="21">
        <f t="shared" si="93"/>
        <v>162430</v>
      </c>
      <c r="S501" s="306">
        <f t="shared" si="94"/>
        <v>530</v>
      </c>
    </row>
    <row r="502" spans="1:19">
      <c r="A502" s="3180">
        <f>面积!B1157</f>
        <v>-1482</v>
      </c>
      <c r="B502" s="3181">
        <f>面积!C1157</f>
        <v>32.61</v>
      </c>
      <c r="C502" s="21">
        <f t="shared" si="85"/>
        <v>1</v>
      </c>
      <c r="D502" s="632"/>
      <c r="E502" s="21">
        <f t="shared" si="86"/>
        <v>1</v>
      </c>
      <c r="F502" s="632"/>
      <c r="G502" s="21">
        <f t="shared" si="87"/>
        <v>1</v>
      </c>
      <c r="H502" s="632"/>
      <c r="I502" s="21">
        <f t="shared" si="88"/>
        <v>1</v>
      </c>
      <c r="J502" s="632"/>
      <c r="K502" s="21">
        <f t="shared" si="89"/>
        <v>1</v>
      </c>
      <c r="L502" s="632"/>
      <c r="M502" s="21">
        <f t="shared" si="90"/>
        <v>1</v>
      </c>
      <c r="N502" s="632"/>
      <c r="O502" s="21">
        <f t="shared" si="91"/>
        <v>1</v>
      </c>
      <c r="P502" s="632"/>
      <c r="Q502" s="21">
        <f t="shared" si="92"/>
        <v>1</v>
      </c>
      <c r="R502" s="21">
        <f t="shared" si="93"/>
        <v>162430</v>
      </c>
      <c r="S502" s="306">
        <f t="shared" si="94"/>
        <v>530</v>
      </c>
    </row>
    <row r="503" spans="1:19">
      <c r="A503" s="3180">
        <f>面积!B1158</f>
        <v>-1483</v>
      </c>
      <c r="B503" s="3181">
        <f>面积!C1158</f>
        <v>32.61</v>
      </c>
      <c r="C503" s="21">
        <f t="shared" si="85"/>
        <v>1</v>
      </c>
      <c r="D503" s="632"/>
      <c r="E503" s="21">
        <f t="shared" si="86"/>
        <v>1</v>
      </c>
      <c r="F503" s="632"/>
      <c r="G503" s="21">
        <f t="shared" si="87"/>
        <v>1</v>
      </c>
      <c r="H503" s="632"/>
      <c r="I503" s="21">
        <f t="shared" si="88"/>
        <v>1</v>
      </c>
      <c r="J503" s="632"/>
      <c r="K503" s="21">
        <f t="shared" si="89"/>
        <v>1</v>
      </c>
      <c r="L503" s="632"/>
      <c r="M503" s="21">
        <f t="shared" si="90"/>
        <v>1</v>
      </c>
      <c r="N503" s="632"/>
      <c r="O503" s="21">
        <f t="shared" si="91"/>
        <v>1</v>
      </c>
      <c r="P503" s="632"/>
      <c r="Q503" s="21">
        <f t="shared" si="92"/>
        <v>1</v>
      </c>
      <c r="R503" s="21">
        <f t="shared" si="93"/>
        <v>162430</v>
      </c>
      <c r="S503" s="306">
        <f t="shared" si="94"/>
        <v>530</v>
      </c>
    </row>
    <row r="504" spans="1:19">
      <c r="A504" s="3180">
        <f>面积!B1159</f>
        <v>-1484</v>
      </c>
      <c r="B504" s="3181">
        <f>面积!C1159</f>
        <v>32.61</v>
      </c>
      <c r="C504" s="21">
        <f t="shared" si="85"/>
        <v>1</v>
      </c>
      <c r="D504" s="632"/>
      <c r="E504" s="21">
        <f t="shared" si="86"/>
        <v>1</v>
      </c>
      <c r="F504" s="632"/>
      <c r="G504" s="21">
        <f t="shared" si="87"/>
        <v>1</v>
      </c>
      <c r="H504" s="632"/>
      <c r="I504" s="21">
        <f t="shared" si="88"/>
        <v>1</v>
      </c>
      <c r="J504" s="632"/>
      <c r="K504" s="21">
        <f t="shared" si="89"/>
        <v>1</v>
      </c>
      <c r="L504" s="632"/>
      <c r="M504" s="21">
        <f t="shared" si="90"/>
        <v>1</v>
      </c>
      <c r="N504" s="632"/>
      <c r="O504" s="21">
        <f t="shared" si="91"/>
        <v>1</v>
      </c>
      <c r="P504" s="632"/>
      <c r="Q504" s="21">
        <f t="shared" si="92"/>
        <v>1</v>
      </c>
      <c r="R504" s="21">
        <f t="shared" si="93"/>
        <v>162430</v>
      </c>
      <c r="S504" s="306">
        <f t="shared" si="94"/>
        <v>530</v>
      </c>
    </row>
    <row r="505" spans="1:19">
      <c r="A505" s="3180">
        <f>面积!B1160</f>
        <v>-1485</v>
      </c>
      <c r="B505" s="3181">
        <f>面积!C1160</f>
        <v>32.61</v>
      </c>
      <c r="C505" s="21">
        <f t="shared" si="85"/>
        <v>1</v>
      </c>
      <c r="D505" s="632"/>
      <c r="E505" s="21">
        <f t="shared" si="86"/>
        <v>1</v>
      </c>
      <c r="F505" s="632"/>
      <c r="G505" s="21">
        <f t="shared" si="87"/>
        <v>1</v>
      </c>
      <c r="H505" s="632"/>
      <c r="I505" s="21">
        <f t="shared" si="88"/>
        <v>1</v>
      </c>
      <c r="J505" s="632"/>
      <c r="K505" s="21">
        <f t="shared" si="89"/>
        <v>1</v>
      </c>
      <c r="L505" s="632"/>
      <c r="M505" s="21">
        <f t="shared" si="90"/>
        <v>1</v>
      </c>
      <c r="N505" s="632"/>
      <c r="O505" s="21">
        <f t="shared" si="91"/>
        <v>1</v>
      </c>
      <c r="P505" s="632"/>
      <c r="Q505" s="21">
        <f t="shared" si="92"/>
        <v>1</v>
      </c>
      <c r="R505" s="21">
        <f t="shared" si="93"/>
        <v>162430</v>
      </c>
      <c r="S505" s="306">
        <f t="shared" si="94"/>
        <v>530</v>
      </c>
    </row>
    <row r="506" spans="1:19">
      <c r="A506" s="3180">
        <f>面积!B1161</f>
        <v>-1486</v>
      </c>
      <c r="B506" s="3181">
        <f>面积!C1161</f>
        <v>32.61</v>
      </c>
      <c r="C506" s="21">
        <f t="shared" si="85"/>
        <v>1</v>
      </c>
      <c r="D506" s="632"/>
      <c r="E506" s="21">
        <f t="shared" si="86"/>
        <v>1</v>
      </c>
      <c r="F506" s="632"/>
      <c r="G506" s="21">
        <f t="shared" si="87"/>
        <v>1</v>
      </c>
      <c r="H506" s="632"/>
      <c r="I506" s="21">
        <f t="shared" si="88"/>
        <v>1</v>
      </c>
      <c r="J506" s="632"/>
      <c r="K506" s="21">
        <f t="shared" si="89"/>
        <v>1</v>
      </c>
      <c r="L506" s="632"/>
      <c r="M506" s="21">
        <f t="shared" si="90"/>
        <v>1</v>
      </c>
      <c r="N506" s="632"/>
      <c r="O506" s="21">
        <f t="shared" si="91"/>
        <v>1</v>
      </c>
      <c r="P506" s="632"/>
      <c r="Q506" s="21">
        <f t="shared" si="92"/>
        <v>1</v>
      </c>
      <c r="R506" s="21">
        <f t="shared" si="93"/>
        <v>162430</v>
      </c>
      <c r="S506" s="306">
        <f t="shared" si="94"/>
        <v>530</v>
      </c>
    </row>
    <row r="507" spans="1:19">
      <c r="A507" s="3180">
        <f>面积!B1162</f>
        <v>-1487</v>
      </c>
      <c r="B507" s="3181">
        <f>面积!C1162</f>
        <v>32.61</v>
      </c>
      <c r="C507" s="21">
        <f t="shared" si="85"/>
        <v>1</v>
      </c>
      <c r="D507" s="632"/>
      <c r="E507" s="21">
        <f t="shared" si="86"/>
        <v>1</v>
      </c>
      <c r="F507" s="632"/>
      <c r="G507" s="21">
        <f t="shared" si="87"/>
        <v>1</v>
      </c>
      <c r="H507" s="632"/>
      <c r="I507" s="21">
        <f t="shared" si="88"/>
        <v>1</v>
      </c>
      <c r="J507" s="632"/>
      <c r="K507" s="21">
        <f t="shared" si="89"/>
        <v>1</v>
      </c>
      <c r="L507" s="632"/>
      <c r="M507" s="21">
        <f t="shared" si="90"/>
        <v>1</v>
      </c>
      <c r="N507" s="632"/>
      <c r="O507" s="21">
        <f t="shared" si="91"/>
        <v>1</v>
      </c>
      <c r="P507" s="632"/>
      <c r="Q507" s="21">
        <f t="shared" si="92"/>
        <v>1</v>
      </c>
      <c r="R507" s="21">
        <f t="shared" si="93"/>
        <v>162430</v>
      </c>
      <c r="S507" s="306">
        <f t="shared" si="94"/>
        <v>530</v>
      </c>
    </row>
    <row r="508" spans="1:19">
      <c r="A508" s="3180">
        <f>面积!B1163</f>
        <v>-1488</v>
      </c>
      <c r="B508" s="3181">
        <f>面积!C1163</f>
        <v>32.61</v>
      </c>
      <c r="C508" s="21">
        <f t="shared" si="85"/>
        <v>1</v>
      </c>
      <c r="D508" s="632"/>
      <c r="E508" s="21">
        <f t="shared" si="86"/>
        <v>1</v>
      </c>
      <c r="F508" s="632"/>
      <c r="G508" s="21">
        <f t="shared" si="87"/>
        <v>1</v>
      </c>
      <c r="H508" s="632"/>
      <c r="I508" s="21">
        <f t="shared" si="88"/>
        <v>1</v>
      </c>
      <c r="J508" s="632"/>
      <c r="K508" s="21">
        <f t="shared" si="89"/>
        <v>1</v>
      </c>
      <c r="L508" s="632"/>
      <c r="M508" s="21">
        <f t="shared" si="90"/>
        <v>1</v>
      </c>
      <c r="N508" s="632"/>
      <c r="O508" s="21">
        <f t="shared" si="91"/>
        <v>1</v>
      </c>
      <c r="P508" s="632"/>
      <c r="Q508" s="21">
        <f t="shared" si="92"/>
        <v>1</v>
      </c>
      <c r="R508" s="21">
        <f t="shared" si="93"/>
        <v>162430</v>
      </c>
      <c r="S508" s="306">
        <f t="shared" si="94"/>
        <v>530</v>
      </c>
    </row>
    <row r="509" spans="1:19">
      <c r="A509" s="3180">
        <f>面积!B1164</f>
        <v>-1489</v>
      </c>
      <c r="B509" s="3181">
        <f>面积!C1164</f>
        <v>32.61</v>
      </c>
      <c r="C509" s="21">
        <f t="shared" si="85"/>
        <v>1</v>
      </c>
      <c r="D509" s="632"/>
      <c r="E509" s="21">
        <f t="shared" si="86"/>
        <v>1</v>
      </c>
      <c r="F509" s="632"/>
      <c r="G509" s="21">
        <f t="shared" si="87"/>
        <v>1</v>
      </c>
      <c r="H509" s="632"/>
      <c r="I509" s="21">
        <f t="shared" si="88"/>
        <v>1</v>
      </c>
      <c r="J509" s="632"/>
      <c r="K509" s="21">
        <f t="shared" si="89"/>
        <v>1</v>
      </c>
      <c r="L509" s="632"/>
      <c r="M509" s="21">
        <f t="shared" si="90"/>
        <v>1</v>
      </c>
      <c r="N509" s="632"/>
      <c r="O509" s="21">
        <f t="shared" si="91"/>
        <v>1</v>
      </c>
      <c r="P509" s="632"/>
      <c r="Q509" s="21">
        <f t="shared" si="92"/>
        <v>1</v>
      </c>
      <c r="R509" s="21">
        <f t="shared" si="93"/>
        <v>162430</v>
      </c>
      <c r="S509" s="306">
        <f t="shared" si="94"/>
        <v>530</v>
      </c>
    </row>
    <row r="510" spans="1:19">
      <c r="A510" s="3180">
        <f>面积!B1165</f>
        <v>-1490</v>
      </c>
      <c r="B510" s="3181">
        <f>面积!C1165</f>
        <v>32.61</v>
      </c>
      <c r="C510" s="21">
        <f t="shared" si="85"/>
        <v>1</v>
      </c>
      <c r="D510" s="632"/>
      <c r="E510" s="21">
        <f t="shared" si="86"/>
        <v>1</v>
      </c>
      <c r="F510" s="632"/>
      <c r="G510" s="21">
        <f t="shared" si="87"/>
        <v>1</v>
      </c>
      <c r="H510" s="632"/>
      <c r="I510" s="21">
        <f t="shared" si="88"/>
        <v>1</v>
      </c>
      <c r="J510" s="632"/>
      <c r="K510" s="21">
        <f t="shared" si="89"/>
        <v>1</v>
      </c>
      <c r="L510" s="632"/>
      <c r="M510" s="21">
        <f t="shared" si="90"/>
        <v>1</v>
      </c>
      <c r="N510" s="632"/>
      <c r="O510" s="21">
        <f t="shared" si="91"/>
        <v>1</v>
      </c>
      <c r="P510" s="632"/>
      <c r="Q510" s="21">
        <f t="shared" si="92"/>
        <v>1</v>
      </c>
      <c r="R510" s="21">
        <f t="shared" si="93"/>
        <v>162430</v>
      </c>
      <c r="S510" s="306">
        <f t="shared" si="94"/>
        <v>530</v>
      </c>
    </row>
    <row r="511" spans="1:19">
      <c r="A511" s="3180">
        <f>面积!B1166</f>
        <v>-1491</v>
      </c>
      <c r="B511" s="3181">
        <f>面积!C1166</f>
        <v>32.61</v>
      </c>
      <c r="C511" s="21">
        <f t="shared" si="85"/>
        <v>1</v>
      </c>
      <c r="D511" s="632"/>
      <c r="E511" s="21">
        <f t="shared" si="86"/>
        <v>1</v>
      </c>
      <c r="F511" s="632"/>
      <c r="G511" s="21">
        <f t="shared" si="87"/>
        <v>1</v>
      </c>
      <c r="H511" s="632"/>
      <c r="I511" s="21">
        <f t="shared" si="88"/>
        <v>1</v>
      </c>
      <c r="J511" s="632"/>
      <c r="K511" s="21">
        <f t="shared" si="89"/>
        <v>1</v>
      </c>
      <c r="L511" s="632"/>
      <c r="M511" s="21">
        <f t="shared" si="90"/>
        <v>1</v>
      </c>
      <c r="N511" s="632"/>
      <c r="O511" s="21">
        <f t="shared" si="91"/>
        <v>1</v>
      </c>
      <c r="P511" s="632"/>
      <c r="Q511" s="21">
        <f t="shared" si="92"/>
        <v>1</v>
      </c>
      <c r="R511" s="21">
        <f t="shared" si="93"/>
        <v>162430</v>
      </c>
      <c r="S511" s="306">
        <f t="shared" si="94"/>
        <v>530</v>
      </c>
    </row>
    <row r="512" spans="1:19">
      <c r="A512" s="3180">
        <f>面积!B1167</f>
        <v>-1492</v>
      </c>
      <c r="B512" s="3181">
        <f>面积!C1167</f>
        <v>32.61</v>
      </c>
      <c r="C512" s="21">
        <f t="shared" si="85"/>
        <v>1</v>
      </c>
      <c r="D512" s="632"/>
      <c r="E512" s="21">
        <f t="shared" si="86"/>
        <v>1</v>
      </c>
      <c r="F512" s="632"/>
      <c r="G512" s="21">
        <f t="shared" si="87"/>
        <v>1</v>
      </c>
      <c r="H512" s="632"/>
      <c r="I512" s="21">
        <f t="shared" si="88"/>
        <v>1</v>
      </c>
      <c r="J512" s="632"/>
      <c r="K512" s="21">
        <f t="shared" si="89"/>
        <v>1</v>
      </c>
      <c r="L512" s="632"/>
      <c r="M512" s="21">
        <f t="shared" si="90"/>
        <v>1</v>
      </c>
      <c r="N512" s="632"/>
      <c r="O512" s="21">
        <f t="shared" si="91"/>
        <v>1</v>
      </c>
      <c r="P512" s="632"/>
      <c r="Q512" s="21">
        <f t="shared" si="92"/>
        <v>1</v>
      </c>
      <c r="R512" s="21">
        <f t="shared" si="93"/>
        <v>162430</v>
      </c>
      <c r="S512" s="306">
        <f t="shared" si="94"/>
        <v>530</v>
      </c>
    </row>
    <row r="513" spans="1:19">
      <c r="A513" s="3180">
        <f>面积!B1168</f>
        <v>-1493</v>
      </c>
      <c r="B513" s="3181">
        <f>面积!C1168</f>
        <v>32.61</v>
      </c>
      <c r="C513" s="21">
        <f t="shared" si="85"/>
        <v>1</v>
      </c>
      <c r="D513" s="632"/>
      <c r="E513" s="21">
        <f t="shared" si="86"/>
        <v>1</v>
      </c>
      <c r="F513" s="632"/>
      <c r="G513" s="21">
        <f t="shared" si="87"/>
        <v>1</v>
      </c>
      <c r="H513" s="632"/>
      <c r="I513" s="21">
        <f t="shared" si="88"/>
        <v>1</v>
      </c>
      <c r="J513" s="632"/>
      <c r="K513" s="21">
        <f t="shared" si="89"/>
        <v>1</v>
      </c>
      <c r="L513" s="632"/>
      <c r="M513" s="21">
        <f t="shared" si="90"/>
        <v>1</v>
      </c>
      <c r="N513" s="632"/>
      <c r="O513" s="21">
        <f t="shared" si="91"/>
        <v>1</v>
      </c>
      <c r="P513" s="632"/>
      <c r="Q513" s="21">
        <f t="shared" si="92"/>
        <v>1</v>
      </c>
      <c r="R513" s="21">
        <f t="shared" si="93"/>
        <v>162430</v>
      </c>
      <c r="S513" s="306">
        <f t="shared" si="94"/>
        <v>530</v>
      </c>
    </row>
    <row r="514" spans="1:19">
      <c r="A514" s="3180">
        <f>面积!B1169</f>
        <v>-1494</v>
      </c>
      <c r="B514" s="3181">
        <f>面积!C1169</f>
        <v>32.61</v>
      </c>
      <c r="C514" s="21">
        <f t="shared" si="85"/>
        <v>1</v>
      </c>
      <c r="D514" s="632"/>
      <c r="E514" s="21">
        <f t="shared" si="86"/>
        <v>1</v>
      </c>
      <c r="F514" s="632"/>
      <c r="G514" s="21">
        <f t="shared" si="87"/>
        <v>1</v>
      </c>
      <c r="H514" s="632"/>
      <c r="I514" s="21">
        <f t="shared" si="88"/>
        <v>1</v>
      </c>
      <c r="J514" s="632"/>
      <c r="K514" s="21">
        <f t="shared" si="89"/>
        <v>1</v>
      </c>
      <c r="L514" s="632"/>
      <c r="M514" s="21">
        <f t="shared" si="90"/>
        <v>1</v>
      </c>
      <c r="N514" s="632"/>
      <c r="O514" s="21">
        <f t="shared" si="91"/>
        <v>1</v>
      </c>
      <c r="P514" s="632"/>
      <c r="Q514" s="21">
        <f t="shared" si="92"/>
        <v>1</v>
      </c>
      <c r="R514" s="21">
        <f t="shared" si="93"/>
        <v>162430</v>
      </c>
      <c r="S514" s="306">
        <f t="shared" si="94"/>
        <v>530</v>
      </c>
    </row>
    <row r="515" spans="1:19">
      <c r="A515" s="3180">
        <f>面积!B1170</f>
        <v>-1495</v>
      </c>
      <c r="B515" s="3181">
        <f>面积!C1170</f>
        <v>32.61</v>
      </c>
      <c r="C515" s="21">
        <f t="shared" si="85"/>
        <v>1</v>
      </c>
      <c r="D515" s="632"/>
      <c r="E515" s="21">
        <f t="shared" si="86"/>
        <v>1</v>
      </c>
      <c r="F515" s="632"/>
      <c r="G515" s="21">
        <f t="shared" si="87"/>
        <v>1</v>
      </c>
      <c r="H515" s="632"/>
      <c r="I515" s="21">
        <f t="shared" si="88"/>
        <v>1</v>
      </c>
      <c r="J515" s="632"/>
      <c r="K515" s="21">
        <f t="shared" si="89"/>
        <v>1</v>
      </c>
      <c r="L515" s="632"/>
      <c r="M515" s="21">
        <f t="shared" si="90"/>
        <v>1</v>
      </c>
      <c r="N515" s="632"/>
      <c r="O515" s="21">
        <f t="shared" si="91"/>
        <v>1</v>
      </c>
      <c r="P515" s="632"/>
      <c r="Q515" s="21">
        <f t="shared" si="92"/>
        <v>1</v>
      </c>
      <c r="R515" s="21">
        <f t="shared" si="93"/>
        <v>162430</v>
      </c>
      <c r="S515" s="306">
        <f t="shared" si="94"/>
        <v>530</v>
      </c>
    </row>
    <row r="516" spans="1:19">
      <c r="A516" s="3180">
        <f>面积!B1171</f>
        <v>-1496</v>
      </c>
      <c r="B516" s="3181">
        <f>面积!C1171</f>
        <v>32.61</v>
      </c>
      <c r="C516" s="21">
        <f t="shared" si="85"/>
        <v>1</v>
      </c>
      <c r="D516" s="632"/>
      <c r="E516" s="21">
        <f t="shared" si="86"/>
        <v>1</v>
      </c>
      <c r="F516" s="632"/>
      <c r="G516" s="21">
        <f t="shared" si="87"/>
        <v>1</v>
      </c>
      <c r="H516" s="632"/>
      <c r="I516" s="21">
        <f t="shared" si="88"/>
        <v>1</v>
      </c>
      <c r="J516" s="632"/>
      <c r="K516" s="21">
        <f t="shared" si="89"/>
        <v>1</v>
      </c>
      <c r="L516" s="632"/>
      <c r="M516" s="21">
        <f t="shared" si="90"/>
        <v>1</v>
      </c>
      <c r="N516" s="632"/>
      <c r="O516" s="21">
        <f t="shared" si="91"/>
        <v>1</v>
      </c>
      <c r="P516" s="632"/>
      <c r="Q516" s="21">
        <f t="shared" si="92"/>
        <v>1</v>
      </c>
      <c r="R516" s="21">
        <f t="shared" si="93"/>
        <v>162430</v>
      </c>
      <c r="S516" s="306">
        <f t="shared" si="94"/>
        <v>530</v>
      </c>
    </row>
    <row r="517" spans="1:19">
      <c r="A517" s="3180">
        <f>面积!B1172</f>
        <v>-1497</v>
      </c>
      <c r="B517" s="3181">
        <f>面积!C1172</f>
        <v>32.61</v>
      </c>
      <c r="C517" s="21">
        <f t="shared" si="85"/>
        <v>1</v>
      </c>
      <c r="D517" s="632"/>
      <c r="E517" s="21">
        <f t="shared" si="86"/>
        <v>1</v>
      </c>
      <c r="F517" s="632"/>
      <c r="G517" s="21">
        <f t="shared" si="87"/>
        <v>1</v>
      </c>
      <c r="H517" s="632"/>
      <c r="I517" s="21">
        <f t="shared" si="88"/>
        <v>1</v>
      </c>
      <c r="J517" s="632"/>
      <c r="K517" s="21">
        <f t="shared" si="89"/>
        <v>1</v>
      </c>
      <c r="L517" s="632"/>
      <c r="M517" s="21">
        <f t="shared" si="90"/>
        <v>1</v>
      </c>
      <c r="N517" s="632"/>
      <c r="O517" s="21">
        <f t="shared" si="91"/>
        <v>1</v>
      </c>
      <c r="P517" s="632"/>
      <c r="Q517" s="21">
        <f t="shared" si="92"/>
        <v>1</v>
      </c>
      <c r="R517" s="21">
        <f t="shared" si="93"/>
        <v>162430</v>
      </c>
      <c r="S517" s="306">
        <f t="shared" si="94"/>
        <v>530</v>
      </c>
    </row>
    <row r="518" spans="1:19">
      <c r="A518" s="3180">
        <f>面积!B1173</f>
        <v>-1498</v>
      </c>
      <c r="B518" s="3181">
        <f>面积!C1173</f>
        <v>32.61</v>
      </c>
      <c r="C518" s="21">
        <f t="shared" si="85"/>
        <v>1</v>
      </c>
      <c r="D518" s="632"/>
      <c r="E518" s="21">
        <f t="shared" si="86"/>
        <v>1</v>
      </c>
      <c r="F518" s="632"/>
      <c r="G518" s="21">
        <f t="shared" si="87"/>
        <v>1</v>
      </c>
      <c r="H518" s="632"/>
      <c r="I518" s="21">
        <f t="shared" si="88"/>
        <v>1</v>
      </c>
      <c r="J518" s="632"/>
      <c r="K518" s="21">
        <f t="shared" si="89"/>
        <v>1</v>
      </c>
      <c r="L518" s="632"/>
      <c r="M518" s="21">
        <f t="shared" si="90"/>
        <v>1</v>
      </c>
      <c r="N518" s="632"/>
      <c r="O518" s="21">
        <f t="shared" si="91"/>
        <v>1</v>
      </c>
      <c r="P518" s="632"/>
      <c r="Q518" s="21">
        <f t="shared" si="92"/>
        <v>1</v>
      </c>
      <c r="R518" s="21">
        <f t="shared" si="93"/>
        <v>162430</v>
      </c>
      <c r="S518" s="306">
        <f t="shared" si="94"/>
        <v>530</v>
      </c>
    </row>
    <row r="519" spans="1:19">
      <c r="A519" s="3180">
        <f>面积!B1174</f>
        <v>-1499</v>
      </c>
      <c r="B519" s="3181">
        <f>面积!C1174</f>
        <v>32.61</v>
      </c>
      <c r="C519" s="21">
        <f t="shared" si="85"/>
        <v>1</v>
      </c>
      <c r="D519" s="632"/>
      <c r="E519" s="21">
        <f t="shared" si="86"/>
        <v>1</v>
      </c>
      <c r="F519" s="632"/>
      <c r="G519" s="21">
        <f t="shared" si="87"/>
        <v>1</v>
      </c>
      <c r="H519" s="632"/>
      <c r="I519" s="21">
        <f t="shared" si="88"/>
        <v>1</v>
      </c>
      <c r="J519" s="632"/>
      <c r="K519" s="21">
        <f t="shared" si="89"/>
        <v>1</v>
      </c>
      <c r="L519" s="632"/>
      <c r="M519" s="21">
        <f t="shared" si="90"/>
        <v>1</v>
      </c>
      <c r="N519" s="632"/>
      <c r="O519" s="21">
        <f t="shared" si="91"/>
        <v>1</v>
      </c>
      <c r="P519" s="632"/>
      <c r="Q519" s="21">
        <f t="shared" si="92"/>
        <v>1</v>
      </c>
      <c r="R519" s="21">
        <f t="shared" si="93"/>
        <v>162430</v>
      </c>
      <c r="S519" s="306">
        <f t="shared" si="94"/>
        <v>530</v>
      </c>
    </row>
    <row r="520" spans="1:19">
      <c r="A520" s="3180">
        <f>面积!B1175</f>
        <v>-1500</v>
      </c>
      <c r="B520" s="3181">
        <f>面积!C1175</f>
        <v>32.61</v>
      </c>
      <c r="C520" s="21">
        <f t="shared" si="85"/>
        <v>1</v>
      </c>
      <c r="D520" s="632"/>
      <c r="E520" s="21">
        <f t="shared" si="86"/>
        <v>1</v>
      </c>
      <c r="F520" s="632"/>
      <c r="G520" s="21">
        <f t="shared" si="87"/>
        <v>1</v>
      </c>
      <c r="H520" s="632"/>
      <c r="I520" s="21">
        <f t="shared" si="88"/>
        <v>1</v>
      </c>
      <c r="J520" s="632"/>
      <c r="K520" s="21">
        <f t="shared" si="89"/>
        <v>1</v>
      </c>
      <c r="L520" s="632"/>
      <c r="M520" s="21">
        <f t="shared" si="90"/>
        <v>1</v>
      </c>
      <c r="N520" s="632"/>
      <c r="O520" s="21">
        <f t="shared" si="91"/>
        <v>1</v>
      </c>
      <c r="P520" s="632"/>
      <c r="Q520" s="21">
        <f t="shared" si="92"/>
        <v>1</v>
      </c>
      <c r="R520" s="21">
        <f t="shared" si="93"/>
        <v>162430</v>
      </c>
      <c r="S520" s="306">
        <f t="shared" si="94"/>
        <v>530</v>
      </c>
    </row>
    <row r="521" spans="1:19">
      <c r="A521" s="3180">
        <f>面积!B1176</f>
        <v>-1501</v>
      </c>
      <c r="B521" s="3181">
        <f>面积!C1176</f>
        <v>32.61</v>
      </c>
      <c r="C521" s="21">
        <f t="shared" si="85"/>
        <v>1</v>
      </c>
      <c r="D521" s="632"/>
      <c r="E521" s="21">
        <f t="shared" si="86"/>
        <v>1</v>
      </c>
      <c r="F521" s="632"/>
      <c r="G521" s="21">
        <f t="shared" si="87"/>
        <v>1</v>
      </c>
      <c r="H521" s="632"/>
      <c r="I521" s="21">
        <f t="shared" si="88"/>
        <v>1</v>
      </c>
      <c r="J521" s="632"/>
      <c r="K521" s="21">
        <f t="shared" si="89"/>
        <v>1</v>
      </c>
      <c r="L521" s="632"/>
      <c r="M521" s="21">
        <f t="shared" si="90"/>
        <v>1</v>
      </c>
      <c r="N521" s="632"/>
      <c r="O521" s="21">
        <f t="shared" si="91"/>
        <v>1</v>
      </c>
      <c r="P521" s="632"/>
      <c r="Q521" s="21">
        <f t="shared" si="92"/>
        <v>1</v>
      </c>
      <c r="R521" s="21">
        <f t="shared" si="93"/>
        <v>162430</v>
      </c>
      <c r="S521" s="306">
        <f t="shared" si="94"/>
        <v>530</v>
      </c>
    </row>
    <row r="522" spans="1:19">
      <c r="A522" s="3180">
        <f>面积!B1177</f>
        <v>-1502</v>
      </c>
      <c r="B522" s="3181">
        <f>面积!C1177</f>
        <v>32.61</v>
      </c>
      <c r="C522" s="21">
        <f t="shared" si="85"/>
        <v>1</v>
      </c>
      <c r="D522" s="632"/>
      <c r="E522" s="21">
        <f t="shared" si="86"/>
        <v>1</v>
      </c>
      <c r="F522" s="632"/>
      <c r="G522" s="21">
        <f t="shared" si="87"/>
        <v>1</v>
      </c>
      <c r="H522" s="632"/>
      <c r="I522" s="21">
        <f t="shared" si="88"/>
        <v>1</v>
      </c>
      <c r="J522" s="632"/>
      <c r="K522" s="21">
        <f t="shared" si="89"/>
        <v>1</v>
      </c>
      <c r="L522" s="632"/>
      <c r="M522" s="21">
        <f t="shared" si="90"/>
        <v>1</v>
      </c>
      <c r="N522" s="632"/>
      <c r="O522" s="21">
        <f t="shared" si="91"/>
        <v>1</v>
      </c>
      <c r="P522" s="632"/>
      <c r="Q522" s="21">
        <f t="shared" si="92"/>
        <v>1</v>
      </c>
      <c r="R522" s="21">
        <f t="shared" si="93"/>
        <v>162430</v>
      </c>
      <c r="S522" s="306">
        <f t="shared" si="94"/>
        <v>530</v>
      </c>
    </row>
    <row r="523" spans="1:19">
      <c r="A523" s="3180">
        <f>面积!B1178</f>
        <v>-1503</v>
      </c>
      <c r="B523" s="3181">
        <f>面积!C1178</f>
        <v>32.61</v>
      </c>
      <c r="C523" s="21">
        <f t="shared" si="85"/>
        <v>1</v>
      </c>
      <c r="D523" s="632"/>
      <c r="E523" s="21">
        <f t="shared" si="86"/>
        <v>1</v>
      </c>
      <c r="F523" s="632"/>
      <c r="G523" s="21">
        <f t="shared" si="87"/>
        <v>1</v>
      </c>
      <c r="H523" s="632"/>
      <c r="I523" s="21">
        <f t="shared" si="88"/>
        <v>1</v>
      </c>
      <c r="J523" s="632"/>
      <c r="K523" s="21">
        <f t="shared" si="89"/>
        <v>1</v>
      </c>
      <c r="L523" s="632"/>
      <c r="M523" s="21">
        <f t="shared" si="90"/>
        <v>1</v>
      </c>
      <c r="N523" s="632"/>
      <c r="O523" s="21">
        <f t="shared" si="91"/>
        <v>1</v>
      </c>
      <c r="P523" s="632"/>
      <c r="Q523" s="21">
        <f t="shared" si="92"/>
        <v>1</v>
      </c>
      <c r="R523" s="21">
        <f t="shared" si="93"/>
        <v>162430</v>
      </c>
      <c r="S523" s="306">
        <f t="shared" si="94"/>
        <v>530</v>
      </c>
    </row>
    <row r="524" spans="1:19">
      <c r="A524" s="3180">
        <f>面积!B1179</f>
        <v>-1504</v>
      </c>
      <c r="B524" s="3181">
        <f>面积!C1179</f>
        <v>32.61</v>
      </c>
      <c r="C524" s="21">
        <f t="shared" si="85"/>
        <v>1</v>
      </c>
      <c r="D524" s="632"/>
      <c r="E524" s="21">
        <f t="shared" si="86"/>
        <v>1</v>
      </c>
      <c r="F524" s="632"/>
      <c r="G524" s="21">
        <f t="shared" si="87"/>
        <v>1</v>
      </c>
      <c r="H524" s="632"/>
      <c r="I524" s="21">
        <f t="shared" si="88"/>
        <v>1</v>
      </c>
      <c r="J524" s="632"/>
      <c r="K524" s="21">
        <f t="shared" si="89"/>
        <v>1</v>
      </c>
      <c r="L524" s="632"/>
      <c r="M524" s="21">
        <f t="shared" si="90"/>
        <v>1</v>
      </c>
      <c r="N524" s="632"/>
      <c r="O524" s="21">
        <f t="shared" si="91"/>
        <v>1</v>
      </c>
      <c r="P524" s="632"/>
      <c r="Q524" s="21">
        <f t="shared" si="92"/>
        <v>1</v>
      </c>
      <c r="R524" s="21">
        <f t="shared" si="93"/>
        <v>162430</v>
      </c>
      <c r="S524" s="306">
        <f t="shared" si="94"/>
        <v>530</v>
      </c>
    </row>
    <row r="525" spans="1:19">
      <c r="A525" s="3180">
        <f>面积!B1180</f>
        <v>-1505</v>
      </c>
      <c r="B525" s="3181">
        <f>面积!C1180</f>
        <v>32.61</v>
      </c>
      <c r="C525" s="3183">
        <f t="shared" ref="C525:C588" si="95">IF(B525="",1,(LOOKUP(B525,$3:$3,$4:$4)-LOOKUP($B$24,$3:$3,$4:$4)+100)/100)</f>
        <v>1</v>
      </c>
      <c r="D525" s="632"/>
      <c r="E525" s="3183">
        <f t="shared" ref="E525:E588" si="96">(SUMIF($5:$5,D525,$6:$6)-SUMIF($5:$5,$D$24,$6:$6)+100)/100</f>
        <v>1</v>
      </c>
      <c r="F525" s="632"/>
      <c r="G525" s="3183">
        <f t="shared" ref="G525:G588" si="97">(SUMIF($7:$7,F525,$8:$8)-SUMIF($7:$7,$F$24,$8:$8)+100)/100</f>
        <v>1</v>
      </c>
      <c r="H525" s="632"/>
      <c r="I525" s="3183">
        <f t="shared" ref="I525:I588" si="98">(SUMIF($9:$9,H525,$10:$10)-SUMIF($9:$9,$H$24,$10:$10)+100)/100</f>
        <v>1</v>
      </c>
      <c r="J525" s="632"/>
      <c r="K525" s="3183">
        <f t="shared" ref="K525:K588" si="99">(SUMIF($11:$11,J525,$12:$12)-SUMIF($11:$11,$J$24,$12:$12)+100)/100</f>
        <v>1</v>
      </c>
      <c r="L525" s="632"/>
      <c r="M525" s="3183">
        <f t="shared" ref="M525:M588" si="100">(SUMIF($13:$13,L525,$14:$14)-SUMIF($13:$13,$L$24,$14:$14)+100)/100</f>
        <v>1</v>
      </c>
      <c r="N525" s="632"/>
      <c r="O525" s="3183">
        <f t="shared" ref="O525:O588" si="101">(SUMIF($15:$15,N525,$16:$16)-SUMIF($15:$15,$N$24,$16:$16)+100)/100</f>
        <v>1</v>
      </c>
      <c r="P525" s="632"/>
      <c r="Q525" s="3183">
        <f t="shared" ref="Q525:Q588" si="102">(SUMIF($17:$17,P525,$18:$18)-SUMIF($17:$17,$P$24,$18:$18)+100)/100</f>
        <v>1</v>
      </c>
      <c r="R525" s="3183">
        <f t="shared" ref="R525:R588" si="103">IF(B525="",0,ROUND($R$24*C525*E525*G525*I525*K525*M525*O525*Q525,0))</f>
        <v>162430</v>
      </c>
      <c r="S525" s="902">
        <f t="shared" ref="S525:S588" si="104">ROUND(R525*B525/10000,0)</f>
        <v>530</v>
      </c>
    </row>
    <row r="526" spans="1:19">
      <c r="A526" s="3180">
        <f>面积!B1181</f>
        <v>-1506</v>
      </c>
      <c r="B526" s="3181">
        <f>面积!C1181</f>
        <v>32.61</v>
      </c>
      <c r="C526" s="3183">
        <f t="shared" si="95"/>
        <v>1</v>
      </c>
      <c r="D526" s="632"/>
      <c r="E526" s="3183">
        <f t="shared" si="96"/>
        <v>1</v>
      </c>
      <c r="F526" s="632"/>
      <c r="G526" s="3183">
        <f t="shared" si="97"/>
        <v>1</v>
      </c>
      <c r="H526" s="632"/>
      <c r="I526" s="3183">
        <f t="shared" si="98"/>
        <v>1</v>
      </c>
      <c r="J526" s="632"/>
      <c r="K526" s="3183">
        <f t="shared" si="99"/>
        <v>1</v>
      </c>
      <c r="L526" s="632"/>
      <c r="M526" s="3183">
        <f t="shared" si="100"/>
        <v>1</v>
      </c>
      <c r="N526" s="632"/>
      <c r="O526" s="3183">
        <f t="shared" si="101"/>
        <v>1</v>
      </c>
      <c r="P526" s="632"/>
      <c r="Q526" s="3183">
        <f t="shared" si="102"/>
        <v>1</v>
      </c>
      <c r="R526" s="3183">
        <f t="shared" si="103"/>
        <v>162430</v>
      </c>
      <c r="S526" s="902">
        <f t="shared" si="104"/>
        <v>530</v>
      </c>
    </row>
    <row r="527" spans="1:19">
      <c r="A527" s="3180">
        <f>面积!B1182</f>
        <v>-1507</v>
      </c>
      <c r="B527" s="3181">
        <f>面积!C1182</f>
        <v>32.61</v>
      </c>
      <c r="C527" s="3183">
        <f t="shared" si="95"/>
        <v>1</v>
      </c>
      <c r="D527" s="632"/>
      <c r="E527" s="3183">
        <f t="shared" si="96"/>
        <v>1</v>
      </c>
      <c r="F527" s="632"/>
      <c r="G527" s="3183">
        <f t="shared" si="97"/>
        <v>1</v>
      </c>
      <c r="H527" s="632"/>
      <c r="I527" s="3183">
        <f t="shared" si="98"/>
        <v>1</v>
      </c>
      <c r="J527" s="632"/>
      <c r="K527" s="3183">
        <f t="shared" si="99"/>
        <v>1</v>
      </c>
      <c r="L527" s="632"/>
      <c r="M527" s="3183">
        <f t="shared" si="100"/>
        <v>1</v>
      </c>
      <c r="N527" s="632"/>
      <c r="O527" s="3183">
        <f t="shared" si="101"/>
        <v>1</v>
      </c>
      <c r="P527" s="632"/>
      <c r="Q527" s="3183">
        <f t="shared" si="102"/>
        <v>1</v>
      </c>
      <c r="R527" s="3183">
        <f t="shared" si="103"/>
        <v>162430</v>
      </c>
      <c r="S527" s="902">
        <f t="shared" si="104"/>
        <v>530</v>
      </c>
    </row>
    <row r="528" spans="1:19">
      <c r="A528" s="3180">
        <f>面积!B1183</f>
        <v>-1508</v>
      </c>
      <c r="B528" s="3181">
        <f>面积!C1183</f>
        <v>32.61</v>
      </c>
      <c r="C528" s="3183">
        <f t="shared" si="95"/>
        <v>1</v>
      </c>
      <c r="D528" s="632"/>
      <c r="E528" s="3183">
        <f t="shared" si="96"/>
        <v>1</v>
      </c>
      <c r="F528" s="632"/>
      <c r="G528" s="3183">
        <f t="shared" si="97"/>
        <v>1</v>
      </c>
      <c r="H528" s="632"/>
      <c r="I528" s="3183">
        <f t="shared" si="98"/>
        <v>1</v>
      </c>
      <c r="J528" s="632"/>
      <c r="K528" s="3183">
        <f t="shared" si="99"/>
        <v>1</v>
      </c>
      <c r="L528" s="632"/>
      <c r="M528" s="3183">
        <f t="shared" si="100"/>
        <v>1</v>
      </c>
      <c r="N528" s="632"/>
      <c r="O528" s="3183">
        <f t="shared" si="101"/>
        <v>1</v>
      </c>
      <c r="P528" s="632"/>
      <c r="Q528" s="3183">
        <f t="shared" si="102"/>
        <v>1</v>
      </c>
      <c r="R528" s="3183">
        <f t="shared" si="103"/>
        <v>162430</v>
      </c>
      <c r="S528" s="902">
        <f t="shared" si="104"/>
        <v>530</v>
      </c>
    </row>
    <row r="529" spans="1:19">
      <c r="A529" s="3180">
        <f>面积!B1184</f>
        <v>-1510</v>
      </c>
      <c r="B529" s="3181">
        <f>面积!C1184</f>
        <v>32.61</v>
      </c>
      <c r="C529" s="3183">
        <f t="shared" si="95"/>
        <v>1</v>
      </c>
      <c r="D529" s="632"/>
      <c r="E529" s="3183">
        <f t="shared" si="96"/>
        <v>1</v>
      </c>
      <c r="F529" s="632"/>
      <c r="G529" s="3183">
        <f t="shared" si="97"/>
        <v>1</v>
      </c>
      <c r="H529" s="632"/>
      <c r="I529" s="3183">
        <f t="shared" si="98"/>
        <v>1</v>
      </c>
      <c r="J529" s="632"/>
      <c r="K529" s="3183">
        <f t="shared" si="99"/>
        <v>1</v>
      </c>
      <c r="L529" s="632"/>
      <c r="M529" s="3183">
        <f t="shared" si="100"/>
        <v>1</v>
      </c>
      <c r="N529" s="632"/>
      <c r="O529" s="3183">
        <f t="shared" si="101"/>
        <v>1</v>
      </c>
      <c r="P529" s="632"/>
      <c r="Q529" s="3183">
        <f t="shared" si="102"/>
        <v>1</v>
      </c>
      <c r="R529" s="3183">
        <f t="shared" si="103"/>
        <v>162430</v>
      </c>
      <c r="S529" s="902">
        <f t="shared" si="104"/>
        <v>530</v>
      </c>
    </row>
    <row r="530" spans="1:19">
      <c r="A530" s="3180">
        <f>面积!B1185</f>
        <v>-1511</v>
      </c>
      <c r="B530" s="3181">
        <f>面积!C1185</f>
        <v>32.61</v>
      </c>
      <c r="C530" s="3183">
        <f t="shared" si="95"/>
        <v>1</v>
      </c>
      <c r="D530" s="632"/>
      <c r="E530" s="3183">
        <f t="shared" si="96"/>
        <v>1</v>
      </c>
      <c r="F530" s="632"/>
      <c r="G530" s="3183">
        <f t="shared" si="97"/>
        <v>1</v>
      </c>
      <c r="H530" s="632"/>
      <c r="I530" s="3183">
        <f t="shared" si="98"/>
        <v>1</v>
      </c>
      <c r="J530" s="632"/>
      <c r="K530" s="3183">
        <f t="shared" si="99"/>
        <v>1</v>
      </c>
      <c r="L530" s="632"/>
      <c r="M530" s="3183">
        <f t="shared" si="100"/>
        <v>1</v>
      </c>
      <c r="N530" s="632"/>
      <c r="O530" s="3183">
        <f t="shared" si="101"/>
        <v>1</v>
      </c>
      <c r="P530" s="632"/>
      <c r="Q530" s="3183">
        <f t="shared" si="102"/>
        <v>1</v>
      </c>
      <c r="R530" s="3183">
        <f t="shared" si="103"/>
        <v>162430</v>
      </c>
      <c r="S530" s="902">
        <f t="shared" si="104"/>
        <v>530</v>
      </c>
    </row>
    <row r="531" spans="1:19">
      <c r="A531" s="3180">
        <f>面积!B1186</f>
        <v>-1512</v>
      </c>
      <c r="B531" s="3181">
        <f>面积!C1186</f>
        <v>32.61</v>
      </c>
      <c r="C531" s="3183">
        <f t="shared" si="95"/>
        <v>1</v>
      </c>
      <c r="D531" s="632"/>
      <c r="E531" s="3183">
        <f t="shared" si="96"/>
        <v>1</v>
      </c>
      <c r="F531" s="632"/>
      <c r="G531" s="3183">
        <f t="shared" si="97"/>
        <v>1</v>
      </c>
      <c r="H531" s="632"/>
      <c r="I531" s="3183">
        <f t="shared" si="98"/>
        <v>1</v>
      </c>
      <c r="J531" s="632"/>
      <c r="K531" s="3183">
        <f t="shared" si="99"/>
        <v>1</v>
      </c>
      <c r="L531" s="632"/>
      <c r="M531" s="3183">
        <f t="shared" si="100"/>
        <v>1</v>
      </c>
      <c r="N531" s="632"/>
      <c r="O531" s="3183">
        <f t="shared" si="101"/>
        <v>1</v>
      </c>
      <c r="P531" s="632"/>
      <c r="Q531" s="3183">
        <f t="shared" si="102"/>
        <v>1</v>
      </c>
      <c r="R531" s="3183">
        <f t="shared" si="103"/>
        <v>162430</v>
      </c>
      <c r="S531" s="902">
        <f t="shared" si="104"/>
        <v>530</v>
      </c>
    </row>
    <row r="532" spans="1:19">
      <c r="A532" s="3180">
        <f>面积!B1187</f>
        <v>-1513</v>
      </c>
      <c r="B532" s="3181">
        <f>面积!C1187</f>
        <v>32.61</v>
      </c>
      <c r="C532" s="3183">
        <f t="shared" si="95"/>
        <v>1</v>
      </c>
      <c r="D532" s="632"/>
      <c r="E532" s="3183">
        <f t="shared" si="96"/>
        <v>1</v>
      </c>
      <c r="F532" s="632"/>
      <c r="G532" s="3183">
        <f t="shared" si="97"/>
        <v>1</v>
      </c>
      <c r="H532" s="632"/>
      <c r="I532" s="3183">
        <f t="shared" si="98"/>
        <v>1</v>
      </c>
      <c r="J532" s="632"/>
      <c r="K532" s="3183">
        <f t="shared" si="99"/>
        <v>1</v>
      </c>
      <c r="L532" s="632"/>
      <c r="M532" s="3183">
        <f t="shared" si="100"/>
        <v>1</v>
      </c>
      <c r="N532" s="632"/>
      <c r="O532" s="3183">
        <f t="shared" si="101"/>
        <v>1</v>
      </c>
      <c r="P532" s="632"/>
      <c r="Q532" s="3183">
        <f t="shared" si="102"/>
        <v>1</v>
      </c>
      <c r="R532" s="3183">
        <f t="shared" si="103"/>
        <v>162430</v>
      </c>
      <c r="S532" s="902">
        <f t="shared" si="104"/>
        <v>530</v>
      </c>
    </row>
    <row r="533" spans="1:19">
      <c r="A533" s="3180">
        <f>面积!B1188</f>
        <v>-1514</v>
      </c>
      <c r="B533" s="3181">
        <f>面积!C1188</f>
        <v>32.61</v>
      </c>
      <c r="C533" s="3183">
        <f t="shared" si="95"/>
        <v>1</v>
      </c>
      <c r="D533" s="632"/>
      <c r="E533" s="3183">
        <f t="shared" si="96"/>
        <v>1</v>
      </c>
      <c r="F533" s="632"/>
      <c r="G533" s="3183">
        <f t="shared" si="97"/>
        <v>1</v>
      </c>
      <c r="H533" s="632"/>
      <c r="I533" s="3183">
        <f t="shared" si="98"/>
        <v>1</v>
      </c>
      <c r="J533" s="632"/>
      <c r="K533" s="3183">
        <f t="shared" si="99"/>
        <v>1</v>
      </c>
      <c r="L533" s="632"/>
      <c r="M533" s="3183">
        <f t="shared" si="100"/>
        <v>1</v>
      </c>
      <c r="N533" s="632"/>
      <c r="O533" s="3183">
        <f t="shared" si="101"/>
        <v>1</v>
      </c>
      <c r="P533" s="632"/>
      <c r="Q533" s="3183">
        <f t="shared" si="102"/>
        <v>1</v>
      </c>
      <c r="R533" s="3183">
        <f t="shared" si="103"/>
        <v>162430</v>
      </c>
      <c r="S533" s="902">
        <f t="shared" si="104"/>
        <v>530</v>
      </c>
    </row>
    <row r="534" spans="1:19">
      <c r="A534" s="3180">
        <f>面积!B1189</f>
        <v>-1515</v>
      </c>
      <c r="B534" s="3181">
        <f>面积!C1189</f>
        <v>32.61</v>
      </c>
      <c r="C534" s="3183">
        <f t="shared" si="95"/>
        <v>1</v>
      </c>
      <c r="D534" s="632"/>
      <c r="E534" s="3183">
        <f t="shared" si="96"/>
        <v>1</v>
      </c>
      <c r="F534" s="632"/>
      <c r="G534" s="3183">
        <f t="shared" si="97"/>
        <v>1</v>
      </c>
      <c r="H534" s="632"/>
      <c r="I534" s="3183">
        <f t="shared" si="98"/>
        <v>1</v>
      </c>
      <c r="J534" s="632"/>
      <c r="K534" s="3183">
        <f t="shared" si="99"/>
        <v>1</v>
      </c>
      <c r="L534" s="632"/>
      <c r="M534" s="3183">
        <f t="shared" si="100"/>
        <v>1</v>
      </c>
      <c r="N534" s="632"/>
      <c r="O534" s="3183">
        <f t="shared" si="101"/>
        <v>1</v>
      </c>
      <c r="P534" s="632"/>
      <c r="Q534" s="3183">
        <f t="shared" si="102"/>
        <v>1</v>
      </c>
      <c r="R534" s="3183">
        <f t="shared" si="103"/>
        <v>162430</v>
      </c>
      <c r="S534" s="902">
        <f t="shared" si="104"/>
        <v>530</v>
      </c>
    </row>
    <row r="535" spans="1:19">
      <c r="A535" s="3180">
        <f>面积!B1190</f>
        <v>-1516</v>
      </c>
      <c r="B535" s="3181">
        <f>面积!C1190</f>
        <v>32.61</v>
      </c>
      <c r="C535" s="3183">
        <f t="shared" si="95"/>
        <v>1</v>
      </c>
      <c r="D535" s="632"/>
      <c r="E535" s="3183">
        <f t="shared" si="96"/>
        <v>1</v>
      </c>
      <c r="F535" s="632"/>
      <c r="G535" s="3183">
        <f t="shared" si="97"/>
        <v>1</v>
      </c>
      <c r="H535" s="632"/>
      <c r="I535" s="3183">
        <f t="shared" si="98"/>
        <v>1</v>
      </c>
      <c r="J535" s="632"/>
      <c r="K535" s="3183">
        <f t="shared" si="99"/>
        <v>1</v>
      </c>
      <c r="L535" s="632"/>
      <c r="M535" s="3183">
        <f t="shared" si="100"/>
        <v>1</v>
      </c>
      <c r="N535" s="632"/>
      <c r="O535" s="3183">
        <f t="shared" si="101"/>
        <v>1</v>
      </c>
      <c r="P535" s="632"/>
      <c r="Q535" s="3183">
        <f t="shared" si="102"/>
        <v>1</v>
      </c>
      <c r="R535" s="3183">
        <f t="shared" si="103"/>
        <v>162430</v>
      </c>
      <c r="S535" s="902">
        <f t="shared" si="104"/>
        <v>530</v>
      </c>
    </row>
    <row r="536" spans="1:19">
      <c r="A536" s="3180">
        <f>面积!B1191</f>
        <v>-1517</v>
      </c>
      <c r="B536" s="3181">
        <f>面积!C1191</f>
        <v>32.61</v>
      </c>
      <c r="C536" s="3183">
        <f t="shared" si="95"/>
        <v>1</v>
      </c>
      <c r="D536" s="632"/>
      <c r="E536" s="3183">
        <f t="shared" si="96"/>
        <v>1</v>
      </c>
      <c r="F536" s="632"/>
      <c r="G536" s="3183">
        <f t="shared" si="97"/>
        <v>1</v>
      </c>
      <c r="H536" s="632"/>
      <c r="I536" s="3183">
        <f t="shared" si="98"/>
        <v>1</v>
      </c>
      <c r="J536" s="632"/>
      <c r="K536" s="3183">
        <f t="shared" si="99"/>
        <v>1</v>
      </c>
      <c r="L536" s="632"/>
      <c r="M536" s="3183">
        <f t="shared" si="100"/>
        <v>1</v>
      </c>
      <c r="N536" s="632"/>
      <c r="O536" s="3183">
        <f t="shared" si="101"/>
        <v>1</v>
      </c>
      <c r="P536" s="632"/>
      <c r="Q536" s="3183">
        <f t="shared" si="102"/>
        <v>1</v>
      </c>
      <c r="R536" s="3183">
        <f t="shared" si="103"/>
        <v>162430</v>
      </c>
      <c r="S536" s="902">
        <f t="shared" si="104"/>
        <v>530</v>
      </c>
    </row>
    <row r="537" spans="1:19">
      <c r="A537" s="3180">
        <f>面积!B1192</f>
        <v>-1518</v>
      </c>
      <c r="B537" s="3181">
        <f>面积!C1192</f>
        <v>32.61</v>
      </c>
      <c r="C537" s="3183">
        <f t="shared" si="95"/>
        <v>1</v>
      </c>
      <c r="D537" s="632"/>
      <c r="E537" s="3183">
        <f t="shared" si="96"/>
        <v>1</v>
      </c>
      <c r="F537" s="632"/>
      <c r="G537" s="3183">
        <f t="shared" si="97"/>
        <v>1</v>
      </c>
      <c r="H537" s="632"/>
      <c r="I537" s="3183">
        <f t="shared" si="98"/>
        <v>1</v>
      </c>
      <c r="J537" s="632"/>
      <c r="K537" s="3183">
        <f t="shared" si="99"/>
        <v>1</v>
      </c>
      <c r="L537" s="632"/>
      <c r="M537" s="3183">
        <f t="shared" si="100"/>
        <v>1</v>
      </c>
      <c r="N537" s="632"/>
      <c r="O537" s="3183">
        <f t="shared" si="101"/>
        <v>1</v>
      </c>
      <c r="P537" s="632"/>
      <c r="Q537" s="3183">
        <f t="shared" si="102"/>
        <v>1</v>
      </c>
      <c r="R537" s="3183">
        <f t="shared" si="103"/>
        <v>162430</v>
      </c>
      <c r="S537" s="902">
        <f t="shared" si="104"/>
        <v>530</v>
      </c>
    </row>
    <row r="538" spans="1:19">
      <c r="A538" s="3180">
        <f>面积!B1193</f>
        <v>-1519</v>
      </c>
      <c r="B538" s="3181">
        <f>面积!C1193</f>
        <v>32.61</v>
      </c>
      <c r="C538" s="3183">
        <f t="shared" si="95"/>
        <v>1</v>
      </c>
      <c r="D538" s="632"/>
      <c r="E538" s="3183">
        <f t="shared" si="96"/>
        <v>1</v>
      </c>
      <c r="F538" s="632"/>
      <c r="G538" s="3183">
        <f t="shared" si="97"/>
        <v>1</v>
      </c>
      <c r="H538" s="632"/>
      <c r="I538" s="3183">
        <f t="shared" si="98"/>
        <v>1</v>
      </c>
      <c r="J538" s="632"/>
      <c r="K538" s="3183">
        <f t="shared" si="99"/>
        <v>1</v>
      </c>
      <c r="L538" s="632"/>
      <c r="M538" s="3183">
        <f t="shared" si="100"/>
        <v>1</v>
      </c>
      <c r="N538" s="632"/>
      <c r="O538" s="3183">
        <f t="shared" si="101"/>
        <v>1</v>
      </c>
      <c r="P538" s="632"/>
      <c r="Q538" s="3183">
        <f t="shared" si="102"/>
        <v>1</v>
      </c>
      <c r="R538" s="3183">
        <f t="shared" si="103"/>
        <v>162430</v>
      </c>
      <c r="S538" s="902">
        <f t="shared" si="104"/>
        <v>530</v>
      </c>
    </row>
    <row r="539" spans="1:19">
      <c r="A539" s="3180">
        <f>面积!B1194</f>
        <v>-1520</v>
      </c>
      <c r="B539" s="3181">
        <f>面积!C1194</f>
        <v>32.61</v>
      </c>
      <c r="C539" s="3183">
        <f t="shared" si="95"/>
        <v>1</v>
      </c>
      <c r="D539" s="632"/>
      <c r="E539" s="3183">
        <f t="shared" si="96"/>
        <v>1</v>
      </c>
      <c r="F539" s="632"/>
      <c r="G539" s="3183">
        <f t="shared" si="97"/>
        <v>1</v>
      </c>
      <c r="H539" s="632"/>
      <c r="I539" s="3183">
        <f t="shared" si="98"/>
        <v>1</v>
      </c>
      <c r="J539" s="632"/>
      <c r="K539" s="3183">
        <f t="shared" si="99"/>
        <v>1</v>
      </c>
      <c r="L539" s="632"/>
      <c r="M539" s="3183">
        <f t="shared" si="100"/>
        <v>1</v>
      </c>
      <c r="N539" s="632"/>
      <c r="O539" s="3183">
        <f t="shared" si="101"/>
        <v>1</v>
      </c>
      <c r="P539" s="632"/>
      <c r="Q539" s="3183">
        <f t="shared" si="102"/>
        <v>1</v>
      </c>
      <c r="R539" s="3183">
        <f t="shared" si="103"/>
        <v>162430</v>
      </c>
      <c r="S539" s="902">
        <f t="shared" si="104"/>
        <v>530</v>
      </c>
    </row>
    <row r="540" spans="1:19">
      <c r="A540" s="3180">
        <f>面积!B1195</f>
        <v>-1521</v>
      </c>
      <c r="B540" s="3181">
        <f>面积!C1195</f>
        <v>32.61</v>
      </c>
      <c r="C540" s="3183">
        <f t="shared" si="95"/>
        <v>1</v>
      </c>
      <c r="D540" s="632"/>
      <c r="E540" s="3183">
        <f t="shared" si="96"/>
        <v>1</v>
      </c>
      <c r="F540" s="632"/>
      <c r="G540" s="3183">
        <f t="shared" si="97"/>
        <v>1</v>
      </c>
      <c r="H540" s="632"/>
      <c r="I540" s="3183">
        <f t="shared" si="98"/>
        <v>1</v>
      </c>
      <c r="J540" s="632"/>
      <c r="K540" s="3183">
        <f t="shared" si="99"/>
        <v>1</v>
      </c>
      <c r="L540" s="632"/>
      <c r="M540" s="3183">
        <f t="shared" si="100"/>
        <v>1</v>
      </c>
      <c r="N540" s="632"/>
      <c r="O540" s="3183">
        <f t="shared" si="101"/>
        <v>1</v>
      </c>
      <c r="P540" s="632"/>
      <c r="Q540" s="3183">
        <f t="shared" si="102"/>
        <v>1</v>
      </c>
      <c r="R540" s="3183">
        <f t="shared" si="103"/>
        <v>162430</v>
      </c>
      <c r="S540" s="902">
        <f t="shared" si="104"/>
        <v>530</v>
      </c>
    </row>
    <row r="541" spans="1:19">
      <c r="A541" s="3180">
        <f>面积!B1196</f>
        <v>-1522</v>
      </c>
      <c r="B541" s="3181">
        <f>面积!C1196</f>
        <v>32.61</v>
      </c>
      <c r="C541" s="3183">
        <f t="shared" si="95"/>
        <v>1</v>
      </c>
      <c r="D541" s="632"/>
      <c r="E541" s="3183">
        <f t="shared" si="96"/>
        <v>1</v>
      </c>
      <c r="F541" s="632"/>
      <c r="G541" s="3183">
        <f t="shared" si="97"/>
        <v>1</v>
      </c>
      <c r="H541" s="632"/>
      <c r="I541" s="3183">
        <f t="shared" si="98"/>
        <v>1</v>
      </c>
      <c r="J541" s="632"/>
      <c r="K541" s="3183">
        <f t="shared" si="99"/>
        <v>1</v>
      </c>
      <c r="L541" s="632"/>
      <c r="M541" s="3183">
        <f t="shared" si="100"/>
        <v>1</v>
      </c>
      <c r="N541" s="632"/>
      <c r="O541" s="3183">
        <f t="shared" si="101"/>
        <v>1</v>
      </c>
      <c r="P541" s="632"/>
      <c r="Q541" s="3183">
        <f t="shared" si="102"/>
        <v>1</v>
      </c>
      <c r="R541" s="3183">
        <f t="shared" si="103"/>
        <v>162430</v>
      </c>
      <c r="S541" s="902">
        <f t="shared" si="104"/>
        <v>530</v>
      </c>
    </row>
    <row r="542" spans="1:19">
      <c r="A542" s="3180">
        <f>面积!B1197</f>
        <v>-1523</v>
      </c>
      <c r="B542" s="3181">
        <f>面积!C1197</f>
        <v>32.61</v>
      </c>
      <c r="C542" s="3183">
        <f t="shared" si="95"/>
        <v>1</v>
      </c>
      <c r="D542" s="632"/>
      <c r="E542" s="3183">
        <f t="shared" si="96"/>
        <v>1</v>
      </c>
      <c r="F542" s="632"/>
      <c r="G542" s="3183">
        <f t="shared" si="97"/>
        <v>1</v>
      </c>
      <c r="H542" s="632"/>
      <c r="I542" s="3183">
        <f t="shared" si="98"/>
        <v>1</v>
      </c>
      <c r="J542" s="632"/>
      <c r="K542" s="3183">
        <f t="shared" si="99"/>
        <v>1</v>
      </c>
      <c r="L542" s="632"/>
      <c r="M542" s="3183">
        <f t="shared" si="100"/>
        <v>1</v>
      </c>
      <c r="N542" s="632"/>
      <c r="O542" s="3183">
        <f t="shared" si="101"/>
        <v>1</v>
      </c>
      <c r="P542" s="632"/>
      <c r="Q542" s="3183">
        <f t="shared" si="102"/>
        <v>1</v>
      </c>
      <c r="R542" s="3183">
        <f t="shared" si="103"/>
        <v>162430</v>
      </c>
      <c r="S542" s="902">
        <f t="shared" si="104"/>
        <v>530</v>
      </c>
    </row>
    <row r="543" spans="1:19">
      <c r="A543" s="3180">
        <f>面积!B1198</f>
        <v>-1524</v>
      </c>
      <c r="B543" s="3181">
        <f>面积!C1198</f>
        <v>32.61</v>
      </c>
      <c r="C543" s="3183">
        <f t="shared" si="95"/>
        <v>1</v>
      </c>
      <c r="D543" s="632"/>
      <c r="E543" s="3183">
        <f t="shared" si="96"/>
        <v>1</v>
      </c>
      <c r="F543" s="632"/>
      <c r="G543" s="3183">
        <f t="shared" si="97"/>
        <v>1</v>
      </c>
      <c r="H543" s="632"/>
      <c r="I543" s="3183">
        <f t="shared" si="98"/>
        <v>1</v>
      </c>
      <c r="J543" s="632"/>
      <c r="K543" s="3183">
        <f t="shared" si="99"/>
        <v>1</v>
      </c>
      <c r="L543" s="632"/>
      <c r="M543" s="3183">
        <f t="shared" si="100"/>
        <v>1</v>
      </c>
      <c r="N543" s="632"/>
      <c r="O543" s="3183">
        <f t="shared" si="101"/>
        <v>1</v>
      </c>
      <c r="P543" s="632"/>
      <c r="Q543" s="3183">
        <f t="shared" si="102"/>
        <v>1</v>
      </c>
      <c r="R543" s="3183">
        <f t="shared" si="103"/>
        <v>162430</v>
      </c>
      <c r="S543" s="902">
        <f t="shared" si="104"/>
        <v>530</v>
      </c>
    </row>
    <row r="544" spans="1:19">
      <c r="A544" s="3180">
        <f>面积!B1199</f>
        <v>-1525</v>
      </c>
      <c r="B544" s="3181">
        <f>面积!C1199</f>
        <v>32.61</v>
      </c>
      <c r="C544" s="3183">
        <f t="shared" si="95"/>
        <v>1</v>
      </c>
      <c r="D544" s="632"/>
      <c r="E544" s="3183">
        <f t="shared" si="96"/>
        <v>1</v>
      </c>
      <c r="F544" s="632"/>
      <c r="G544" s="3183">
        <f t="shared" si="97"/>
        <v>1</v>
      </c>
      <c r="H544" s="632"/>
      <c r="I544" s="3183">
        <f t="shared" si="98"/>
        <v>1</v>
      </c>
      <c r="J544" s="632"/>
      <c r="K544" s="3183">
        <f t="shared" si="99"/>
        <v>1</v>
      </c>
      <c r="L544" s="632"/>
      <c r="M544" s="3183">
        <f t="shared" si="100"/>
        <v>1</v>
      </c>
      <c r="N544" s="632"/>
      <c r="O544" s="3183">
        <f t="shared" si="101"/>
        <v>1</v>
      </c>
      <c r="P544" s="632"/>
      <c r="Q544" s="3183">
        <f t="shared" si="102"/>
        <v>1</v>
      </c>
      <c r="R544" s="3183">
        <f t="shared" si="103"/>
        <v>162430</v>
      </c>
      <c r="S544" s="902">
        <f t="shared" si="104"/>
        <v>530</v>
      </c>
    </row>
    <row r="545" spans="1:19">
      <c r="A545" s="3180">
        <f>面积!B1200</f>
        <v>-1526</v>
      </c>
      <c r="B545" s="3181">
        <f>面积!C1200</f>
        <v>32.61</v>
      </c>
      <c r="C545" s="3183">
        <f t="shared" si="95"/>
        <v>1</v>
      </c>
      <c r="D545" s="632"/>
      <c r="E545" s="3183">
        <f t="shared" si="96"/>
        <v>1</v>
      </c>
      <c r="F545" s="632"/>
      <c r="G545" s="3183">
        <f t="shared" si="97"/>
        <v>1</v>
      </c>
      <c r="H545" s="632"/>
      <c r="I545" s="3183">
        <f t="shared" si="98"/>
        <v>1</v>
      </c>
      <c r="J545" s="632"/>
      <c r="K545" s="3183">
        <f t="shared" si="99"/>
        <v>1</v>
      </c>
      <c r="L545" s="632"/>
      <c r="M545" s="3183">
        <f t="shared" si="100"/>
        <v>1</v>
      </c>
      <c r="N545" s="632"/>
      <c r="O545" s="3183">
        <f t="shared" si="101"/>
        <v>1</v>
      </c>
      <c r="P545" s="632"/>
      <c r="Q545" s="3183">
        <f t="shared" si="102"/>
        <v>1</v>
      </c>
      <c r="R545" s="3183">
        <f t="shared" si="103"/>
        <v>162430</v>
      </c>
      <c r="S545" s="902">
        <f t="shared" si="104"/>
        <v>530</v>
      </c>
    </row>
    <row r="546" spans="1:19">
      <c r="A546" s="3180">
        <f>面积!B1201</f>
        <v>-1527</v>
      </c>
      <c r="B546" s="3181">
        <f>面积!C1201</f>
        <v>32.61</v>
      </c>
      <c r="C546" s="3183">
        <f t="shared" si="95"/>
        <v>1</v>
      </c>
      <c r="D546" s="632"/>
      <c r="E546" s="3183">
        <f t="shared" si="96"/>
        <v>1</v>
      </c>
      <c r="F546" s="632"/>
      <c r="G546" s="3183">
        <f t="shared" si="97"/>
        <v>1</v>
      </c>
      <c r="H546" s="632"/>
      <c r="I546" s="3183">
        <f t="shared" si="98"/>
        <v>1</v>
      </c>
      <c r="J546" s="632"/>
      <c r="K546" s="3183">
        <f t="shared" si="99"/>
        <v>1</v>
      </c>
      <c r="L546" s="632"/>
      <c r="M546" s="3183">
        <f t="shared" si="100"/>
        <v>1</v>
      </c>
      <c r="N546" s="632"/>
      <c r="O546" s="3183">
        <f t="shared" si="101"/>
        <v>1</v>
      </c>
      <c r="P546" s="632"/>
      <c r="Q546" s="3183">
        <f t="shared" si="102"/>
        <v>1</v>
      </c>
      <c r="R546" s="3183">
        <f t="shared" si="103"/>
        <v>162430</v>
      </c>
      <c r="S546" s="902">
        <f t="shared" si="104"/>
        <v>530</v>
      </c>
    </row>
    <row r="547" spans="1:19">
      <c r="A547" s="3180">
        <f>面积!B1202</f>
        <v>-1528</v>
      </c>
      <c r="B547" s="3181">
        <f>面积!C1202</f>
        <v>32.61</v>
      </c>
      <c r="C547" s="3183">
        <f t="shared" si="95"/>
        <v>1</v>
      </c>
      <c r="D547" s="632"/>
      <c r="E547" s="3183">
        <f t="shared" si="96"/>
        <v>1</v>
      </c>
      <c r="F547" s="632"/>
      <c r="G547" s="3183">
        <f t="shared" si="97"/>
        <v>1</v>
      </c>
      <c r="H547" s="632"/>
      <c r="I547" s="3183">
        <f t="shared" si="98"/>
        <v>1</v>
      </c>
      <c r="J547" s="632"/>
      <c r="K547" s="3183">
        <f t="shared" si="99"/>
        <v>1</v>
      </c>
      <c r="L547" s="632"/>
      <c r="M547" s="3183">
        <f t="shared" si="100"/>
        <v>1</v>
      </c>
      <c r="N547" s="632"/>
      <c r="O547" s="3183">
        <f t="shared" si="101"/>
        <v>1</v>
      </c>
      <c r="P547" s="632"/>
      <c r="Q547" s="3183">
        <f t="shared" si="102"/>
        <v>1</v>
      </c>
      <c r="R547" s="3183">
        <f t="shared" si="103"/>
        <v>162430</v>
      </c>
      <c r="S547" s="902">
        <f t="shared" si="104"/>
        <v>530</v>
      </c>
    </row>
    <row r="548" spans="1:19">
      <c r="A548" s="3180">
        <f>面积!B1203</f>
        <v>-1529</v>
      </c>
      <c r="B548" s="3181">
        <f>面积!C1203</f>
        <v>32.61</v>
      </c>
      <c r="C548" s="3183">
        <f t="shared" si="95"/>
        <v>1</v>
      </c>
      <c r="D548" s="632"/>
      <c r="E548" s="3183">
        <f t="shared" si="96"/>
        <v>1</v>
      </c>
      <c r="F548" s="632"/>
      <c r="G548" s="3183">
        <f t="shared" si="97"/>
        <v>1</v>
      </c>
      <c r="H548" s="632"/>
      <c r="I548" s="3183">
        <f t="shared" si="98"/>
        <v>1</v>
      </c>
      <c r="J548" s="632"/>
      <c r="K548" s="3183">
        <f t="shared" si="99"/>
        <v>1</v>
      </c>
      <c r="L548" s="632"/>
      <c r="M548" s="3183">
        <f t="shared" si="100"/>
        <v>1</v>
      </c>
      <c r="N548" s="632"/>
      <c r="O548" s="3183">
        <f t="shared" si="101"/>
        <v>1</v>
      </c>
      <c r="P548" s="632"/>
      <c r="Q548" s="3183">
        <f t="shared" si="102"/>
        <v>1</v>
      </c>
      <c r="R548" s="3183">
        <f t="shared" si="103"/>
        <v>162430</v>
      </c>
      <c r="S548" s="902">
        <f t="shared" si="104"/>
        <v>530</v>
      </c>
    </row>
    <row r="549" spans="1:19">
      <c r="A549" s="3180">
        <f>面积!B1204</f>
        <v>-1530</v>
      </c>
      <c r="B549" s="3181">
        <f>面积!C1204</f>
        <v>32.61</v>
      </c>
      <c r="C549" s="3183">
        <f t="shared" si="95"/>
        <v>1</v>
      </c>
      <c r="D549" s="632"/>
      <c r="E549" s="3183">
        <f t="shared" si="96"/>
        <v>1</v>
      </c>
      <c r="F549" s="632"/>
      <c r="G549" s="3183">
        <f t="shared" si="97"/>
        <v>1</v>
      </c>
      <c r="H549" s="632"/>
      <c r="I549" s="3183">
        <f t="shared" si="98"/>
        <v>1</v>
      </c>
      <c r="J549" s="632"/>
      <c r="K549" s="3183">
        <f t="shared" si="99"/>
        <v>1</v>
      </c>
      <c r="L549" s="632"/>
      <c r="M549" s="3183">
        <f t="shared" si="100"/>
        <v>1</v>
      </c>
      <c r="N549" s="632"/>
      <c r="O549" s="3183">
        <f t="shared" si="101"/>
        <v>1</v>
      </c>
      <c r="P549" s="632"/>
      <c r="Q549" s="3183">
        <f t="shared" si="102"/>
        <v>1</v>
      </c>
      <c r="R549" s="3183">
        <f t="shared" si="103"/>
        <v>162430</v>
      </c>
      <c r="S549" s="902">
        <f t="shared" si="104"/>
        <v>530</v>
      </c>
    </row>
    <row r="550" spans="1:19">
      <c r="A550" s="3180">
        <f>面积!B1205</f>
        <v>-1531</v>
      </c>
      <c r="B550" s="3181">
        <f>面积!C1205</f>
        <v>32.61</v>
      </c>
      <c r="C550" s="3183">
        <f t="shared" si="95"/>
        <v>1</v>
      </c>
      <c r="D550" s="632"/>
      <c r="E550" s="3183">
        <f t="shared" si="96"/>
        <v>1</v>
      </c>
      <c r="F550" s="632"/>
      <c r="G550" s="3183">
        <f t="shared" si="97"/>
        <v>1</v>
      </c>
      <c r="H550" s="632"/>
      <c r="I550" s="3183">
        <f t="shared" si="98"/>
        <v>1</v>
      </c>
      <c r="J550" s="632"/>
      <c r="K550" s="3183">
        <f t="shared" si="99"/>
        <v>1</v>
      </c>
      <c r="L550" s="632"/>
      <c r="M550" s="3183">
        <f t="shared" si="100"/>
        <v>1</v>
      </c>
      <c r="N550" s="632"/>
      <c r="O550" s="3183">
        <f t="shared" si="101"/>
        <v>1</v>
      </c>
      <c r="P550" s="632"/>
      <c r="Q550" s="3183">
        <f t="shared" si="102"/>
        <v>1</v>
      </c>
      <c r="R550" s="3183">
        <f t="shared" si="103"/>
        <v>162430</v>
      </c>
      <c r="S550" s="902">
        <f t="shared" si="104"/>
        <v>530</v>
      </c>
    </row>
    <row r="551" spans="1:19">
      <c r="A551" s="3180">
        <f>面积!B1206</f>
        <v>-1532</v>
      </c>
      <c r="B551" s="3181">
        <f>面积!C1206</f>
        <v>32.61</v>
      </c>
      <c r="C551" s="3183">
        <f t="shared" si="95"/>
        <v>1</v>
      </c>
      <c r="D551" s="632"/>
      <c r="E551" s="3183">
        <f t="shared" si="96"/>
        <v>1</v>
      </c>
      <c r="F551" s="632"/>
      <c r="G551" s="3183">
        <f t="shared" si="97"/>
        <v>1</v>
      </c>
      <c r="H551" s="632"/>
      <c r="I551" s="3183">
        <f t="shared" si="98"/>
        <v>1</v>
      </c>
      <c r="J551" s="632"/>
      <c r="K551" s="3183">
        <f t="shared" si="99"/>
        <v>1</v>
      </c>
      <c r="L551" s="632"/>
      <c r="M551" s="3183">
        <f t="shared" si="100"/>
        <v>1</v>
      </c>
      <c r="N551" s="632"/>
      <c r="O551" s="3183">
        <f t="shared" si="101"/>
        <v>1</v>
      </c>
      <c r="P551" s="632"/>
      <c r="Q551" s="3183">
        <f t="shared" si="102"/>
        <v>1</v>
      </c>
      <c r="R551" s="3183">
        <f t="shared" si="103"/>
        <v>162430</v>
      </c>
      <c r="S551" s="902">
        <f t="shared" si="104"/>
        <v>530</v>
      </c>
    </row>
    <row r="552" spans="1:19">
      <c r="A552" s="3180">
        <f>面积!B1207</f>
        <v>-1533</v>
      </c>
      <c r="B552" s="3181">
        <f>面积!C1207</f>
        <v>32.61</v>
      </c>
      <c r="C552" s="3183">
        <f t="shared" si="95"/>
        <v>1</v>
      </c>
      <c r="D552" s="632"/>
      <c r="E552" s="3183">
        <f t="shared" si="96"/>
        <v>1</v>
      </c>
      <c r="F552" s="632"/>
      <c r="G552" s="3183">
        <f t="shared" si="97"/>
        <v>1</v>
      </c>
      <c r="H552" s="632"/>
      <c r="I552" s="3183">
        <f t="shared" si="98"/>
        <v>1</v>
      </c>
      <c r="J552" s="632"/>
      <c r="K552" s="3183">
        <f t="shared" si="99"/>
        <v>1</v>
      </c>
      <c r="L552" s="632"/>
      <c r="M552" s="3183">
        <f t="shared" si="100"/>
        <v>1</v>
      </c>
      <c r="N552" s="632"/>
      <c r="O552" s="3183">
        <f t="shared" si="101"/>
        <v>1</v>
      </c>
      <c r="P552" s="632"/>
      <c r="Q552" s="3183">
        <f t="shared" si="102"/>
        <v>1</v>
      </c>
      <c r="R552" s="3183">
        <f t="shared" si="103"/>
        <v>162430</v>
      </c>
      <c r="S552" s="902">
        <f t="shared" si="104"/>
        <v>530</v>
      </c>
    </row>
    <row r="553" spans="1:19">
      <c r="A553" s="3180">
        <f>面积!B1208</f>
        <v>-1534</v>
      </c>
      <c r="B553" s="3181">
        <f>面积!C1208</f>
        <v>32.61</v>
      </c>
      <c r="C553" s="3183">
        <f t="shared" si="95"/>
        <v>1</v>
      </c>
      <c r="D553" s="632"/>
      <c r="E553" s="3183">
        <f t="shared" si="96"/>
        <v>1</v>
      </c>
      <c r="F553" s="632"/>
      <c r="G553" s="3183">
        <f t="shared" si="97"/>
        <v>1</v>
      </c>
      <c r="H553" s="632"/>
      <c r="I553" s="3183">
        <f t="shared" si="98"/>
        <v>1</v>
      </c>
      <c r="J553" s="632"/>
      <c r="K553" s="3183">
        <f t="shared" si="99"/>
        <v>1</v>
      </c>
      <c r="L553" s="632"/>
      <c r="M553" s="3183">
        <f t="shared" si="100"/>
        <v>1</v>
      </c>
      <c r="N553" s="632"/>
      <c r="O553" s="3183">
        <f t="shared" si="101"/>
        <v>1</v>
      </c>
      <c r="P553" s="632"/>
      <c r="Q553" s="3183">
        <f t="shared" si="102"/>
        <v>1</v>
      </c>
      <c r="R553" s="3183">
        <f t="shared" si="103"/>
        <v>162430</v>
      </c>
      <c r="S553" s="902">
        <f t="shared" si="104"/>
        <v>530</v>
      </c>
    </row>
    <row r="554" spans="1:19">
      <c r="A554" s="3180">
        <f>面积!B1209</f>
        <v>-1535</v>
      </c>
      <c r="B554" s="3181">
        <f>面积!C1209</f>
        <v>32.61</v>
      </c>
      <c r="C554" s="3183">
        <f t="shared" si="95"/>
        <v>1</v>
      </c>
      <c r="D554" s="632"/>
      <c r="E554" s="3183">
        <f t="shared" si="96"/>
        <v>1</v>
      </c>
      <c r="F554" s="632"/>
      <c r="G554" s="3183">
        <f t="shared" si="97"/>
        <v>1</v>
      </c>
      <c r="H554" s="632"/>
      <c r="I554" s="3183">
        <f t="shared" si="98"/>
        <v>1</v>
      </c>
      <c r="J554" s="632"/>
      <c r="K554" s="3183">
        <f t="shared" si="99"/>
        <v>1</v>
      </c>
      <c r="L554" s="632"/>
      <c r="M554" s="3183">
        <f t="shared" si="100"/>
        <v>1</v>
      </c>
      <c r="N554" s="632"/>
      <c r="O554" s="3183">
        <f t="shared" si="101"/>
        <v>1</v>
      </c>
      <c r="P554" s="632"/>
      <c r="Q554" s="3183">
        <f t="shared" si="102"/>
        <v>1</v>
      </c>
      <c r="R554" s="3183">
        <f t="shared" si="103"/>
        <v>162430</v>
      </c>
      <c r="S554" s="902">
        <f t="shared" si="104"/>
        <v>530</v>
      </c>
    </row>
    <row r="555" spans="1:19">
      <c r="A555" s="3180">
        <f>面积!B1210</f>
        <v>-1536</v>
      </c>
      <c r="B555" s="3181">
        <f>面积!C1210</f>
        <v>32.61</v>
      </c>
      <c r="C555" s="3183">
        <f t="shared" si="95"/>
        <v>1</v>
      </c>
      <c r="D555" s="632"/>
      <c r="E555" s="3183">
        <f t="shared" si="96"/>
        <v>1</v>
      </c>
      <c r="F555" s="632"/>
      <c r="G555" s="3183">
        <f t="shared" si="97"/>
        <v>1</v>
      </c>
      <c r="H555" s="632"/>
      <c r="I555" s="3183">
        <f t="shared" si="98"/>
        <v>1</v>
      </c>
      <c r="J555" s="632"/>
      <c r="K555" s="3183">
        <f t="shared" si="99"/>
        <v>1</v>
      </c>
      <c r="L555" s="632"/>
      <c r="M555" s="3183">
        <f t="shared" si="100"/>
        <v>1</v>
      </c>
      <c r="N555" s="632"/>
      <c r="O555" s="3183">
        <f t="shared" si="101"/>
        <v>1</v>
      </c>
      <c r="P555" s="632"/>
      <c r="Q555" s="3183">
        <f t="shared" si="102"/>
        <v>1</v>
      </c>
      <c r="R555" s="3183">
        <f t="shared" si="103"/>
        <v>162430</v>
      </c>
      <c r="S555" s="902">
        <f t="shared" si="104"/>
        <v>530</v>
      </c>
    </row>
    <row r="556" spans="1:19">
      <c r="A556" s="3180">
        <f>面积!B1211</f>
        <v>-1537</v>
      </c>
      <c r="B556" s="3181">
        <f>面积!C1211</f>
        <v>32.61</v>
      </c>
      <c r="C556" s="3183">
        <f t="shared" si="95"/>
        <v>1</v>
      </c>
      <c r="D556" s="632"/>
      <c r="E556" s="3183">
        <f t="shared" si="96"/>
        <v>1</v>
      </c>
      <c r="F556" s="632"/>
      <c r="G556" s="3183">
        <f t="shared" si="97"/>
        <v>1</v>
      </c>
      <c r="H556" s="632"/>
      <c r="I556" s="3183">
        <f t="shared" si="98"/>
        <v>1</v>
      </c>
      <c r="J556" s="632"/>
      <c r="K556" s="3183">
        <f t="shared" si="99"/>
        <v>1</v>
      </c>
      <c r="L556" s="632"/>
      <c r="M556" s="3183">
        <f t="shared" si="100"/>
        <v>1</v>
      </c>
      <c r="N556" s="632"/>
      <c r="O556" s="3183">
        <f t="shared" si="101"/>
        <v>1</v>
      </c>
      <c r="P556" s="632"/>
      <c r="Q556" s="3183">
        <f t="shared" si="102"/>
        <v>1</v>
      </c>
      <c r="R556" s="3183">
        <f t="shared" si="103"/>
        <v>162430</v>
      </c>
      <c r="S556" s="902">
        <f t="shared" si="104"/>
        <v>530</v>
      </c>
    </row>
    <row r="557" spans="1:19">
      <c r="A557" s="3180">
        <f>面积!B1212</f>
        <v>-1538</v>
      </c>
      <c r="B557" s="3181">
        <f>面积!C1212</f>
        <v>32.61</v>
      </c>
      <c r="C557" s="3183">
        <f t="shared" si="95"/>
        <v>1</v>
      </c>
      <c r="D557" s="632"/>
      <c r="E557" s="3183">
        <f t="shared" si="96"/>
        <v>1</v>
      </c>
      <c r="F557" s="632"/>
      <c r="G557" s="3183">
        <f t="shared" si="97"/>
        <v>1</v>
      </c>
      <c r="H557" s="632"/>
      <c r="I557" s="3183">
        <f t="shared" si="98"/>
        <v>1</v>
      </c>
      <c r="J557" s="632"/>
      <c r="K557" s="3183">
        <f t="shared" si="99"/>
        <v>1</v>
      </c>
      <c r="L557" s="632"/>
      <c r="M557" s="3183">
        <f t="shared" si="100"/>
        <v>1</v>
      </c>
      <c r="N557" s="632"/>
      <c r="O557" s="3183">
        <f t="shared" si="101"/>
        <v>1</v>
      </c>
      <c r="P557" s="632"/>
      <c r="Q557" s="3183">
        <f t="shared" si="102"/>
        <v>1</v>
      </c>
      <c r="R557" s="3183">
        <f t="shared" si="103"/>
        <v>162430</v>
      </c>
      <c r="S557" s="902">
        <f t="shared" si="104"/>
        <v>530</v>
      </c>
    </row>
    <row r="558" spans="1:19">
      <c r="A558" s="3180">
        <f>面积!B1213</f>
        <v>-1539</v>
      </c>
      <c r="B558" s="3181">
        <f>面积!C1213</f>
        <v>32.61</v>
      </c>
      <c r="C558" s="3183">
        <f t="shared" si="95"/>
        <v>1</v>
      </c>
      <c r="D558" s="632"/>
      <c r="E558" s="3183">
        <f t="shared" si="96"/>
        <v>1</v>
      </c>
      <c r="F558" s="632"/>
      <c r="G558" s="3183">
        <f t="shared" si="97"/>
        <v>1</v>
      </c>
      <c r="H558" s="632"/>
      <c r="I558" s="3183">
        <f t="shared" si="98"/>
        <v>1</v>
      </c>
      <c r="J558" s="632"/>
      <c r="K558" s="3183">
        <f t="shared" si="99"/>
        <v>1</v>
      </c>
      <c r="L558" s="632"/>
      <c r="M558" s="3183">
        <f t="shared" si="100"/>
        <v>1</v>
      </c>
      <c r="N558" s="632"/>
      <c r="O558" s="3183">
        <f t="shared" si="101"/>
        <v>1</v>
      </c>
      <c r="P558" s="632"/>
      <c r="Q558" s="3183">
        <f t="shared" si="102"/>
        <v>1</v>
      </c>
      <c r="R558" s="3183">
        <f t="shared" si="103"/>
        <v>162430</v>
      </c>
      <c r="S558" s="902">
        <f t="shared" si="104"/>
        <v>530</v>
      </c>
    </row>
    <row r="559" spans="1:19">
      <c r="A559" s="3180">
        <f>面积!B1214</f>
        <v>-1540</v>
      </c>
      <c r="B559" s="3181">
        <f>面积!C1214</f>
        <v>32.61</v>
      </c>
      <c r="C559" s="3183">
        <f t="shared" si="95"/>
        <v>1</v>
      </c>
      <c r="D559" s="632"/>
      <c r="E559" s="3183">
        <f t="shared" si="96"/>
        <v>1</v>
      </c>
      <c r="F559" s="632"/>
      <c r="G559" s="3183">
        <f t="shared" si="97"/>
        <v>1</v>
      </c>
      <c r="H559" s="632"/>
      <c r="I559" s="3183">
        <f t="shared" si="98"/>
        <v>1</v>
      </c>
      <c r="J559" s="632"/>
      <c r="K559" s="3183">
        <f t="shared" si="99"/>
        <v>1</v>
      </c>
      <c r="L559" s="632"/>
      <c r="M559" s="3183">
        <f t="shared" si="100"/>
        <v>1</v>
      </c>
      <c r="N559" s="632"/>
      <c r="O559" s="3183">
        <f t="shared" si="101"/>
        <v>1</v>
      </c>
      <c r="P559" s="632"/>
      <c r="Q559" s="3183">
        <f t="shared" si="102"/>
        <v>1</v>
      </c>
      <c r="R559" s="3183">
        <f t="shared" si="103"/>
        <v>162430</v>
      </c>
      <c r="S559" s="902">
        <f t="shared" si="104"/>
        <v>530</v>
      </c>
    </row>
    <row r="560" spans="1:19">
      <c r="A560" s="3180">
        <f>面积!B1215</f>
        <v>-1541</v>
      </c>
      <c r="B560" s="3181">
        <f>面积!C1215</f>
        <v>32.61</v>
      </c>
      <c r="C560" s="3183">
        <f t="shared" si="95"/>
        <v>1</v>
      </c>
      <c r="D560" s="632"/>
      <c r="E560" s="3183">
        <f t="shared" si="96"/>
        <v>1</v>
      </c>
      <c r="F560" s="632"/>
      <c r="G560" s="3183">
        <f t="shared" si="97"/>
        <v>1</v>
      </c>
      <c r="H560" s="632"/>
      <c r="I560" s="3183">
        <f t="shared" si="98"/>
        <v>1</v>
      </c>
      <c r="J560" s="632"/>
      <c r="K560" s="3183">
        <f t="shared" si="99"/>
        <v>1</v>
      </c>
      <c r="L560" s="632"/>
      <c r="M560" s="3183">
        <f t="shared" si="100"/>
        <v>1</v>
      </c>
      <c r="N560" s="632"/>
      <c r="O560" s="3183">
        <f t="shared" si="101"/>
        <v>1</v>
      </c>
      <c r="P560" s="632"/>
      <c r="Q560" s="3183">
        <f t="shared" si="102"/>
        <v>1</v>
      </c>
      <c r="R560" s="3183">
        <f t="shared" si="103"/>
        <v>162430</v>
      </c>
      <c r="S560" s="902">
        <f t="shared" si="104"/>
        <v>530</v>
      </c>
    </row>
    <row r="561" spans="1:19">
      <c r="A561" s="3180">
        <f>面积!B1216</f>
        <v>-1542</v>
      </c>
      <c r="B561" s="3181">
        <f>面积!C1216</f>
        <v>32.61</v>
      </c>
      <c r="C561" s="3183">
        <f t="shared" si="95"/>
        <v>1</v>
      </c>
      <c r="D561" s="632"/>
      <c r="E561" s="3183">
        <f t="shared" si="96"/>
        <v>1</v>
      </c>
      <c r="F561" s="632"/>
      <c r="G561" s="3183">
        <f t="shared" si="97"/>
        <v>1</v>
      </c>
      <c r="H561" s="632"/>
      <c r="I561" s="3183">
        <f t="shared" si="98"/>
        <v>1</v>
      </c>
      <c r="J561" s="632"/>
      <c r="K561" s="3183">
        <f t="shared" si="99"/>
        <v>1</v>
      </c>
      <c r="L561" s="632"/>
      <c r="M561" s="3183">
        <f t="shared" si="100"/>
        <v>1</v>
      </c>
      <c r="N561" s="632"/>
      <c r="O561" s="3183">
        <f t="shared" si="101"/>
        <v>1</v>
      </c>
      <c r="P561" s="632"/>
      <c r="Q561" s="3183">
        <f t="shared" si="102"/>
        <v>1</v>
      </c>
      <c r="R561" s="3183">
        <f t="shared" si="103"/>
        <v>162430</v>
      </c>
      <c r="S561" s="902">
        <f t="shared" si="104"/>
        <v>530</v>
      </c>
    </row>
    <row r="562" spans="1:19">
      <c r="A562" s="3180">
        <f>面积!B1217</f>
        <v>-1543</v>
      </c>
      <c r="B562" s="3181">
        <f>面积!C1217</f>
        <v>32.61</v>
      </c>
      <c r="C562" s="3183">
        <f t="shared" si="95"/>
        <v>1</v>
      </c>
      <c r="D562" s="632"/>
      <c r="E562" s="3183">
        <f t="shared" si="96"/>
        <v>1</v>
      </c>
      <c r="F562" s="632"/>
      <c r="G562" s="3183">
        <f t="shared" si="97"/>
        <v>1</v>
      </c>
      <c r="H562" s="632"/>
      <c r="I562" s="3183">
        <f t="shared" si="98"/>
        <v>1</v>
      </c>
      <c r="J562" s="632"/>
      <c r="K562" s="3183">
        <f t="shared" si="99"/>
        <v>1</v>
      </c>
      <c r="L562" s="632"/>
      <c r="M562" s="3183">
        <f t="shared" si="100"/>
        <v>1</v>
      </c>
      <c r="N562" s="632"/>
      <c r="O562" s="3183">
        <f t="shared" si="101"/>
        <v>1</v>
      </c>
      <c r="P562" s="632"/>
      <c r="Q562" s="3183">
        <f t="shared" si="102"/>
        <v>1</v>
      </c>
      <c r="R562" s="3183">
        <f t="shared" si="103"/>
        <v>162430</v>
      </c>
      <c r="S562" s="902">
        <f t="shared" si="104"/>
        <v>530</v>
      </c>
    </row>
    <row r="563" spans="1:19">
      <c r="A563" s="3180">
        <f>面积!B1218</f>
        <v>-1544</v>
      </c>
      <c r="B563" s="3181">
        <f>面积!C1218</f>
        <v>32.61</v>
      </c>
      <c r="C563" s="3183">
        <f t="shared" si="95"/>
        <v>1</v>
      </c>
      <c r="D563" s="632"/>
      <c r="E563" s="3183">
        <f t="shared" si="96"/>
        <v>1</v>
      </c>
      <c r="F563" s="632"/>
      <c r="G563" s="3183">
        <f t="shared" si="97"/>
        <v>1</v>
      </c>
      <c r="H563" s="632"/>
      <c r="I563" s="3183">
        <f t="shared" si="98"/>
        <v>1</v>
      </c>
      <c r="J563" s="632"/>
      <c r="K563" s="3183">
        <f t="shared" si="99"/>
        <v>1</v>
      </c>
      <c r="L563" s="632"/>
      <c r="M563" s="3183">
        <f t="shared" si="100"/>
        <v>1</v>
      </c>
      <c r="N563" s="632"/>
      <c r="O563" s="3183">
        <f t="shared" si="101"/>
        <v>1</v>
      </c>
      <c r="P563" s="632"/>
      <c r="Q563" s="3183">
        <f t="shared" si="102"/>
        <v>1</v>
      </c>
      <c r="R563" s="3183">
        <f t="shared" si="103"/>
        <v>162430</v>
      </c>
      <c r="S563" s="902">
        <f t="shared" si="104"/>
        <v>530</v>
      </c>
    </row>
    <row r="564" spans="1:19">
      <c r="A564" s="3180">
        <f>面积!B1219</f>
        <v>-1545</v>
      </c>
      <c r="B564" s="3181">
        <f>面积!C1219</f>
        <v>32.61</v>
      </c>
      <c r="C564" s="3183">
        <f t="shared" si="95"/>
        <v>1</v>
      </c>
      <c r="D564" s="632"/>
      <c r="E564" s="3183">
        <f t="shared" si="96"/>
        <v>1</v>
      </c>
      <c r="F564" s="632"/>
      <c r="G564" s="3183">
        <f t="shared" si="97"/>
        <v>1</v>
      </c>
      <c r="H564" s="632"/>
      <c r="I564" s="3183">
        <f t="shared" si="98"/>
        <v>1</v>
      </c>
      <c r="J564" s="632"/>
      <c r="K564" s="3183">
        <f t="shared" si="99"/>
        <v>1</v>
      </c>
      <c r="L564" s="632"/>
      <c r="M564" s="3183">
        <f t="shared" si="100"/>
        <v>1</v>
      </c>
      <c r="N564" s="632"/>
      <c r="O564" s="3183">
        <f t="shared" si="101"/>
        <v>1</v>
      </c>
      <c r="P564" s="632"/>
      <c r="Q564" s="3183">
        <f t="shared" si="102"/>
        <v>1</v>
      </c>
      <c r="R564" s="3183">
        <f t="shared" si="103"/>
        <v>162430</v>
      </c>
      <c r="S564" s="902">
        <f t="shared" si="104"/>
        <v>530</v>
      </c>
    </row>
    <row r="565" spans="1:19">
      <c r="A565" s="3180">
        <f>面积!B1220</f>
        <v>-1546</v>
      </c>
      <c r="B565" s="3181">
        <f>面积!C1220</f>
        <v>32.61</v>
      </c>
      <c r="C565" s="3183">
        <f t="shared" si="95"/>
        <v>1</v>
      </c>
      <c r="D565" s="632"/>
      <c r="E565" s="3183">
        <f t="shared" si="96"/>
        <v>1</v>
      </c>
      <c r="F565" s="632"/>
      <c r="G565" s="3183">
        <f t="shared" si="97"/>
        <v>1</v>
      </c>
      <c r="H565" s="632"/>
      <c r="I565" s="3183">
        <f t="shared" si="98"/>
        <v>1</v>
      </c>
      <c r="J565" s="632"/>
      <c r="K565" s="3183">
        <f t="shared" si="99"/>
        <v>1</v>
      </c>
      <c r="L565" s="632"/>
      <c r="M565" s="3183">
        <f t="shared" si="100"/>
        <v>1</v>
      </c>
      <c r="N565" s="632"/>
      <c r="O565" s="3183">
        <f t="shared" si="101"/>
        <v>1</v>
      </c>
      <c r="P565" s="632"/>
      <c r="Q565" s="3183">
        <f t="shared" si="102"/>
        <v>1</v>
      </c>
      <c r="R565" s="3183">
        <f t="shared" si="103"/>
        <v>162430</v>
      </c>
      <c r="S565" s="902">
        <f t="shared" si="104"/>
        <v>530</v>
      </c>
    </row>
    <row r="566" spans="1:19">
      <c r="A566" s="3180">
        <f>面积!B1221</f>
        <v>-1548</v>
      </c>
      <c r="B566" s="3181">
        <f>面积!C1221</f>
        <v>32.61</v>
      </c>
      <c r="C566" s="3183">
        <f t="shared" si="95"/>
        <v>1</v>
      </c>
      <c r="D566" s="632"/>
      <c r="E566" s="3183">
        <f t="shared" si="96"/>
        <v>1</v>
      </c>
      <c r="F566" s="632"/>
      <c r="G566" s="3183">
        <f t="shared" si="97"/>
        <v>1</v>
      </c>
      <c r="H566" s="632"/>
      <c r="I566" s="3183">
        <f t="shared" si="98"/>
        <v>1</v>
      </c>
      <c r="J566" s="632"/>
      <c r="K566" s="3183">
        <f t="shared" si="99"/>
        <v>1</v>
      </c>
      <c r="L566" s="632"/>
      <c r="M566" s="3183">
        <f t="shared" si="100"/>
        <v>1</v>
      </c>
      <c r="N566" s="632"/>
      <c r="O566" s="3183">
        <f t="shared" si="101"/>
        <v>1</v>
      </c>
      <c r="P566" s="632"/>
      <c r="Q566" s="3183">
        <f t="shared" si="102"/>
        <v>1</v>
      </c>
      <c r="R566" s="3183">
        <f t="shared" si="103"/>
        <v>162430</v>
      </c>
      <c r="S566" s="902">
        <f t="shared" si="104"/>
        <v>530</v>
      </c>
    </row>
    <row r="567" spans="1:19">
      <c r="A567" s="3180">
        <f>面积!B1222</f>
        <v>-1549</v>
      </c>
      <c r="B567" s="3181">
        <f>面积!C1222</f>
        <v>32.61</v>
      </c>
      <c r="C567" s="3183">
        <f t="shared" si="95"/>
        <v>1</v>
      </c>
      <c r="D567" s="632"/>
      <c r="E567" s="3183">
        <f t="shared" si="96"/>
        <v>1</v>
      </c>
      <c r="F567" s="632"/>
      <c r="G567" s="3183">
        <f t="shared" si="97"/>
        <v>1</v>
      </c>
      <c r="H567" s="632"/>
      <c r="I567" s="3183">
        <f t="shared" si="98"/>
        <v>1</v>
      </c>
      <c r="J567" s="632"/>
      <c r="K567" s="3183">
        <f t="shared" si="99"/>
        <v>1</v>
      </c>
      <c r="L567" s="632"/>
      <c r="M567" s="3183">
        <f t="shared" si="100"/>
        <v>1</v>
      </c>
      <c r="N567" s="632"/>
      <c r="O567" s="3183">
        <f t="shared" si="101"/>
        <v>1</v>
      </c>
      <c r="P567" s="632"/>
      <c r="Q567" s="3183">
        <f t="shared" si="102"/>
        <v>1</v>
      </c>
      <c r="R567" s="3183">
        <f t="shared" si="103"/>
        <v>162430</v>
      </c>
      <c r="S567" s="902">
        <f t="shared" si="104"/>
        <v>530</v>
      </c>
    </row>
    <row r="568" spans="1:19">
      <c r="A568" s="3180">
        <f>面积!B1223</f>
        <v>-1550</v>
      </c>
      <c r="B568" s="3181">
        <f>面积!C1223</f>
        <v>32.61</v>
      </c>
      <c r="C568" s="3183">
        <f t="shared" si="95"/>
        <v>1</v>
      </c>
      <c r="D568" s="632"/>
      <c r="E568" s="3183">
        <f t="shared" si="96"/>
        <v>1</v>
      </c>
      <c r="F568" s="632"/>
      <c r="G568" s="3183">
        <f t="shared" si="97"/>
        <v>1</v>
      </c>
      <c r="H568" s="632"/>
      <c r="I568" s="3183">
        <f t="shared" si="98"/>
        <v>1</v>
      </c>
      <c r="J568" s="632"/>
      <c r="K568" s="3183">
        <f t="shared" si="99"/>
        <v>1</v>
      </c>
      <c r="L568" s="632"/>
      <c r="M568" s="3183">
        <f t="shared" si="100"/>
        <v>1</v>
      </c>
      <c r="N568" s="632"/>
      <c r="O568" s="3183">
        <f t="shared" si="101"/>
        <v>1</v>
      </c>
      <c r="P568" s="632"/>
      <c r="Q568" s="3183">
        <f t="shared" si="102"/>
        <v>1</v>
      </c>
      <c r="R568" s="3183">
        <f t="shared" si="103"/>
        <v>162430</v>
      </c>
      <c r="S568" s="902">
        <f t="shared" si="104"/>
        <v>530</v>
      </c>
    </row>
    <row r="569" spans="1:19">
      <c r="A569" s="3180">
        <f>面积!B1224</f>
        <v>-1551</v>
      </c>
      <c r="B569" s="3181">
        <f>面积!C1224</f>
        <v>32.61</v>
      </c>
      <c r="C569" s="3183">
        <f t="shared" si="95"/>
        <v>1</v>
      </c>
      <c r="D569" s="632"/>
      <c r="E569" s="3183">
        <f t="shared" si="96"/>
        <v>1</v>
      </c>
      <c r="F569" s="632"/>
      <c r="G569" s="3183">
        <f t="shared" si="97"/>
        <v>1</v>
      </c>
      <c r="H569" s="632"/>
      <c r="I569" s="3183">
        <f t="shared" si="98"/>
        <v>1</v>
      </c>
      <c r="J569" s="632"/>
      <c r="K569" s="3183">
        <f t="shared" si="99"/>
        <v>1</v>
      </c>
      <c r="L569" s="632"/>
      <c r="M569" s="3183">
        <f t="shared" si="100"/>
        <v>1</v>
      </c>
      <c r="N569" s="632"/>
      <c r="O569" s="3183">
        <f t="shared" si="101"/>
        <v>1</v>
      </c>
      <c r="P569" s="632"/>
      <c r="Q569" s="3183">
        <f t="shared" si="102"/>
        <v>1</v>
      </c>
      <c r="R569" s="3183">
        <f t="shared" si="103"/>
        <v>162430</v>
      </c>
      <c r="S569" s="902">
        <f t="shared" si="104"/>
        <v>530</v>
      </c>
    </row>
    <row r="570" spans="1:19">
      <c r="A570" s="3180">
        <f>面积!B1225</f>
        <v>-1552</v>
      </c>
      <c r="B570" s="3181">
        <f>面积!C1225</f>
        <v>52.86</v>
      </c>
      <c r="C570" s="3183">
        <f t="shared" si="95"/>
        <v>1.2</v>
      </c>
      <c r="D570" s="632"/>
      <c r="E570" s="3183">
        <f t="shared" si="96"/>
        <v>1</v>
      </c>
      <c r="F570" s="632"/>
      <c r="G570" s="3183">
        <f t="shared" si="97"/>
        <v>1</v>
      </c>
      <c r="H570" s="632"/>
      <c r="I570" s="3183">
        <f t="shared" si="98"/>
        <v>1</v>
      </c>
      <c r="J570" s="632"/>
      <c r="K570" s="3183">
        <f t="shared" si="99"/>
        <v>1</v>
      </c>
      <c r="L570" s="632"/>
      <c r="M570" s="3183">
        <f t="shared" si="100"/>
        <v>1</v>
      </c>
      <c r="N570" s="632"/>
      <c r="O570" s="3183">
        <f t="shared" si="101"/>
        <v>1</v>
      </c>
      <c r="P570" s="632"/>
      <c r="Q570" s="3183">
        <f t="shared" si="102"/>
        <v>1</v>
      </c>
      <c r="R570" s="3183">
        <f t="shared" si="103"/>
        <v>194916</v>
      </c>
      <c r="S570" s="902">
        <f t="shared" si="104"/>
        <v>1030</v>
      </c>
    </row>
    <row r="571" spans="1:19">
      <c r="A571" s="3180">
        <f>面积!B1226</f>
        <v>-1553</v>
      </c>
      <c r="B571" s="3181">
        <f>面积!C1226</f>
        <v>32.61</v>
      </c>
      <c r="C571" s="3183">
        <f t="shared" si="95"/>
        <v>1</v>
      </c>
      <c r="D571" s="632"/>
      <c r="E571" s="3183">
        <f t="shared" si="96"/>
        <v>1</v>
      </c>
      <c r="F571" s="632"/>
      <c r="G571" s="3183">
        <f t="shared" si="97"/>
        <v>1</v>
      </c>
      <c r="H571" s="632"/>
      <c r="I571" s="3183">
        <f t="shared" si="98"/>
        <v>1</v>
      </c>
      <c r="J571" s="632"/>
      <c r="K571" s="3183">
        <f t="shared" si="99"/>
        <v>1</v>
      </c>
      <c r="L571" s="632"/>
      <c r="M571" s="3183">
        <f t="shared" si="100"/>
        <v>1</v>
      </c>
      <c r="N571" s="632"/>
      <c r="O571" s="3183">
        <f t="shared" si="101"/>
        <v>1</v>
      </c>
      <c r="P571" s="632"/>
      <c r="Q571" s="3183">
        <f t="shared" si="102"/>
        <v>1</v>
      </c>
      <c r="R571" s="3183">
        <f t="shared" si="103"/>
        <v>162430</v>
      </c>
      <c r="S571" s="902">
        <f t="shared" si="104"/>
        <v>530</v>
      </c>
    </row>
    <row r="572" spans="1:19">
      <c r="A572" s="3180">
        <f>面积!B1227</f>
        <v>-1554</v>
      </c>
      <c r="B572" s="3181">
        <f>面积!C1227</f>
        <v>32.61</v>
      </c>
      <c r="C572" s="3183">
        <f t="shared" si="95"/>
        <v>1</v>
      </c>
      <c r="D572" s="632"/>
      <c r="E572" s="3183">
        <f t="shared" si="96"/>
        <v>1</v>
      </c>
      <c r="F572" s="632"/>
      <c r="G572" s="3183">
        <f t="shared" si="97"/>
        <v>1</v>
      </c>
      <c r="H572" s="632"/>
      <c r="I572" s="3183">
        <f t="shared" si="98"/>
        <v>1</v>
      </c>
      <c r="J572" s="632"/>
      <c r="K572" s="3183">
        <f t="shared" si="99"/>
        <v>1</v>
      </c>
      <c r="L572" s="632"/>
      <c r="M572" s="3183">
        <f t="shared" si="100"/>
        <v>1</v>
      </c>
      <c r="N572" s="632"/>
      <c r="O572" s="3183">
        <f t="shared" si="101"/>
        <v>1</v>
      </c>
      <c r="P572" s="632"/>
      <c r="Q572" s="3183">
        <f t="shared" si="102"/>
        <v>1</v>
      </c>
      <c r="R572" s="3183">
        <f t="shared" si="103"/>
        <v>162430</v>
      </c>
      <c r="S572" s="902">
        <f t="shared" si="104"/>
        <v>530</v>
      </c>
    </row>
    <row r="573" spans="1:19">
      <c r="A573" s="3180">
        <f>面积!B1228</f>
        <v>-1555</v>
      </c>
      <c r="B573" s="3181">
        <f>面积!C1228</f>
        <v>32.61</v>
      </c>
      <c r="C573" s="3183">
        <f t="shared" si="95"/>
        <v>1</v>
      </c>
      <c r="D573" s="632"/>
      <c r="E573" s="3183">
        <f t="shared" si="96"/>
        <v>1</v>
      </c>
      <c r="F573" s="632"/>
      <c r="G573" s="3183">
        <f t="shared" si="97"/>
        <v>1</v>
      </c>
      <c r="H573" s="632"/>
      <c r="I573" s="3183">
        <f t="shared" si="98"/>
        <v>1</v>
      </c>
      <c r="J573" s="632"/>
      <c r="K573" s="3183">
        <f t="shared" si="99"/>
        <v>1</v>
      </c>
      <c r="L573" s="632"/>
      <c r="M573" s="3183">
        <f t="shared" si="100"/>
        <v>1</v>
      </c>
      <c r="N573" s="632"/>
      <c r="O573" s="3183">
        <f t="shared" si="101"/>
        <v>1</v>
      </c>
      <c r="P573" s="632"/>
      <c r="Q573" s="3183">
        <f t="shared" si="102"/>
        <v>1</v>
      </c>
      <c r="R573" s="3183">
        <f t="shared" si="103"/>
        <v>162430</v>
      </c>
      <c r="S573" s="902">
        <f t="shared" si="104"/>
        <v>530</v>
      </c>
    </row>
    <row r="574" spans="1:19">
      <c r="A574" s="3180">
        <f>面积!B1229</f>
        <v>-1556</v>
      </c>
      <c r="B574" s="3181">
        <f>面积!C1229</f>
        <v>32.61</v>
      </c>
      <c r="C574" s="3183">
        <f t="shared" si="95"/>
        <v>1</v>
      </c>
      <c r="D574" s="632"/>
      <c r="E574" s="3183">
        <f t="shared" si="96"/>
        <v>1</v>
      </c>
      <c r="F574" s="632"/>
      <c r="G574" s="3183">
        <f t="shared" si="97"/>
        <v>1</v>
      </c>
      <c r="H574" s="632"/>
      <c r="I574" s="3183">
        <f t="shared" si="98"/>
        <v>1</v>
      </c>
      <c r="J574" s="632"/>
      <c r="K574" s="3183">
        <f t="shared" si="99"/>
        <v>1</v>
      </c>
      <c r="L574" s="632"/>
      <c r="M574" s="3183">
        <f t="shared" si="100"/>
        <v>1</v>
      </c>
      <c r="N574" s="632"/>
      <c r="O574" s="3183">
        <f t="shared" si="101"/>
        <v>1</v>
      </c>
      <c r="P574" s="632"/>
      <c r="Q574" s="3183">
        <f t="shared" si="102"/>
        <v>1</v>
      </c>
      <c r="R574" s="3183">
        <f t="shared" si="103"/>
        <v>162430</v>
      </c>
      <c r="S574" s="902">
        <f t="shared" si="104"/>
        <v>530</v>
      </c>
    </row>
    <row r="575" spans="1:19">
      <c r="A575" s="3180">
        <f>面积!B1230</f>
        <v>-1557</v>
      </c>
      <c r="B575" s="3181">
        <f>面积!C1230</f>
        <v>32.61</v>
      </c>
      <c r="C575" s="3183">
        <f t="shared" si="95"/>
        <v>1</v>
      </c>
      <c r="D575" s="632"/>
      <c r="E575" s="3183">
        <f t="shared" si="96"/>
        <v>1</v>
      </c>
      <c r="F575" s="632"/>
      <c r="G575" s="3183">
        <f t="shared" si="97"/>
        <v>1</v>
      </c>
      <c r="H575" s="632"/>
      <c r="I575" s="3183">
        <f t="shared" si="98"/>
        <v>1</v>
      </c>
      <c r="J575" s="632"/>
      <c r="K575" s="3183">
        <f t="shared" si="99"/>
        <v>1</v>
      </c>
      <c r="L575" s="632"/>
      <c r="M575" s="3183">
        <f t="shared" si="100"/>
        <v>1</v>
      </c>
      <c r="N575" s="632"/>
      <c r="O575" s="3183">
        <f t="shared" si="101"/>
        <v>1</v>
      </c>
      <c r="P575" s="632"/>
      <c r="Q575" s="3183">
        <f t="shared" si="102"/>
        <v>1</v>
      </c>
      <c r="R575" s="3183">
        <f t="shared" si="103"/>
        <v>162430</v>
      </c>
      <c r="S575" s="902">
        <f t="shared" si="104"/>
        <v>530</v>
      </c>
    </row>
    <row r="576" spans="1:19">
      <c r="A576" s="3180">
        <f>面积!B1231</f>
        <v>-1558</v>
      </c>
      <c r="B576" s="3181">
        <f>面积!C1231</f>
        <v>32.61</v>
      </c>
      <c r="C576" s="3183">
        <f t="shared" si="95"/>
        <v>1</v>
      </c>
      <c r="D576" s="632"/>
      <c r="E576" s="3183">
        <f t="shared" si="96"/>
        <v>1</v>
      </c>
      <c r="F576" s="632"/>
      <c r="G576" s="3183">
        <f t="shared" si="97"/>
        <v>1</v>
      </c>
      <c r="H576" s="632"/>
      <c r="I576" s="3183">
        <f t="shared" si="98"/>
        <v>1</v>
      </c>
      <c r="J576" s="632"/>
      <c r="K576" s="3183">
        <f t="shared" si="99"/>
        <v>1</v>
      </c>
      <c r="L576" s="632"/>
      <c r="M576" s="3183">
        <f t="shared" si="100"/>
        <v>1</v>
      </c>
      <c r="N576" s="632"/>
      <c r="O576" s="3183">
        <f t="shared" si="101"/>
        <v>1</v>
      </c>
      <c r="P576" s="632"/>
      <c r="Q576" s="3183">
        <f t="shared" si="102"/>
        <v>1</v>
      </c>
      <c r="R576" s="3183">
        <f t="shared" si="103"/>
        <v>162430</v>
      </c>
      <c r="S576" s="902">
        <f t="shared" si="104"/>
        <v>530</v>
      </c>
    </row>
    <row r="577" spans="1:19">
      <c r="A577" s="3180">
        <f>面积!B1232</f>
        <v>-1559</v>
      </c>
      <c r="B577" s="3181">
        <f>面积!C1232</f>
        <v>32.61</v>
      </c>
      <c r="C577" s="3183">
        <f t="shared" si="95"/>
        <v>1</v>
      </c>
      <c r="D577" s="632"/>
      <c r="E577" s="3183">
        <f t="shared" si="96"/>
        <v>1</v>
      </c>
      <c r="F577" s="632"/>
      <c r="G577" s="3183">
        <f t="shared" si="97"/>
        <v>1</v>
      </c>
      <c r="H577" s="632"/>
      <c r="I577" s="3183">
        <f t="shared" si="98"/>
        <v>1</v>
      </c>
      <c r="J577" s="632"/>
      <c r="K577" s="3183">
        <f t="shared" si="99"/>
        <v>1</v>
      </c>
      <c r="L577" s="632"/>
      <c r="M577" s="3183">
        <f t="shared" si="100"/>
        <v>1</v>
      </c>
      <c r="N577" s="632"/>
      <c r="O577" s="3183">
        <f t="shared" si="101"/>
        <v>1</v>
      </c>
      <c r="P577" s="632"/>
      <c r="Q577" s="3183">
        <f t="shared" si="102"/>
        <v>1</v>
      </c>
      <c r="R577" s="3183">
        <f t="shared" si="103"/>
        <v>162430</v>
      </c>
      <c r="S577" s="902">
        <f t="shared" si="104"/>
        <v>530</v>
      </c>
    </row>
    <row r="578" spans="1:19">
      <c r="A578" s="3180">
        <f>面积!B1233</f>
        <v>-1560</v>
      </c>
      <c r="B578" s="3181">
        <f>面积!C1233</f>
        <v>32.61</v>
      </c>
      <c r="C578" s="3183">
        <f t="shared" si="95"/>
        <v>1</v>
      </c>
      <c r="D578" s="632"/>
      <c r="E578" s="3183">
        <f t="shared" si="96"/>
        <v>1</v>
      </c>
      <c r="F578" s="632"/>
      <c r="G578" s="3183">
        <f t="shared" si="97"/>
        <v>1</v>
      </c>
      <c r="H578" s="632"/>
      <c r="I578" s="3183">
        <f t="shared" si="98"/>
        <v>1</v>
      </c>
      <c r="J578" s="632"/>
      <c r="K578" s="3183">
        <f t="shared" si="99"/>
        <v>1</v>
      </c>
      <c r="L578" s="632"/>
      <c r="M578" s="3183">
        <f t="shared" si="100"/>
        <v>1</v>
      </c>
      <c r="N578" s="632"/>
      <c r="O578" s="3183">
        <f t="shared" si="101"/>
        <v>1</v>
      </c>
      <c r="P578" s="632"/>
      <c r="Q578" s="3183">
        <f t="shared" si="102"/>
        <v>1</v>
      </c>
      <c r="R578" s="3183">
        <f t="shared" si="103"/>
        <v>162430</v>
      </c>
      <c r="S578" s="902">
        <f t="shared" si="104"/>
        <v>530</v>
      </c>
    </row>
    <row r="579" spans="1:19">
      <c r="A579" s="3180">
        <f>面积!B1234</f>
        <v>-1561</v>
      </c>
      <c r="B579" s="3181">
        <f>面积!C1234</f>
        <v>32.61</v>
      </c>
      <c r="C579" s="3183">
        <f t="shared" si="95"/>
        <v>1</v>
      </c>
      <c r="D579" s="632"/>
      <c r="E579" s="3183">
        <f t="shared" si="96"/>
        <v>1</v>
      </c>
      <c r="F579" s="632"/>
      <c r="G579" s="3183">
        <f t="shared" si="97"/>
        <v>1</v>
      </c>
      <c r="H579" s="632"/>
      <c r="I579" s="3183">
        <f t="shared" si="98"/>
        <v>1</v>
      </c>
      <c r="J579" s="632"/>
      <c r="K579" s="3183">
        <f t="shared" si="99"/>
        <v>1</v>
      </c>
      <c r="L579" s="632"/>
      <c r="M579" s="3183">
        <f t="shared" si="100"/>
        <v>1</v>
      </c>
      <c r="N579" s="632"/>
      <c r="O579" s="3183">
        <f t="shared" si="101"/>
        <v>1</v>
      </c>
      <c r="P579" s="632"/>
      <c r="Q579" s="3183">
        <f t="shared" si="102"/>
        <v>1</v>
      </c>
      <c r="R579" s="3183">
        <f t="shared" si="103"/>
        <v>162430</v>
      </c>
      <c r="S579" s="902">
        <f t="shared" si="104"/>
        <v>530</v>
      </c>
    </row>
    <row r="580" spans="1:19">
      <c r="A580" s="3180">
        <f>面积!B1235</f>
        <v>-1562</v>
      </c>
      <c r="B580" s="3181">
        <f>面积!C1235</f>
        <v>32.61</v>
      </c>
      <c r="C580" s="3183">
        <f t="shared" si="95"/>
        <v>1</v>
      </c>
      <c r="D580" s="632"/>
      <c r="E580" s="3183">
        <f t="shared" si="96"/>
        <v>1</v>
      </c>
      <c r="F580" s="632"/>
      <c r="G580" s="3183">
        <f t="shared" si="97"/>
        <v>1</v>
      </c>
      <c r="H580" s="632"/>
      <c r="I580" s="3183">
        <f t="shared" si="98"/>
        <v>1</v>
      </c>
      <c r="J580" s="632"/>
      <c r="K580" s="3183">
        <f t="shared" si="99"/>
        <v>1</v>
      </c>
      <c r="L580" s="632"/>
      <c r="M580" s="3183">
        <f t="shared" si="100"/>
        <v>1</v>
      </c>
      <c r="N580" s="632"/>
      <c r="O580" s="3183">
        <f t="shared" si="101"/>
        <v>1</v>
      </c>
      <c r="P580" s="632"/>
      <c r="Q580" s="3183">
        <f t="shared" si="102"/>
        <v>1</v>
      </c>
      <c r="R580" s="3183">
        <f t="shared" si="103"/>
        <v>162430</v>
      </c>
      <c r="S580" s="902">
        <f t="shared" si="104"/>
        <v>530</v>
      </c>
    </row>
    <row r="581" spans="1:19">
      <c r="A581" s="3180">
        <f>面积!B1236</f>
        <v>-1563</v>
      </c>
      <c r="B581" s="3181">
        <f>面积!C1236</f>
        <v>32.61</v>
      </c>
      <c r="C581" s="3183">
        <f t="shared" si="95"/>
        <v>1</v>
      </c>
      <c r="D581" s="632"/>
      <c r="E581" s="3183">
        <f t="shared" si="96"/>
        <v>1</v>
      </c>
      <c r="F581" s="632"/>
      <c r="G581" s="3183">
        <f t="shared" si="97"/>
        <v>1</v>
      </c>
      <c r="H581" s="632"/>
      <c r="I581" s="3183">
        <f t="shared" si="98"/>
        <v>1</v>
      </c>
      <c r="J581" s="632"/>
      <c r="K581" s="3183">
        <f t="shared" si="99"/>
        <v>1</v>
      </c>
      <c r="L581" s="632"/>
      <c r="M581" s="3183">
        <f t="shared" si="100"/>
        <v>1</v>
      </c>
      <c r="N581" s="632"/>
      <c r="O581" s="3183">
        <f t="shared" si="101"/>
        <v>1</v>
      </c>
      <c r="P581" s="632"/>
      <c r="Q581" s="3183">
        <f t="shared" si="102"/>
        <v>1</v>
      </c>
      <c r="R581" s="3183">
        <f t="shared" si="103"/>
        <v>162430</v>
      </c>
      <c r="S581" s="902">
        <f t="shared" si="104"/>
        <v>530</v>
      </c>
    </row>
    <row r="582" spans="1:19">
      <c r="A582" s="3180">
        <f>面积!B1237</f>
        <v>-1564</v>
      </c>
      <c r="B582" s="3181">
        <f>面积!C1237</f>
        <v>52.86</v>
      </c>
      <c r="C582" s="3183">
        <f t="shared" si="95"/>
        <v>1.2</v>
      </c>
      <c r="D582" s="632"/>
      <c r="E582" s="3183">
        <f t="shared" si="96"/>
        <v>1</v>
      </c>
      <c r="F582" s="632"/>
      <c r="G582" s="3183">
        <f t="shared" si="97"/>
        <v>1</v>
      </c>
      <c r="H582" s="632"/>
      <c r="I582" s="3183">
        <f t="shared" si="98"/>
        <v>1</v>
      </c>
      <c r="J582" s="632"/>
      <c r="K582" s="3183">
        <f t="shared" si="99"/>
        <v>1</v>
      </c>
      <c r="L582" s="632"/>
      <c r="M582" s="3183">
        <f t="shared" si="100"/>
        <v>1</v>
      </c>
      <c r="N582" s="632"/>
      <c r="O582" s="3183">
        <f t="shared" si="101"/>
        <v>1</v>
      </c>
      <c r="P582" s="632"/>
      <c r="Q582" s="3183">
        <f t="shared" si="102"/>
        <v>1</v>
      </c>
      <c r="R582" s="3183">
        <f t="shared" si="103"/>
        <v>194916</v>
      </c>
      <c r="S582" s="902">
        <f t="shared" si="104"/>
        <v>1030</v>
      </c>
    </row>
    <row r="583" spans="1:19">
      <c r="A583" s="3180">
        <f>面积!B1238</f>
        <v>-1565</v>
      </c>
      <c r="B583" s="3181">
        <f>面积!C1238</f>
        <v>32.61</v>
      </c>
      <c r="C583" s="3183">
        <f t="shared" si="95"/>
        <v>1</v>
      </c>
      <c r="D583" s="632"/>
      <c r="E583" s="3183">
        <f t="shared" si="96"/>
        <v>1</v>
      </c>
      <c r="F583" s="632"/>
      <c r="G583" s="3183">
        <f t="shared" si="97"/>
        <v>1</v>
      </c>
      <c r="H583" s="632"/>
      <c r="I583" s="3183">
        <f t="shared" si="98"/>
        <v>1</v>
      </c>
      <c r="J583" s="632"/>
      <c r="K583" s="3183">
        <f t="shared" si="99"/>
        <v>1</v>
      </c>
      <c r="L583" s="632"/>
      <c r="M583" s="3183">
        <f t="shared" si="100"/>
        <v>1</v>
      </c>
      <c r="N583" s="632"/>
      <c r="O583" s="3183">
        <f t="shared" si="101"/>
        <v>1</v>
      </c>
      <c r="P583" s="632"/>
      <c r="Q583" s="3183">
        <f t="shared" si="102"/>
        <v>1</v>
      </c>
      <c r="R583" s="3183">
        <f t="shared" si="103"/>
        <v>162430</v>
      </c>
      <c r="S583" s="902">
        <f t="shared" si="104"/>
        <v>530</v>
      </c>
    </row>
    <row r="584" spans="1:19">
      <c r="A584" s="3180">
        <f>面积!B1239</f>
        <v>-1566</v>
      </c>
      <c r="B584" s="3181">
        <f>面积!C1239</f>
        <v>32.61</v>
      </c>
      <c r="C584" s="3183">
        <f t="shared" si="95"/>
        <v>1</v>
      </c>
      <c r="D584" s="632"/>
      <c r="E584" s="3183">
        <f t="shared" si="96"/>
        <v>1</v>
      </c>
      <c r="F584" s="632"/>
      <c r="G584" s="3183">
        <f t="shared" si="97"/>
        <v>1</v>
      </c>
      <c r="H584" s="632"/>
      <c r="I584" s="3183">
        <f t="shared" si="98"/>
        <v>1</v>
      </c>
      <c r="J584" s="632"/>
      <c r="K584" s="3183">
        <f t="shared" si="99"/>
        <v>1</v>
      </c>
      <c r="L584" s="632"/>
      <c r="M584" s="3183">
        <f t="shared" si="100"/>
        <v>1</v>
      </c>
      <c r="N584" s="632"/>
      <c r="O584" s="3183">
        <f t="shared" si="101"/>
        <v>1</v>
      </c>
      <c r="P584" s="632"/>
      <c r="Q584" s="3183">
        <f t="shared" si="102"/>
        <v>1</v>
      </c>
      <c r="R584" s="3183">
        <f t="shared" si="103"/>
        <v>162430</v>
      </c>
      <c r="S584" s="902">
        <f t="shared" si="104"/>
        <v>530</v>
      </c>
    </row>
    <row r="585" spans="1:19">
      <c r="A585" s="3180">
        <f>面积!B1240</f>
        <v>-1567</v>
      </c>
      <c r="B585" s="3181">
        <f>面积!C1240</f>
        <v>32.61</v>
      </c>
      <c r="C585" s="3183">
        <f t="shared" si="95"/>
        <v>1</v>
      </c>
      <c r="D585" s="632"/>
      <c r="E585" s="3183">
        <f t="shared" si="96"/>
        <v>1</v>
      </c>
      <c r="F585" s="632"/>
      <c r="G585" s="3183">
        <f t="shared" si="97"/>
        <v>1</v>
      </c>
      <c r="H585" s="632"/>
      <c r="I585" s="3183">
        <f t="shared" si="98"/>
        <v>1</v>
      </c>
      <c r="J585" s="632"/>
      <c r="K585" s="3183">
        <f t="shared" si="99"/>
        <v>1</v>
      </c>
      <c r="L585" s="632"/>
      <c r="M585" s="3183">
        <f t="shared" si="100"/>
        <v>1</v>
      </c>
      <c r="N585" s="632"/>
      <c r="O585" s="3183">
        <f t="shared" si="101"/>
        <v>1</v>
      </c>
      <c r="P585" s="632"/>
      <c r="Q585" s="3183">
        <f t="shared" si="102"/>
        <v>1</v>
      </c>
      <c r="R585" s="3183">
        <f t="shared" si="103"/>
        <v>162430</v>
      </c>
      <c r="S585" s="902">
        <f t="shared" si="104"/>
        <v>530</v>
      </c>
    </row>
    <row r="586" spans="1:19">
      <c r="A586" s="3180">
        <f>面积!B1241</f>
        <v>-1568</v>
      </c>
      <c r="B586" s="3181">
        <f>面积!C1241</f>
        <v>32.61</v>
      </c>
      <c r="C586" s="3183">
        <f t="shared" si="95"/>
        <v>1</v>
      </c>
      <c r="D586" s="632"/>
      <c r="E586" s="3183">
        <f t="shared" si="96"/>
        <v>1</v>
      </c>
      <c r="F586" s="632"/>
      <c r="G586" s="3183">
        <f t="shared" si="97"/>
        <v>1</v>
      </c>
      <c r="H586" s="632"/>
      <c r="I586" s="3183">
        <f t="shared" si="98"/>
        <v>1</v>
      </c>
      <c r="J586" s="632"/>
      <c r="K586" s="3183">
        <f t="shared" si="99"/>
        <v>1</v>
      </c>
      <c r="L586" s="632"/>
      <c r="M586" s="3183">
        <f t="shared" si="100"/>
        <v>1</v>
      </c>
      <c r="N586" s="632"/>
      <c r="O586" s="3183">
        <f t="shared" si="101"/>
        <v>1</v>
      </c>
      <c r="P586" s="632"/>
      <c r="Q586" s="3183">
        <f t="shared" si="102"/>
        <v>1</v>
      </c>
      <c r="R586" s="3183">
        <f t="shared" si="103"/>
        <v>162430</v>
      </c>
      <c r="S586" s="902">
        <f t="shared" si="104"/>
        <v>530</v>
      </c>
    </row>
    <row r="587" spans="1:19">
      <c r="A587" s="3180">
        <f>面积!B1242</f>
        <v>-1569</v>
      </c>
      <c r="B587" s="3181">
        <f>面积!C1242</f>
        <v>32.61</v>
      </c>
      <c r="C587" s="3183">
        <f t="shared" si="95"/>
        <v>1</v>
      </c>
      <c r="D587" s="632"/>
      <c r="E587" s="3183">
        <f t="shared" si="96"/>
        <v>1</v>
      </c>
      <c r="F587" s="632"/>
      <c r="G587" s="3183">
        <f t="shared" si="97"/>
        <v>1</v>
      </c>
      <c r="H587" s="632"/>
      <c r="I587" s="3183">
        <f t="shared" si="98"/>
        <v>1</v>
      </c>
      <c r="J587" s="632"/>
      <c r="K587" s="3183">
        <f t="shared" si="99"/>
        <v>1</v>
      </c>
      <c r="L587" s="632"/>
      <c r="M587" s="3183">
        <f t="shared" si="100"/>
        <v>1</v>
      </c>
      <c r="N587" s="632"/>
      <c r="O587" s="3183">
        <f t="shared" si="101"/>
        <v>1</v>
      </c>
      <c r="P587" s="632"/>
      <c r="Q587" s="3183">
        <f t="shared" si="102"/>
        <v>1</v>
      </c>
      <c r="R587" s="3183">
        <f t="shared" si="103"/>
        <v>162430</v>
      </c>
      <c r="S587" s="902">
        <f t="shared" si="104"/>
        <v>530</v>
      </c>
    </row>
    <row r="588" spans="1:19">
      <c r="A588" s="3180">
        <f>面积!B1243</f>
        <v>-1570</v>
      </c>
      <c r="B588" s="3181">
        <f>面积!C1243</f>
        <v>32.61</v>
      </c>
      <c r="C588" s="3183">
        <f t="shared" si="95"/>
        <v>1</v>
      </c>
      <c r="D588" s="632"/>
      <c r="E588" s="3183">
        <f t="shared" si="96"/>
        <v>1</v>
      </c>
      <c r="F588" s="632"/>
      <c r="G588" s="3183">
        <f t="shared" si="97"/>
        <v>1</v>
      </c>
      <c r="H588" s="632"/>
      <c r="I588" s="3183">
        <f t="shared" si="98"/>
        <v>1</v>
      </c>
      <c r="J588" s="632"/>
      <c r="K588" s="3183">
        <f t="shared" si="99"/>
        <v>1</v>
      </c>
      <c r="L588" s="632"/>
      <c r="M588" s="3183">
        <f t="shared" si="100"/>
        <v>1</v>
      </c>
      <c r="N588" s="632"/>
      <c r="O588" s="3183">
        <f t="shared" si="101"/>
        <v>1</v>
      </c>
      <c r="P588" s="632"/>
      <c r="Q588" s="3183">
        <f t="shared" si="102"/>
        <v>1</v>
      </c>
      <c r="R588" s="3183">
        <f t="shared" si="103"/>
        <v>162430</v>
      </c>
      <c r="S588" s="902">
        <f t="shared" si="104"/>
        <v>530</v>
      </c>
    </row>
    <row r="589" spans="1:19">
      <c r="A589" s="3180">
        <f>面积!B1244</f>
        <v>-1571</v>
      </c>
      <c r="B589" s="3181">
        <f>面积!C1244</f>
        <v>32.61</v>
      </c>
      <c r="C589" s="3183">
        <f t="shared" ref="C589:C652" si="105">IF(B589="",1,(LOOKUP(B589,$3:$3,$4:$4)-LOOKUP($B$24,$3:$3,$4:$4)+100)/100)</f>
        <v>1</v>
      </c>
      <c r="D589" s="632"/>
      <c r="E589" s="3183">
        <f t="shared" ref="E589:E652" si="106">(SUMIF($5:$5,D589,$6:$6)-SUMIF($5:$5,$D$24,$6:$6)+100)/100</f>
        <v>1</v>
      </c>
      <c r="F589" s="632"/>
      <c r="G589" s="3183">
        <f t="shared" ref="G589:G652" si="107">(SUMIF($7:$7,F589,$8:$8)-SUMIF($7:$7,$F$24,$8:$8)+100)/100</f>
        <v>1</v>
      </c>
      <c r="H589" s="632"/>
      <c r="I589" s="3183">
        <f t="shared" ref="I589:I652" si="108">(SUMIF($9:$9,H589,$10:$10)-SUMIF($9:$9,$H$24,$10:$10)+100)/100</f>
        <v>1</v>
      </c>
      <c r="J589" s="632"/>
      <c r="K589" s="3183">
        <f t="shared" ref="K589:K652" si="109">(SUMIF($11:$11,J589,$12:$12)-SUMIF($11:$11,$J$24,$12:$12)+100)/100</f>
        <v>1</v>
      </c>
      <c r="L589" s="632"/>
      <c r="M589" s="3183">
        <f t="shared" ref="M589:M652" si="110">(SUMIF($13:$13,L589,$14:$14)-SUMIF($13:$13,$L$24,$14:$14)+100)/100</f>
        <v>1</v>
      </c>
      <c r="N589" s="632"/>
      <c r="O589" s="3183">
        <f t="shared" ref="O589:O652" si="111">(SUMIF($15:$15,N589,$16:$16)-SUMIF($15:$15,$N$24,$16:$16)+100)/100</f>
        <v>1</v>
      </c>
      <c r="P589" s="632"/>
      <c r="Q589" s="3183">
        <f t="shared" ref="Q589:Q652" si="112">(SUMIF($17:$17,P589,$18:$18)-SUMIF($17:$17,$P$24,$18:$18)+100)/100</f>
        <v>1</v>
      </c>
      <c r="R589" s="3183">
        <f t="shared" ref="R589:R652" si="113">IF(B589="",0,ROUND($R$24*C589*E589*G589*I589*K589*M589*O589*Q589,0))</f>
        <v>162430</v>
      </c>
      <c r="S589" s="902">
        <f t="shared" ref="S589:S652" si="114">ROUND(R589*B589/10000,0)</f>
        <v>530</v>
      </c>
    </row>
    <row r="590" spans="1:19">
      <c r="A590" s="3180">
        <f>面积!B1245</f>
        <v>-1572</v>
      </c>
      <c r="B590" s="3181">
        <f>面积!C1245</f>
        <v>32.61</v>
      </c>
      <c r="C590" s="3183">
        <f t="shared" si="105"/>
        <v>1</v>
      </c>
      <c r="D590" s="632"/>
      <c r="E590" s="3183">
        <f t="shared" si="106"/>
        <v>1</v>
      </c>
      <c r="F590" s="632"/>
      <c r="G590" s="3183">
        <f t="shared" si="107"/>
        <v>1</v>
      </c>
      <c r="H590" s="632"/>
      <c r="I590" s="3183">
        <f t="shared" si="108"/>
        <v>1</v>
      </c>
      <c r="J590" s="632"/>
      <c r="K590" s="3183">
        <f t="shared" si="109"/>
        <v>1</v>
      </c>
      <c r="L590" s="632"/>
      <c r="M590" s="3183">
        <f t="shared" si="110"/>
        <v>1</v>
      </c>
      <c r="N590" s="632"/>
      <c r="O590" s="3183">
        <f t="shared" si="111"/>
        <v>1</v>
      </c>
      <c r="P590" s="632"/>
      <c r="Q590" s="3183">
        <f t="shared" si="112"/>
        <v>1</v>
      </c>
      <c r="R590" s="3183">
        <f t="shared" si="113"/>
        <v>162430</v>
      </c>
      <c r="S590" s="902">
        <f t="shared" si="114"/>
        <v>530</v>
      </c>
    </row>
    <row r="591" spans="1:19">
      <c r="A591" s="3180">
        <f>面积!B1246</f>
        <v>-1573</v>
      </c>
      <c r="B591" s="3181">
        <f>面积!C1246</f>
        <v>32.61</v>
      </c>
      <c r="C591" s="3183">
        <f t="shared" si="105"/>
        <v>1</v>
      </c>
      <c r="D591" s="632"/>
      <c r="E591" s="3183">
        <f t="shared" si="106"/>
        <v>1</v>
      </c>
      <c r="F591" s="632"/>
      <c r="G591" s="3183">
        <f t="shared" si="107"/>
        <v>1</v>
      </c>
      <c r="H591" s="632"/>
      <c r="I591" s="3183">
        <f t="shared" si="108"/>
        <v>1</v>
      </c>
      <c r="J591" s="632"/>
      <c r="K591" s="3183">
        <f t="shared" si="109"/>
        <v>1</v>
      </c>
      <c r="L591" s="632"/>
      <c r="M591" s="3183">
        <f t="shared" si="110"/>
        <v>1</v>
      </c>
      <c r="N591" s="632"/>
      <c r="O591" s="3183">
        <f t="shared" si="111"/>
        <v>1</v>
      </c>
      <c r="P591" s="632"/>
      <c r="Q591" s="3183">
        <f t="shared" si="112"/>
        <v>1</v>
      </c>
      <c r="R591" s="3183">
        <f t="shared" si="113"/>
        <v>162430</v>
      </c>
      <c r="S591" s="902">
        <f t="shared" si="114"/>
        <v>530</v>
      </c>
    </row>
    <row r="592" spans="1:19">
      <c r="A592" s="3180">
        <f>面积!B1247</f>
        <v>-1574</v>
      </c>
      <c r="B592" s="3181">
        <f>面积!C1247</f>
        <v>32.61</v>
      </c>
      <c r="C592" s="3183">
        <f t="shared" si="105"/>
        <v>1</v>
      </c>
      <c r="D592" s="632"/>
      <c r="E592" s="3183">
        <f t="shared" si="106"/>
        <v>1</v>
      </c>
      <c r="F592" s="632"/>
      <c r="G592" s="3183">
        <f t="shared" si="107"/>
        <v>1</v>
      </c>
      <c r="H592" s="632"/>
      <c r="I592" s="3183">
        <f t="shared" si="108"/>
        <v>1</v>
      </c>
      <c r="J592" s="632"/>
      <c r="K592" s="3183">
        <f t="shared" si="109"/>
        <v>1</v>
      </c>
      <c r="L592" s="632"/>
      <c r="M592" s="3183">
        <f t="shared" si="110"/>
        <v>1</v>
      </c>
      <c r="N592" s="632"/>
      <c r="O592" s="3183">
        <f t="shared" si="111"/>
        <v>1</v>
      </c>
      <c r="P592" s="632"/>
      <c r="Q592" s="3183">
        <f t="shared" si="112"/>
        <v>1</v>
      </c>
      <c r="R592" s="3183">
        <f t="shared" si="113"/>
        <v>162430</v>
      </c>
      <c r="S592" s="902">
        <f t="shared" si="114"/>
        <v>530</v>
      </c>
    </row>
    <row r="593" spans="1:19">
      <c r="A593" s="3180">
        <f>面积!B1248</f>
        <v>-1575</v>
      </c>
      <c r="B593" s="3181">
        <f>面积!C1248</f>
        <v>32.61</v>
      </c>
      <c r="C593" s="3183">
        <f t="shared" si="105"/>
        <v>1</v>
      </c>
      <c r="D593" s="632"/>
      <c r="E593" s="3183">
        <f t="shared" si="106"/>
        <v>1</v>
      </c>
      <c r="F593" s="632"/>
      <c r="G593" s="3183">
        <f t="shared" si="107"/>
        <v>1</v>
      </c>
      <c r="H593" s="632"/>
      <c r="I593" s="3183">
        <f t="shared" si="108"/>
        <v>1</v>
      </c>
      <c r="J593" s="632"/>
      <c r="K593" s="3183">
        <f t="shared" si="109"/>
        <v>1</v>
      </c>
      <c r="L593" s="632"/>
      <c r="M593" s="3183">
        <f t="shared" si="110"/>
        <v>1</v>
      </c>
      <c r="N593" s="632"/>
      <c r="O593" s="3183">
        <f t="shared" si="111"/>
        <v>1</v>
      </c>
      <c r="P593" s="632"/>
      <c r="Q593" s="3183">
        <f t="shared" si="112"/>
        <v>1</v>
      </c>
      <c r="R593" s="3183">
        <f t="shared" si="113"/>
        <v>162430</v>
      </c>
      <c r="S593" s="902">
        <f t="shared" si="114"/>
        <v>530</v>
      </c>
    </row>
    <row r="594" spans="1:19">
      <c r="A594" s="3180">
        <f>面积!B1249</f>
        <v>-1576</v>
      </c>
      <c r="B594" s="3181">
        <f>面积!C1249</f>
        <v>32.61</v>
      </c>
      <c r="C594" s="3183">
        <f t="shared" si="105"/>
        <v>1</v>
      </c>
      <c r="D594" s="632"/>
      <c r="E594" s="3183">
        <f t="shared" si="106"/>
        <v>1</v>
      </c>
      <c r="F594" s="632"/>
      <c r="G594" s="3183">
        <f t="shared" si="107"/>
        <v>1</v>
      </c>
      <c r="H594" s="632"/>
      <c r="I594" s="3183">
        <f t="shared" si="108"/>
        <v>1</v>
      </c>
      <c r="J594" s="632"/>
      <c r="K594" s="3183">
        <f t="shared" si="109"/>
        <v>1</v>
      </c>
      <c r="L594" s="632"/>
      <c r="M594" s="3183">
        <f t="shared" si="110"/>
        <v>1</v>
      </c>
      <c r="N594" s="632"/>
      <c r="O594" s="3183">
        <f t="shared" si="111"/>
        <v>1</v>
      </c>
      <c r="P594" s="632"/>
      <c r="Q594" s="3183">
        <f t="shared" si="112"/>
        <v>1</v>
      </c>
      <c r="R594" s="3183">
        <f t="shared" si="113"/>
        <v>162430</v>
      </c>
      <c r="S594" s="902">
        <f t="shared" si="114"/>
        <v>530</v>
      </c>
    </row>
    <row r="595" spans="1:19">
      <c r="A595" s="3180">
        <f>面积!B1250</f>
        <v>-1577</v>
      </c>
      <c r="B595" s="3181">
        <f>面积!C1250</f>
        <v>52.86</v>
      </c>
      <c r="C595" s="3183">
        <f t="shared" si="105"/>
        <v>1.2</v>
      </c>
      <c r="D595" s="632"/>
      <c r="E595" s="3183">
        <f t="shared" si="106"/>
        <v>1</v>
      </c>
      <c r="F595" s="632"/>
      <c r="G595" s="3183">
        <f t="shared" si="107"/>
        <v>1</v>
      </c>
      <c r="H595" s="632"/>
      <c r="I595" s="3183">
        <f t="shared" si="108"/>
        <v>1</v>
      </c>
      <c r="J595" s="632"/>
      <c r="K595" s="3183">
        <f t="shared" si="109"/>
        <v>1</v>
      </c>
      <c r="L595" s="632"/>
      <c r="M595" s="3183">
        <f t="shared" si="110"/>
        <v>1</v>
      </c>
      <c r="N595" s="632"/>
      <c r="O595" s="3183">
        <f t="shared" si="111"/>
        <v>1</v>
      </c>
      <c r="P595" s="632"/>
      <c r="Q595" s="3183">
        <f t="shared" si="112"/>
        <v>1</v>
      </c>
      <c r="R595" s="3183">
        <f t="shared" si="113"/>
        <v>194916</v>
      </c>
      <c r="S595" s="902">
        <f t="shared" si="114"/>
        <v>1030</v>
      </c>
    </row>
    <row r="596" spans="1:19">
      <c r="A596" s="3180">
        <f>面积!B1251</f>
        <v>-1578</v>
      </c>
      <c r="B596" s="3181">
        <f>面积!C1251</f>
        <v>32.61</v>
      </c>
      <c r="C596" s="3183">
        <f t="shared" si="105"/>
        <v>1</v>
      </c>
      <c r="D596" s="632"/>
      <c r="E596" s="3183">
        <f t="shared" si="106"/>
        <v>1</v>
      </c>
      <c r="F596" s="632"/>
      <c r="G596" s="3183">
        <f t="shared" si="107"/>
        <v>1</v>
      </c>
      <c r="H596" s="632"/>
      <c r="I596" s="3183">
        <f t="shared" si="108"/>
        <v>1</v>
      </c>
      <c r="J596" s="632"/>
      <c r="K596" s="3183">
        <f t="shared" si="109"/>
        <v>1</v>
      </c>
      <c r="L596" s="632"/>
      <c r="M596" s="3183">
        <f t="shared" si="110"/>
        <v>1</v>
      </c>
      <c r="N596" s="632"/>
      <c r="O596" s="3183">
        <f t="shared" si="111"/>
        <v>1</v>
      </c>
      <c r="P596" s="632"/>
      <c r="Q596" s="3183">
        <f t="shared" si="112"/>
        <v>1</v>
      </c>
      <c r="R596" s="3183">
        <f t="shared" si="113"/>
        <v>162430</v>
      </c>
      <c r="S596" s="902">
        <f t="shared" si="114"/>
        <v>530</v>
      </c>
    </row>
    <row r="597" spans="1:19">
      <c r="A597" s="3180">
        <f>面积!B1252</f>
        <v>-1579</v>
      </c>
      <c r="B597" s="3181">
        <f>面积!C1252</f>
        <v>32.61</v>
      </c>
      <c r="C597" s="3183">
        <f t="shared" si="105"/>
        <v>1</v>
      </c>
      <c r="D597" s="632"/>
      <c r="E597" s="3183">
        <f t="shared" si="106"/>
        <v>1</v>
      </c>
      <c r="F597" s="632"/>
      <c r="G597" s="3183">
        <f t="shared" si="107"/>
        <v>1</v>
      </c>
      <c r="H597" s="632"/>
      <c r="I597" s="3183">
        <f t="shared" si="108"/>
        <v>1</v>
      </c>
      <c r="J597" s="632"/>
      <c r="K597" s="3183">
        <f t="shared" si="109"/>
        <v>1</v>
      </c>
      <c r="L597" s="632"/>
      <c r="M597" s="3183">
        <f t="shared" si="110"/>
        <v>1</v>
      </c>
      <c r="N597" s="632"/>
      <c r="O597" s="3183">
        <f t="shared" si="111"/>
        <v>1</v>
      </c>
      <c r="P597" s="632"/>
      <c r="Q597" s="3183">
        <f t="shared" si="112"/>
        <v>1</v>
      </c>
      <c r="R597" s="3183">
        <f t="shared" si="113"/>
        <v>162430</v>
      </c>
      <c r="S597" s="902">
        <f t="shared" si="114"/>
        <v>530</v>
      </c>
    </row>
    <row r="598" spans="1:19">
      <c r="A598" s="3180">
        <f>面积!B1253</f>
        <v>-1580</v>
      </c>
      <c r="B598" s="3181">
        <f>面积!C1253</f>
        <v>32.61</v>
      </c>
      <c r="C598" s="3183">
        <f t="shared" si="105"/>
        <v>1</v>
      </c>
      <c r="D598" s="632"/>
      <c r="E598" s="3183">
        <f t="shared" si="106"/>
        <v>1</v>
      </c>
      <c r="F598" s="632"/>
      <c r="G598" s="3183">
        <f t="shared" si="107"/>
        <v>1</v>
      </c>
      <c r="H598" s="632"/>
      <c r="I598" s="3183">
        <f t="shared" si="108"/>
        <v>1</v>
      </c>
      <c r="J598" s="632"/>
      <c r="K598" s="3183">
        <f t="shared" si="109"/>
        <v>1</v>
      </c>
      <c r="L598" s="632"/>
      <c r="M598" s="3183">
        <f t="shared" si="110"/>
        <v>1</v>
      </c>
      <c r="N598" s="632"/>
      <c r="O598" s="3183">
        <f t="shared" si="111"/>
        <v>1</v>
      </c>
      <c r="P598" s="632"/>
      <c r="Q598" s="3183">
        <f t="shared" si="112"/>
        <v>1</v>
      </c>
      <c r="R598" s="3183">
        <f t="shared" si="113"/>
        <v>162430</v>
      </c>
      <c r="S598" s="902">
        <f t="shared" si="114"/>
        <v>530</v>
      </c>
    </row>
    <row r="599" spans="1:19">
      <c r="A599" s="3180">
        <f>面积!B1254</f>
        <v>-1581</v>
      </c>
      <c r="B599" s="3181">
        <f>面积!C1254</f>
        <v>32.61</v>
      </c>
      <c r="C599" s="3183">
        <f t="shared" si="105"/>
        <v>1</v>
      </c>
      <c r="D599" s="632"/>
      <c r="E599" s="3183">
        <f t="shared" si="106"/>
        <v>1</v>
      </c>
      <c r="F599" s="632"/>
      <c r="G599" s="3183">
        <f t="shared" si="107"/>
        <v>1</v>
      </c>
      <c r="H599" s="632"/>
      <c r="I599" s="3183">
        <f t="shared" si="108"/>
        <v>1</v>
      </c>
      <c r="J599" s="632"/>
      <c r="K599" s="3183">
        <f t="shared" si="109"/>
        <v>1</v>
      </c>
      <c r="L599" s="632"/>
      <c r="M599" s="3183">
        <f t="shared" si="110"/>
        <v>1</v>
      </c>
      <c r="N599" s="632"/>
      <c r="O599" s="3183">
        <f t="shared" si="111"/>
        <v>1</v>
      </c>
      <c r="P599" s="632"/>
      <c r="Q599" s="3183">
        <f t="shared" si="112"/>
        <v>1</v>
      </c>
      <c r="R599" s="3183">
        <f t="shared" si="113"/>
        <v>162430</v>
      </c>
      <c r="S599" s="902">
        <f t="shared" si="114"/>
        <v>530</v>
      </c>
    </row>
    <row r="600" spans="1:19">
      <c r="A600" s="3180">
        <f>面积!B1255</f>
        <v>-1582</v>
      </c>
      <c r="B600" s="3181">
        <f>面积!C1255</f>
        <v>32.61</v>
      </c>
      <c r="C600" s="3183">
        <f t="shared" si="105"/>
        <v>1</v>
      </c>
      <c r="D600" s="632"/>
      <c r="E600" s="3183">
        <f t="shared" si="106"/>
        <v>1</v>
      </c>
      <c r="F600" s="632"/>
      <c r="G600" s="3183">
        <f t="shared" si="107"/>
        <v>1</v>
      </c>
      <c r="H600" s="632"/>
      <c r="I600" s="3183">
        <f t="shared" si="108"/>
        <v>1</v>
      </c>
      <c r="J600" s="632"/>
      <c r="K600" s="3183">
        <f t="shared" si="109"/>
        <v>1</v>
      </c>
      <c r="L600" s="632"/>
      <c r="M600" s="3183">
        <f t="shared" si="110"/>
        <v>1</v>
      </c>
      <c r="N600" s="632"/>
      <c r="O600" s="3183">
        <f t="shared" si="111"/>
        <v>1</v>
      </c>
      <c r="P600" s="632"/>
      <c r="Q600" s="3183">
        <f t="shared" si="112"/>
        <v>1</v>
      </c>
      <c r="R600" s="3183">
        <f t="shared" si="113"/>
        <v>162430</v>
      </c>
      <c r="S600" s="902">
        <f t="shared" si="114"/>
        <v>530</v>
      </c>
    </row>
    <row r="601" spans="1:19">
      <c r="A601" s="3180">
        <f>面积!B1256</f>
        <v>-1583</v>
      </c>
      <c r="B601" s="3181">
        <f>面积!C1256</f>
        <v>32.61</v>
      </c>
      <c r="C601" s="3183">
        <f t="shared" si="105"/>
        <v>1</v>
      </c>
      <c r="D601" s="632"/>
      <c r="E601" s="3183">
        <f t="shared" si="106"/>
        <v>1</v>
      </c>
      <c r="F601" s="632"/>
      <c r="G601" s="3183">
        <f t="shared" si="107"/>
        <v>1</v>
      </c>
      <c r="H601" s="632"/>
      <c r="I601" s="3183">
        <f t="shared" si="108"/>
        <v>1</v>
      </c>
      <c r="J601" s="632"/>
      <c r="K601" s="3183">
        <f t="shared" si="109"/>
        <v>1</v>
      </c>
      <c r="L601" s="632"/>
      <c r="M601" s="3183">
        <f t="shared" si="110"/>
        <v>1</v>
      </c>
      <c r="N601" s="632"/>
      <c r="O601" s="3183">
        <f t="shared" si="111"/>
        <v>1</v>
      </c>
      <c r="P601" s="632"/>
      <c r="Q601" s="3183">
        <f t="shared" si="112"/>
        <v>1</v>
      </c>
      <c r="R601" s="3183">
        <f t="shared" si="113"/>
        <v>162430</v>
      </c>
      <c r="S601" s="902">
        <f t="shared" si="114"/>
        <v>530</v>
      </c>
    </row>
    <row r="602" spans="1:19">
      <c r="A602" s="3180">
        <f>面积!B1257</f>
        <v>-1584</v>
      </c>
      <c r="B602" s="3181">
        <f>面积!C1257</f>
        <v>32.61</v>
      </c>
      <c r="C602" s="3183">
        <f t="shared" si="105"/>
        <v>1</v>
      </c>
      <c r="D602" s="632"/>
      <c r="E602" s="3183">
        <f t="shared" si="106"/>
        <v>1</v>
      </c>
      <c r="F602" s="632"/>
      <c r="G602" s="3183">
        <f t="shared" si="107"/>
        <v>1</v>
      </c>
      <c r="H602" s="632"/>
      <c r="I602" s="3183">
        <f t="shared" si="108"/>
        <v>1</v>
      </c>
      <c r="J602" s="632"/>
      <c r="K602" s="3183">
        <f t="shared" si="109"/>
        <v>1</v>
      </c>
      <c r="L602" s="632"/>
      <c r="M602" s="3183">
        <f t="shared" si="110"/>
        <v>1</v>
      </c>
      <c r="N602" s="632"/>
      <c r="O602" s="3183">
        <f t="shared" si="111"/>
        <v>1</v>
      </c>
      <c r="P602" s="632"/>
      <c r="Q602" s="3183">
        <f t="shared" si="112"/>
        <v>1</v>
      </c>
      <c r="R602" s="3183">
        <f t="shared" si="113"/>
        <v>162430</v>
      </c>
      <c r="S602" s="902">
        <f t="shared" si="114"/>
        <v>530</v>
      </c>
    </row>
    <row r="603" spans="1:19">
      <c r="A603" s="3180">
        <f>面积!B1258</f>
        <v>-1585</v>
      </c>
      <c r="B603" s="3181">
        <f>面积!C1258</f>
        <v>32.61</v>
      </c>
      <c r="C603" s="3183">
        <f t="shared" si="105"/>
        <v>1</v>
      </c>
      <c r="D603" s="632"/>
      <c r="E603" s="3183">
        <f t="shared" si="106"/>
        <v>1</v>
      </c>
      <c r="F603" s="632"/>
      <c r="G603" s="3183">
        <f t="shared" si="107"/>
        <v>1</v>
      </c>
      <c r="H603" s="632"/>
      <c r="I603" s="3183">
        <f t="shared" si="108"/>
        <v>1</v>
      </c>
      <c r="J603" s="632"/>
      <c r="K603" s="3183">
        <f t="shared" si="109"/>
        <v>1</v>
      </c>
      <c r="L603" s="632"/>
      <c r="M603" s="3183">
        <f t="shared" si="110"/>
        <v>1</v>
      </c>
      <c r="N603" s="632"/>
      <c r="O603" s="3183">
        <f t="shared" si="111"/>
        <v>1</v>
      </c>
      <c r="P603" s="632"/>
      <c r="Q603" s="3183">
        <f t="shared" si="112"/>
        <v>1</v>
      </c>
      <c r="R603" s="3183">
        <f t="shared" si="113"/>
        <v>162430</v>
      </c>
      <c r="S603" s="902">
        <f t="shared" si="114"/>
        <v>530</v>
      </c>
    </row>
    <row r="604" spans="1:19">
      <c r="A604" s="3180">
        <f>面积!B1259</f>
        <v>-1586</v>
      </c>
      <c r="B604" s="3181">
        <f>面积!C1259</f>
        <v>32.61</v>
      </c>
      <c r="C604" s="3183">
        <f t="shared" si="105"/>
        <v>1</v>
      </c>
      <c r="D604" s="632"/>
      <c r="E604" s="3183">
        <f t="shared" si="106"/>
        <v>1</v>
      </c>
      <c r="F604" s="632"/>
      <c r="G604" s="3183">
        <f t="shared" si="107"/>
        <v>1</v>
      </c>
      <c r="H604" s="632"/>
      <c r="I604" s="3183">
        <f t="shared" si="108"/>
        <v>1</v>
      </c>
      <c r="J604" s="632"/>
      <c r="K604" s="3183">
        <f t="shared" si="109"/>
        <v>1</v>
      </c>
      <c r="L604" s="632"/>
      <c r="M604" s="3183">
        <f t="shared" si="110"/>
        <v>1</v>
      </c>
      <c r="N604" s="632"/>
      <c r="O604" s="3183">
        <f t="shared" si="111"/>
        <v>1</v>
      </c>
      <c r="P604" s="632"/>
      <c r="Q604" s="3183">
        <f t="shared" si="112"/>
        <v>1</v>
      </c>
      <c r="R604" s="3183">
        <f t="shared" si="113"/>
        <v>162430</v>
      </c>
      <c r="S604" s="902">
        <f t="shared" si="114"/>
        <v>530</v>
      </c>
    </row>
    <row r="605" spans="1:19">
      <c r="A605" s="3180">
        <f>面积!B1260</f>
        <v>-1587</v>
      </c>
      <c r="B605" s="3181">
        <f>面积!C1260</f>
        <v>32.61</v>
      </c>
      <c r="C605" s="3183">
        <f t="shared" si="105"/>
        <v>1</v>
      </c>
      <c r="D605" s="632"/>
      <c r="E605" s="3183">
        <f t="shared" si="106"/>
        <v>1</v>
      </c>
      <c r="F605" s="632"/>
      <c r="G605" s="3183">
        <f t="shared" si="107"/>
        <v>1</v>
      </c>
      <c r="H605" s="632"/>
      <c r="I605" s="3183">
        <f t="shared" si="108"/>
        <v>1</v>
      </c>
      <c r="J605" s="632"/>
      <c r="K605" s="3183">
        <f t="shared" si="109"/>
        <v>1</v>
      </c>
      <c r="L605" s="632"/>
      <c r="M605" s="3183">
        <f t="shared" si="110"/>
        <v>1</v>
      </c>
      <c r="N605" s="632"/>
      <c r="O605" s="3183">
        <f t="shared" si="111"/>
        <v>1</v>
      </c>
      <c r="P605" s="632"/>
      <c r="Q605" s="3183">
        <f t="shared" si="112"/>
        <v>1</v>
      </c>
      <c r="R605" s="3183">
        <f t="shared" si="113"/>
        <v>162430</v>
      </c>
      <c r="S605" s="902">
        <f t="shared" si="114"/>
        <v>530</v>
      </c>
    </row>
    <row r="606" spans="1:19">
      <c r="A606" s="3180">
        <f>面积!B1261</f>
        <v>-1588</v>
      </c>
      <c r="B606" s="3181">
        <f>面积!C1261</f>
        <v>32.61</v>
      </c>
      <c r="C606" s="3183">
        <f t="shared" si="105"/>
        <v>1</v>
      </c>
      <c r="D606" s="632"/>
      <c r="E606" s="3183">
        <f t="shared" si="106"/>
        <v>1</v>
      </c>
      <c r="F606" s="632"/>
      <c r="G606" s="3183">
        <f t="shared" si="107"/>
        <v>1</v>
      </c>
      <c r="H606" s="632"/>
      <c r="I606" s="3183">
        <f t="shared" si="108"/>
        <v>1</v>
      </c>
      <c r="J606" s="632"/>
      <c r="K606" s="3183">
        <f t="shared" si="109"/>
        <v>1</v>
      </c>
      <c r="L606" s="632"/>
      <c r="M606" s="3183">
        <f t="shared" si="110"/>
        <v>1</v>
      </c>
      <c r="N606" s="632"/>
      <c r="O606" s="3183">
        <f t="shared" si="111"/>
        <v>1</v>
      </c>
      <c r="P606" s="632"/>
      <c r="Q606" s="3183">
        <f t="shared" si="112"/>
        <v>1</v>
      </c>
      <c r="R606" s="3183">
        <f t="shared" si="113"/>
        <v>162430</v>
      </c>
      <c r="S606" s="902">
        <f t="shared" si="114"/>
        <v>530</v>
      </c>
    </row>
    <row r="607" spans="1:19">
      <c r="A607" s="3180">
        <f>面积!B1262</f>
        <v>-1589</v>
      </c>
      <c r="B607" s="3181">
        <f>面积!C1262</f>
        <v>32.61</v>
      </c>
      <c r="C607" s="3183">
        <f t="shared" si="105"/>
        <v>1</v>
      </c>
      <c r="D607" s="632"/>
      <c r="E607" s="3183">
        <f t="shared" si="106"/>
        <v>1</v>
      </c>
      <c r="F607" s="632"/>
      <c r="G607" s="3183">
        <f t="shared" si="107"/>
        <v>1</v>
      </c>
      <c r="H607" s="632"/>
      <c r="I607" s="3183">
        <f t="shared" si="108"/>
        <v>1</v>
      </c>
      <c r="J607" s="632"/>
      <c r="K607" s="3183">
        <f t="shared" si="109"/>
        <v>1</v>
      </c>
      <c r="L607" s="632"/>
      <c r="M607" s="3183">
        <f t="shared" si="110"/>
        <v>1</v>
      </c>
      <c r="N607" s="632"/>
      <c r="O607" s="3183">
        <f t="shared" si="111"/>
        <v>1</v>
      </c>
      <c r="P607" s="632"/>
      <c r="Q607" s="3183">
        <f t="shared" si="112"/>
        <v>1</v>
      </c>
      <c r="R607" s="3183">
        <f t="shared" si="113"/>
        <v>162430</v>
      </c>
      <c r="S607" s="902">
        <f t="shared" si="114"/>
        <v>530</v>
      </c>
    </row>
    <row r="608" spans="1:19">
      <c r="A608" s="3180">
        <f>面积!B1263</f>
        <v>-1590</v>
      </c>
      <c r="B608" s="3181">
        <f>面积!C1263</f>
        <v>32.61</v>
      </c>
      <c r="C608" s="3183">
        <f t="shared" si="105"/>
        <v>1</v>
      </c>
      <c r="D608" s="632"/>
      <c r="E608" s="3183">
        <f t="shared" si="106"/>
        <v>1</v>
      </c>
      <c r="F608" s="632"/>
      <c r="G608" s="3183">
        <f t="shared" si="107"/>
        <v>1</v>
      </c>
      <c r="H608" s="632"/>
      <c r="I608" s="3183">
        <f t="shared" si="108"/>
        <v>1</v>
      </c>
      <c r="J608" s="632"/>
      <c r="K608" s="3183">
        <f t="shared" si="109"/>
        <v>1</v>
      </c>
      <c r="L608" s="632"/>
      <c r="M608" s="3183">
        <f t="shared" si="110"/>
        <v>1</v>
      </c>
      <c r="N608" s="632"/>
      <c r="O608" s="3183">
        <f t="shared" si="111"/>
        <v>1</v>
      </c>
      <c r="P608" s="632"/>
      <c r="Q608" s="3183">
        <f t="shared" si="112"/>
        <v>1</v>
      </c>
      <c r="R608" s="3183">
        <f t="shared" si="113"/>
        <v>162430</v>
      </c>
      <c r="S608" s="902">
        <f t="shared" si="114"/>
        <v>530</v>
      </c>
    </row>
    <row r="609" spans="1:19">
      <c r="A609" s="3180">
        <f>面积!B1264</f>
        <v>-1591</v>
      </c>
      <c r="B609" s="3181">
        <f>面积!C1264</f>
        <v>32.61</v>
      </c>
      <c r="C609" s="3183">
        <f t="shared" si="105"/>
        <v>1</v>
      </c>
      <c r="D609" s="632"/>
      <c r="E609" s="3183">
        <f t="shared" si="106"/>
        <v>1</v>
      </c>
      <c r="F609" s="632"/>
      <c r="G609" s="3183">
        <f t="shared" si="107"/>
        <v>1</v>
      </c>
      <c r="H609" s="632"/>
      <c r="I609" s="3183">
        <f t="shared" si="108"/>
        <v>1</v>
      </c>
      <c r="J609" s="632"/>
      <c r="K609" s="3183">
        <f t="shared" si="109"/>
        <v>1</v>
      </c>
      <c r="L609" s="632"/>
      <c r="M609" s="3183">
        <f t="shared" si="110"/>
        <v>1</v>
      </c>
      <c r="N609" s="632"/>
      <c r="O609" s="3183">
        <f t="shared" si="111"/>
        <v>1</v>
      </c>
      <c r="P609" s="632"/>
      <c r="Q609" s="3183">
        <f t="shared" si="112"/>
        <v>1</v>
      </c>
      <c r="R609" s="3183">
        <f t="shared" si="113"/>
        <v>162430</v>
      </c>
      <c r="S609" s="902">
        <f t="shared" si="114"/>
        <v>530</v>
      </c>
    </row>
    <row r="610" spans="1:19">
      <c r="A610" s="3180">
        <f>面积!B1265</f>
        <v>-1592</v>
      </c>
      <c r="B610" s="3181">
        <f>面积!C1265</f>
        <v>32.61</v>
      </c>
      <c r="C610" s="3183">
        <f t="shared" si="105"/>
        <v>1</v>
      </c>
      <c r="D610" s="632"/>
      <c r="E610" s="3183">
        <f t="shared" si="106"/>
        <v>1</v>
      </c>
      <c r="F610" s="632"/>
      <c r="G610" s="3183">
        <f t="shared" si="107"/>
        <v>1</v>
      </c>
      <c r="H610" s="632"/>
      <c r="I610" s="3183">
        <f t="shared" si="108"/>
        <v>1</v>
      </c>
      <c r="J610" s="632"/>
      <c r="K610" s="3183">
        <f t="shared" si="109"/>
        <v>1</v>
      </c>
      <c r="L610" s="632"/>
      <c r="M610" s="3183">
        <f t="shared" si="110"/>
        <v>1</v>
      </c>
      <c r="N610" s="632"/>
      <c r="O610" s="3183">
        <f t="shared" si="111"/>
        <v>1</v>
      </c>
      <c r="P610" s="632"/>
      <c r="Q610" s="3183">
        <f t="shared" si="112"/>
        <v>1</v>
      </c>
      <c r="R610" s="3183">
        <f t="shared" si="113"/>
        <v>162430</v>
      </c>
      <c r="S610" s="902">
        <f t="shared" si="114"/>
        <v>530</v>
      </c>
    </row>
    <row r="611" spans="1:19">
      <c r="A611" s="3180">
        <f>面积!B1266</f>
        <v>-1593</v>
      </c>
      <c r="B611" s="3181">
        <f>面积!C1266</f>
        <v>32.61</v>
      </c>
      <c r="C611" s="3183">
        <f t="shared" si="105"/>
        <v>1</v>
      </c>
      <c r="D611" s="632"/>
      <c r="E611" s="3183">
        <f t="shared" si="106"/>
        <v>1</v>
      </c>
      <c r="F611" s="632"/>
      <c r="G611" s="3183">
        <f t="shared" si="107"/>
        <v>1</v>
      </c>
      <c r="H611" s="632"/>
      <c r="I611" s="3183">
        <f t="shared" si="108"/>
        <v>1</v>
      </c>
      <c r="J611" s="632"/>
      <c r="K611" s="3183">
        <f t="shared" si="109"/>
        <v>1</v>
      </c>
      <c r="L611" s="632"/>
      <c r="M611" s="3183">
        <f t="shared" si="110"/>
        <v>1</v>
      </c>
      <c r="N611" s="632"/>
      <c r="O611" s="3183">
        <f t="shared" si="111"/>
        <v>1</v>
      </c>
      <c r="P611" s="632"/>
      <c r="Q611" s="3183">
        <f t="shared" si="112"/>
        <v>1</v>
      </c>
      <c r="R611" s="3183">
        <f t="shared" si="113"/>
        <v>162430</v>
      </c>
      <c r="S611" s="902">
        <f t="shared" si="114"/>
        <v>530</v>
      </c>
    </row>
    <row r="612" spans="1:19">
      <c r="A612" s="3180">
        <f>面积!B1267</f>
        <v>-1594</v>
      </c>
      <c r="B612" s="3181">
        <f>面积!C1267</f>
        <v>32.61</v>
      </c>
      <c r="C612" s="3183">
        <f t="shared" si="105"/>
        <v>1</v>
      </c>
      <c r="D612" s="632"/>
      <c r="E612" s="3183">
        <f t="shared" si="106"/>
        <v>1</v>
      </c>
      <c r="F612" s="632"/>
      <c r="G612" s="3183">
        <f t="shared" si="107"/>
        <v>1</v>
      </c>
      <c r="H612" s="632"/>
      <c r="I612" s="3183">
        <f t="shared" si="108"/>
        <v>1</v>
      </c>
      <c r="J612" s="632"/>
      <c r="K612" s="3183">
        <f t="shared" si="109"/>
        <v>1</v>
      </c>
      <c r="L612" s="632"/>
      <c r="M612" s="3183">
        <f t="shared" si="110"/>
        <v>1</v>
      </c>
      <c r="N612" s="632"/>
      <c r="O612" s="3183">
        <f t="shared" si="111"/>
        <v>1</v>
      </c>
      <c r="P612" s="632"/>
      <c r="Q612" s="3183">
        <f t="shared" si="112"/>
        <v>1</v>
      </c>
      <c r="R612" s="3183">
        <f t="shared" si="113"/>
        <v>162430</v>
      </c>
      <c r="S612" s="902">
        <f t="shared" si="114"/>
        <v>530</v>
      </c>
    </row>
    <row r="613" spans="1:19">
      <c r="A613" s="3180">
        <f>面积!B1268</f>
        <v>-1595</v>
      </c>
      <c r="B613" s="3181">
        <f>面积!C1268</f>
        <v>32.61</v>
      </c>
      <c r="C613" s="3183">
        <f t="shared" si="105"/>
        <v>1</v>
      </c>
      <c r="D613" s="632"/>
      <c r="E613" s="3183">
        <f t="shared" si="106"/>
        <v>1</v>
      </c>
      <c r="F613" s="632"/>
      <c r="G613" s="3183">
        <f t="shared" si="107"/>
        <v>1</v>
      </c>
      <c r="H613" s="632"/>
      <c r="I613" s="3183">
        <f t="shared" si="108"/>
        <v>1</v>
      </c>
      <c r="J613" s="632"/>
      <c r="K613" s="3183">
        <f t="shared" si="109"/>
        <v>1</v>
      </c>
      <c r="L613" s="632"/>
      <c r="M613" s="3183">
        <f t="shared" si="110"/>
        <v>1</v>
      </c>
      <c r="N613" s="632"/>
      <c r="O613" s="3183">
        <f t="shared" si="111"/>
        <v>1</v>
      </c>
      <c r="P613" s="632"/>
      <c r="Q613" s="3183">
        <f t="shared" si="112"/>
        <v>1</v>
      </c>
      <c r="R613" s="3183">
        <f t="shared" si="113"/>
        <v>162430</v>
      </c>
      <c r="S613" s="902">
        <f t="shared" si="114"/>
        <v>530</v>
      </c>
    </row>
    <row r="614" spans="1:19">
      <c r="A614" s="3180">
        <f>面积!B1269</f>
        <v>-1596</v>
      </c>
      <c r="B614" s="3181">
        <f>面积!C1269</f>
        <v>32.61</v>
      </c>
      <c r="C614" s="3183">
        <f t="shared" si="105"/>
        <v>1</v>
      </c>
      <c r="D614" s="632"/>
      <c r="E614" s="3183">
        <f t="shared" si="106"/>
        <v>1</v>
      </c>
      <c r="F614" s="632"/>
      <c r="G614" s="3183">
        <f t="shared" si="107"/>
        <v>1</v>
      </c>
      <c r="H614" s="632"/>
      <c r="I614" s="3183">
        <f t="shared" si="108"/>
        <v>1</v>
      </c>
      <c r="J614" s="632"/>
      <c r="K614" s="3183">
        <f t="shared" si="109"/>
        <v>1</v>
      </c>
      <c r="L614" s="632"/>
      <c r="M614" s="3183">
        <f t="shared" si="110"/>
        <v>1</v>
      </c>
      <c r="N614" s="632"/>
      <c r="O614" s="3183">
        <f t="shared" si="111"/>
        <v>1</v>
      </c>
      <c r="P614" s="632"/>
      <c r="Q614" s="3183">
        <f t="shared" si="112"/>
        <v>1</v>
      </c>
      <c r="R614" s="3183">
        <f t="shared" si="113"/>
        <v>162430</v>
      </c>
      <c r="S614" s="902">
        <f t="shared" si="114"/>
        <v>530</v>
      </c>
    </row>
    <row r="615" spans="1:19">
      <c r="A615" s="3180">
        <f>面积!B1270</f>
        <v>-1597</v>
      </c>
      <c r="B615" s="3181">
        <f>面积!C1270</f>
        <v>32.61</v>
      </c>
      <c r="C615" s="3183">
        <f t="shared" si="105"/>
        <v>1</v>
      </c>
      <c r="D615" s="632"/>
      <c r="E615" s="3183">
        <f t="shared" si="106"/>
        <v>1</v>
      </c>
      <c r="F615" s="632"/>
      <c r="G615" s="3183">
        <f t="shared" si="107"/>
        <v>1</v>
      </c>
      <c r="H615" s="632"/>
      <c r="I615" s="3183">
        <f t="shared" si="108"/>
        <v>1</v>
      </c>
      <c r="J615" s="632"/>
      <c r="K615" s="3183">
        <f t="shared" si="109"/>
        <v>1</v>
      </c>
      <c r="L615" s="632"/>
      <c r="M615" s="3183">
        <f t="shared" si="110"/>
        <v>1</v>
      </c>
      <c r="N615" s="632"/>
      <c r="O615" s="3183">
        <f t="shared" si="111"/>
        <v>1</v>
      </c>
      <c r="P615" s="632"/>
      <c r="Q615" s="3183">
        <f t="shared" si="112"/>
        <v>1</v>
      </c>
      <c r="R615" s="3183">
        <f t="shared" si="113"/>
        <v>162430</v>
      </c>
      <c r="S615" s="902">
        <f t="shared" si="114"/>
        <v>530</v>
      </c>
    </row>
    <row r="616" spans="1:19">
      <c r="A616" s="3180">
        <f>面积!B1271</f>
        <v>-1598</v>
      </c>
      <c r="B616" s="3181">
        <f>面积!C1271</f>
        <v>32.61</v>
      </c>
      <c r="C616" s="3183">
        <f t="shared" si="105"/>
        <v>1</v>
      </c>
      <c r="D616" s="632"/>
      <c r="E616" s="3183">
        <f t="shared" si="106"/>
        <v>1</v>
      </c>
      <c r="F616" s="632"/>
      <c r="G616" s="3183">
        <f t="shared" si="107"/>
        <v>1</v>
      </c>
      <c r="H616" s="632"/>
      <c r="I616" s="3183">
        <f t="shared" si="108"/>
        <v>1</v>
      </c>
      <c r="J616" s="632"/>
      <c r="K616" s="3183">
        <f t="shared" si="109"/>
        <v>1</v>
      </c>
      <c r="L616" s="632"/>
      <c r="M616" s="3183">
        <f t="shared" si="110"/>
        <v>1</v>
      </c>
      <c r="N616" s="632"/>
      <c r="O616" s="3183">
        <f t="shared" si="111"/>
        <v>1</v>
      </c>
      <c r="P616" s="632"/>
      <c r="Q616" s="3183">
        <f t="shared" si="112"/>
        <v>1</v>
      </c>
      <c r="R616" s="3183">
        <f t="shared" si="113"/>
        <v>162430</v>
      </c>
      <c r="S616" s="902">
        <f t="shared" si="114"/>
        <v>530</v>
      </c>
    </row>
    <row r="617" spans="1:19">
      <c r="A617" s="3180">
        <f>面积!B1272</f>
        <v>-1599</v>
      </c>
      <c r="B617" s="3181">
        <f>面积!C1272</f>
        <v>32.61</v>
      </c>
      <c r="C617" s="3183">
        <f t="shared" si="105"/>
        <v>1</v>
      </c>
      <c r="D617" s="632"/>
      <c r="E617" s="3183">
        <f t="shared" si="106"/>
        <v>1</v>
      </c>
      <c r="F617" s="632"/>
      <c r="G617" s="3183">
        <f t="shared" si="107"/>
        <v>1</v>
      </c>
      <c r="H617" s="632"/>
      <c r="I617" s="3183">
        <f t="shared" si="108"/>
        <v>1</v>
      </c>
      <c r="J617" s="632"/>
      <c r="K617" s="3183">
        <f t="shared" si="109"/>
        <v>1</v>
      </c>
      <c r="L617" s="632"/>
      <c r="M617" s="3183">
        <f t="shared" si="110"/>
        <v>1</v>
      </c>
      <c r="N617" s="632"/>
      <c r="O617" s="3183">
        <f t="shared" si="111"/>
        <v>1</v>
      </c>
      <c r="P617" s="632"/>
      <c r="Q617" s="3183">
        <f t="shared" si="112"/>
        <v>1</v>
      </c>
      <c r="R617" s="3183">
        <f t="shared" si="113"/>
        <v>162430</v>
      </c>
      <c r="S617" s="902">
        <f t="shared" si="114"/>
        <v>530</v>
      </c>
    </row>
    <row r="618" spans="1:19">
      <c r="A618" s="3180">
        <f>面积!B1273</f>
        <v>-1600</v>
      </c>
      <c r="B618" s="3181">
        <f>面积!C1273</f>
        <v>32.61</v>
      </c>
      <c r="C618" s="3183">
        <f t="shared" si="105"/>
        <v>1</v>
      </c>
      <c r="D618" s="632"/>
      <c r="E618" s="3183">
        <f t="shared" si="106"/>
        <v>1</v>
      </c>
      <c r="F618" s="632"/>
      <c r="G618" s="3183">
        <f t="shared" si="107"/>
        <v>1</v>
      </c>
      <c r="H618" s="632"/>
      <c r="I618" s="3183">
        <f t="shared" si="108"/>
        <v>1</v>
      </c>
      <c r="J618" s="632"/>
      <c r="K618" s="3183">
        <f t="shared" si="109"/>
        <v>1</v>
      </c>
      <c r="L618" s="632"/>
      <c r="M618" s="3183">
        <f t="shared" si="110"/>
        <v>1</v>
      </c>
      <c r="N618" s="632"/>
      <c r="O618" s="3183">
        <f t="shared" si="111"/>
        <v>1</v>
      </c>
      <c r="P618" s="632"/>
      <c r="Q618" s="3183">
        <f t="shared" si="112"/>
        <v>1</v>
      </c>
      <c r="R618" s="3183">
        <f t="shared" si="113"/>
        <v>162430</v>
      </c>
      <c r="S618" s="902">
        <f t="shared" si="114"/>
        <v>530</v>
      </c>
    </row>
    <row r="619" spans="1:19">
      <c r="A619" s="3180">
        <f>面积!B1274</f>
        <v>-1601</v>
      </c>
      <c r="B619" s="3181">
        <f>面积!C1274</f>
        <v>32.61</v>
      </c>
      <c r="C619" s="3183">
        <f t="shared" si="105"/>
        <v>1</v>
      </c>
      <c r="D619" s="632"/>
      <c r="E619" s="3183">
        <f t="shared" si="106"/>
        <v>1</v>
      </c>
      <c r="F619" s="632"/>
      <c r="G619" s="3183">
        <f t="shared" si="107"/>
        <v>1</v>
      </c>
      <c r="H619" s="632"/>
      <c r="I619" s="3183">
        <f t="shared" si="108"/>
        <v>1</v>
      </c>
      <c r="J619" s="632"/>
      <c r="K619" s="3183">
        <f t="shared" si="109"/>
        <v>1</v>
      </c>
      <c r="L619" s="632"/>
      <c r="M619" s="3183">
        <f t="shared" si="110"/>
        <v>1</v>
      </c>
      <c r="N619" s="632"/>
      <c r="O619" s="3183">
        <f t="shared" si="111"/>
        <v>1</v>
      </c>
      <c r="P619" s="632"/>
      <c r="Q619" s="3183">
        <f t="shared" si="112"/>
        <v>1</v>
      </c>
      <c r="R619" s="3183">
        <f t="shared" si="113"/>
        <v>162430</v>
      </c>
      <c r="S619" s="902">
        <f t="shared" si="114"/>
        <v>530</v>
      </c>
    </row>
    <row r="620" spans="1:19">
      <c r="A620" s="3180">
        <f>面积!B1275</f>
        <v>-1602</v>
      </c>
      <c r="B620" s="3181">
        <f>面积!C1275</f>
        <v>32.61</v>
      </c>
      <c r="C620" s="3183">
        <f t="shared" si="105"/>
        <v>1</v>
      </c>
      <c r="D620" s="632"/>
      <c r="E620" s="3183">
        <f t="shared" si="106"/>
        <v>1</v>
      </c>
      <c r="F620" s="632"/>
      <c r="G620" s="3183">
        <f t="shared" si="107"/>
        <v>1</v>
      </c>
      <c r="H620" s="632"/>
      <c r="I620" s="3183">
        <f t="shared" si="108"/>
        <v>1</v>
      </c>
      <c r="J620" s="632"/>
      <c r="K620" s="3183">
        <f t="shared" si="109"/>
        <v>1</v>
      </c>
      <c r="L620" s="632"/>
      <c r="M620" s="3183">
        <f t="shared" si="110"/>
        <v>1</v>
      </c>
      <c r="N620" s="632"/>
      <c r="O620" s="3183">
        <f t="shared" si="111"/>
        <v>1</v>
      </c>
      <c r="P620" s="632"/>
      <c r="Q620" s="3183">
        <f t="shared" si="112"/>
        <v>1</v>
      </c>
      <c r="R620" s="3183">
        <f t="shared" si="113"/>
        <v>162430</v>
      </c>
      <c r="S620" s="902">
        <f t="shared" si="114"/>
        <v>530</v>
      </c>
    </row>
    <row r="621" spans="1:19">
      <c r="A621" s="3180">
        <f>面积!B1276</f>
        <v>-1603</v>
      </c>
      <c r="B621" s="3181">
        <f>面积!C1276</f>
        <v>32.61</v>
      </c>
      <c r="C621" s="3183">
        <f t="shared" si="105"/>
        <v>1</v>
      </c>
      <c r="D621" s="632"/>
      <c r="E621" s="3183">
        <f t="shared" si="106"/>
        <v>1</v>
      </c>
      <c r="F621" s="632"/>
      <c r="G621" s="3183">
        <f t="shared" si="107"/>
        <v>1</v>
      </c>
      <c r="H621" s="632"/>
      <c r="I621" s="3183">
        <f t="shared" si="108"/>
        <v>1</v>
      </c>
      <c r="J621" s="632"/>
      <c r="K621" s="3183">
        <f t="shared" si="109"/>
        <v>1</v>
      </c>
      <c r="L621" s="632"/>
      <c r="M621" s="3183">
        <f t="shared" si="110"/>
        <v>1</v>
      </c>
      <c r="N621" s="632"/>
      <c r="O621" s="3183">
        <f t="shared" si="111"/>
        <v>1</v>
      </c>
      <c r="P621" s="632"/>
      <c r="Q621" s="3183">
        <f t="shared" si="112"/>
        <v>1</v>
      </c>
      <c r="R621" s="3183">
        <f t="shared" si="113"/>
        <v>162430</v>
      </c>
      <c r="S621" s="902">
        <f t="shared" si="114"/>
        <v>530</v>
      </c>
    </row>
    <row r="622" spans="1:19">
      <c r="A622" s="3180">
        <f>面积!B1277</f>
        <v>-1604</v>
      </c>
      <c r="B622" s="3181">
        <f>面积!C1277</f>
        <v>32.61</v>
      </c>
      <c r="C622" s="3183">
        <f t="shared" si="105"/>
        <v>1</v>
      </c>
      <c r="D622" s="632"/>
      <c r="E622" s="3183">
        <f t="shared" si="106"/>
        <v>1</v>
      </c>
      <c r="F622" s="632"/>
      <c r="G622" s="3183">
        <f t="shared" si="107"/>
        <v>1</v>
      </c>
      <c r="H622" s="632"/>
      <c r="I622" s="3183">
        <f t="shared" si="108"/>
        <v>1</v>
      </c>
      <c r="J622" s="632"/>
      <c r="K622" s="3183">
        <f t="shared" si="109"/>
        <v>1</v>
      </c>
      <c r="L622" s="632"/>
      <c r="M622" s="3183">
        <f t="shared" si="110"/>
        <v>1</v>
      </c>
      <c r="N622" s="632"/>
      <c r="O622" s="3183">
        <f t="shared" si="111"/>
        <v>1</v>
      </c>
      <c r="P622" s="632"/>
      <c r="Q622" s="3183">
        <f t="shared" si="112"/>
        <v>1</v>
      </c>
      <c r="R622" s="3183">
        <f t="shared" si="113"/>
        <v>162430</v>
      </c>
      <c r="S622" s="902">
        <f t="shared" si="114"/>
        <v>530</v>
      </c>
    </row>
    <row r="623" spans="1:19">
      <c r="A623" s="3180">
        <f>面积!B1278</f>
        <v>-1605</v>
      </c>
      <c r="B623" s="3181">
        <f>面积!C1278</f>
        <v>32.61</v>
      </c>
      <c r="C623" s="3183">
        <f t="shared" si="105"/>
        <v>1</v>
      </c>
      <c r="D623" s="632"/>
      <c r="E623" s="3183">
        <f t="shared" si="106"/>
        <v>1</v>
      </c>
      <c r="F623" s="632"/>
      <c r="G623" s="3183">
        <f t="shared" si="107"/>
        <v>1</v>
      </c>
      <c r="H623" s="632"/>
      <c r="I623" s="3183">
        <f t="shared" si="108"/>
        <v>1</v>
      </c>
      <c r="J623" s="632"/>
      <c r="K623" s="3183">
        <f t="shared" si="109"/>
        <v>1</v>
      </c>
      <c r="L623" s="632"/>
      <c r="M623" s="3183">
        <f t="shared" si="110"/>
        <v>1</v>
      </c>
      <c r="N623" s="632"/>
      <c r="O623" s="3183">
        <f t="shared" si="111"/>
        <v>1</v>
      </c>
      <c r="P623" s="632"/>
      <c r="Q623" s="3183">
        <f t="shared" si="112"/>
        <v>1</v>
      </c>
      <c r="R623" s="3183">
        <f t="shared" si="113"/>
        <v>162430</v>
      </c>
      <c r="S623" s="902">
        <f t="shared" si="114"/>
        <v>530</v>
      </c>
    </row>
    <row r="624" spans="1:19">
      <c r="A624" s="3180">
        <f>面积!B1279</f>
        <v>-1606</v>
      </c>
      <c r="B624" s="3181">
        <f>面积!C1279</f>
        <v>32.61</v>
      </c>
      <c r="C624" s="3183">
        <f t="shared" si="105"/>
        <v>1</v>
      </c>
      <c r="D624" s="632"/>
      <c r="E624" s="3183">
        <f t="shared" si="106"/>
        <v>1</v>
      </c>
      <c r="F624" s="632"/>
      <c r="G624" s="3183">
        <f t="shared" si="107"/>
        <v>1</v>
      </c>
      <c r="H624" s="632"/>
      <c r="I624" s="3183">
        <f t="shared" si="108"/>
        <v>1</v>
      </c>
      <c r="J624" s="632"/>
      <c r="K624" s="3183">
        <f t="shared" si="109"/>
        <v>1</v>
      </c>
      <c r="L624" s="632"/>
      <c r="M624" s="3183">
        <f t="shared" si="110"/>
        <v>1</v>
      </c>
      <c r="N624" s="632"/>
      <c r="O624" s="3183">
        <f t="shared" si="111"/>
        <v>1</v>
      </c>
      <c r="P624" s="632"/>
      <c r="Q624" s="3183">
        <f t="shared" si="112"/>
        <v>1</v>
      </c>
      <c r="R624" s="3183">
        <f t="shared" si="113"/>
        <v>162430</v>
      </c>
      <c r="S624" s="902">
        <f t="shared" si="114"/>
        <v>530</v>
      </c>
    </row>
    <row r="625" spans="1:19">
      <c r="A625" s="3180">
        <f>面积!B1280</f>
        <v>-1607</v>
      </c>
      <c r="B625" s="3181">
        <f>面积!C1280</f>
        <v>32.61</v>
      </c>
      <c r="C625" s="3183">
        <f t="shared" si="105"/>
        <v>1</v>
      </c>
      <c r="D625" s="632"/>
      <c r="E625" s="3183">
        <f t="shared" si="106"/>
        <v>1</v>
      </c>
      <c r="F625" s="632"/>
      <c r="G625" s="3183">
        <f t="shared" si="107"/>
        <v>1</v>
      </c>
      <c r="H625" s="632"/>
      <c r="I625" s="3183">
        <f t="shared" si="108"/>
        <v>1</v>
      </c>
      <c r="J625" s="632"/>
      <c r="K625" s="3183">
        <f t="shared" si="109"/>
        <v>1</v>
      </c>
      <c r="L625" s="632"/>
      <c r="M625" s="3183">
        <f t="shared" si="110"/>
        <v>1</v>
      </c>
      <c r="N625" s="632"/>
      <c r="O625" s="3183">
        <f t="shared" si="111"/>
        <v>1</v>
      </c>
      <c r="P625" s="632"/>
      <c r="Q625" s="3183">
        <f t="shared" si="112"/>
        <v>1</v>
      </c>
      <c r="R625" s="3183">
        <f t="shared" si="113"/>
        <v>162430</v>
      </c>
      <c r="S625" s="902">
        <f t="shared" si="114"/>
        <v>530</v>
      </c>
    </row>
    <row r="626" spans="1:19">
      <c r="A626" s="3180">
        <f>面积!B1281</f>
        <v>-1608</v>
      </c>
      <c r="B626" s="3181">
        <f>面积!C1281</f>
        <v>32.61</v>
      </c>
      <c r="C626" s="3183">
        <f t="shared" si="105"/>
        <v>1</v>
      </c>
      <c r="D626" s="632"/>
      <c r="E626" s="3183">
        <f t="shared" si="106"/>
        <v>1</v>
      </c>
      <c r="F626" s="632"/>
      <c r="G626" s="3183">
        <f t="shared" si="107"/>
        <v>1</v>
      </c>
      <c r="H626" s="632"/>
      <c r="I626" s="3183">
        <f t="shared" si="108"/>
        <v>1</v>
      </c>
      <c r="J626" s="632"/>
      <c r="K626" s="3183">
        <f t="shared" si="109"/>
        <v>1</v>
      </c>
      <c r="L626" s="632"/>
      <c r="M626" s="3183">
        <f t="shared" si="110"/>
        <v>1</v>
      </c>
      <c r="N626" s="632"/>
      <c r="O626" s="3183">
        <f t="shared" si="111"/>
        <v>1</v>
      </c>
      <c r="P626" s="632"/>
      <c r="Q626" s="3183">
        <f t="shared" si="112"/>
        <v>1</v>
      </c>
      <c r="R626" s="3183">
        <f t="shared" si="113"/>
        <v>162430</v>
      </c>
      <c r="S626" s="902">
        <f t="shared" si="114"/>
        <v>530</v>
      </c>
    </row>
    <row r="627" spans="1:19">
      <c r="A627" s="3180">
        <f>面积!B1282</f>
        <v>-1609</v>
      </c>
      <c r="B627" s="3181">
        <f>面积!C1282</f>
        <v>32.61</v>
      </c>
      <c r="C627" s="3183">
        <f t="shared" si="105"/>
        <v>1</v>
      </c>
      <c r="D627" s="632"/>
      <c r="E627" s="3183">
        <f t="shared" si="106"/>
        <v>1</v>
      </c>
      <c r="F627" s="632"/>
      <c r="G627" s="3183">
        <f t="shared" si="107"/>
        <v>1</v>
      </c>
      <c r="H627" s="632"/>
      <c r="I627" s="3183">
        <f t="shared" si="108"/>
        <v>1</v>
      </c>
      <c r="J627" s="632"/>
      <c r="K627" s="3183">
        <f t="shared" si="109"/>
        <v>1</v>
      </c>
      <c r="L627" s="632"/>
      <c r="M627" s="3183">
        <f t="shared" si="110"/>
        <v>1</v>
      </c>
      <c r="N627" s="632"/>
      <c r="O627" s="3183">
        <f t="shared" si="111"/>
        <v>1</v>
      </c>
      <c r="P627" s="632"/>
      <c r="Q627" s="3183">
        <f t="shared" si="112"/>
        <v>1</v>
      </c>
      <c r="R627" s="3183">
        <f t="shared" si="113"/>
        <v>162430</v>
      </c>
      <c r="S627" s="902">
        <f t="shared" si="114"/>
        <v>530</v>
      </c>
    </row>
    <row r="628" spans="1:19">
      <c r="A628" s="3180">
        <f>面积!B1283</f>
        <v>-1610</v>
      </c>
      <c r="B628" s="3181">
        <f>面积!C1283</f>
        <v>32.61</v>
      </c>
      <c r="C628" s="3183">
        <f t="shared" si="105"/>
        <v>1</v>
      </c>
      <c r="D628" s="632"/>
      <c r="E628" s="3183">
        <f t="shared" si="106"/>
        <v>1</v>
      </c>
      <c r="F628" s="632"/>
      <c r="G628" s="3183">
        <f t="shared" si="107"/>
        <v>1</v>
      </c>
      <c r="H628" s="632"/>
      <c r="I628" s="3183">
        <f t="shared" si="108"/>
        <v>1</v>
      </c>
      <c r="J628" s="632"/>
      <c r="K628" s="3183">
        <f t="shared" si="109"/>
        <v>1</v>
      </c>
      <c r="L628" s="632"/>
      <c r="M628" s="3183">
        <f t="shared" si="110"/>
        <v>1</v>
      </c>
      <c r="N628" s="632"/>
      <c r="O628" s="3183">
        <f t="shared" si="111"/>
        <v>1</v>
      </c>
      <c r="P628" s="632"/>
      <c r="Q628" s="3183">
        <f t="shared" si="112"/>
        <v>1</v>
      </c>
      <c r="R628" s="3183">
        <f t="shared" si="113"/>
        <v>162430</v>
      </c>
      <c r="S628" s="902">
        <f t="shared" si="114"/>
        <v>530</v>
      </c>
    </row>
    <row r="629" spans="1:19">
      <c r="A629" s="3180">
        <f>面积!B1284</f>
        <v>-1611</v>
      </c>
      <c r="B629" s="3181">
        <f>面积!C1284</f>
        <v>32.61</v>
      </c>
      <c r="C629" s="3183">
        <f t="shared" si="105"/>
        <v>1</v>
      </c>
      <c r="D629" s="632"/>
      <c r="E629" s="3183">
        <f t="shared" si="106"/>
        <v>1</v>
      </c>
      <c r="F629" s="632"/>
      <c r="G629" s="3183">
        <f t="shared" si="107"/>
        <v>1</v>
      </c>
      <c r="H629" s="632"/>
      <c r="I629" s="3183">
        <f t="shared" si="108"/>
        <v>1</v>
      </c>
      <c r="J629" s="632"/>
      <c r="K629" s="3183">
        <f t="shared" si="109"/>
        <v>1</v>
      </c>
      <c r="L629" s="632"/>
      <c r="M629" s="3183">
        <f t="shared" si="110"/>
        <v>1</v>
      </c>
      <c r="N629" s="632"/>
      <c r="O629" s="3183">
        <f t="shared" si="111"/>
        <v>1</v>
      </c>
      <c r="P629" s="632"/>
      <c r="Q629" s="3183">
        <f t="shared" si="112"/>
        <v>1</v>
      </c>
      <c r="R629" s="3183">
        <f t="shared" si="113"/>
        <v>162430</v>
      </c>
      <c r="S629" s="902">
        <f t="shared" si="114"/>
        <v>530</v>
      </c>
    </row>
    <row r="630" spans="1:19">
      <c r="A630" s="3180">
        <f>面积!B1285</f>
        <v>-1612</v>
      </c>
      <c r="B630" s="3181">
        <f>面积!C1285</f>
        <v>32.61</v>
      </c>
      <c r="C630" s="3183">
        <f t="shared" si="105"/>
        <v>1</v>
      </c>
      <c r="D630" s="632"/>
      <c r="E630" s="3183">
        <f t="shared" si="106"/>
        <v>1</v>
      </c>
      <c r="F630" s="632"/>
      <c r="G630" s="3183">
        <f t="shared" si="107"/>
        <v>1</v>
      </c>
      <c r="H630" s="632"/>
      <c r="I630" s="3183">
        <f t="shared" si="108"/>
        <v>1</v>
      </c>
      <c r="J630" s="632"/>
      <c r="K630" s="3183">
        <f t="shared" si="109"/>
        <v>1</v>
      </c>
      <c r="L630" s="632"/>
      <c r="M630" s="3183">
        <f t="shared" si="110"/>
        <v>1</v>
      </c>
      <c r="N630" s="632"/>
      <c r="O630" s="3183">
        <f t="shared" si="111"/>
        <v>1</v>
      </c>
      <c r="P630" s="632"/>
      <c r="Q630" s="3183">
        <f t="shared" si="112"/>
        <v>1</v>
      </c>
      <c r="R630" s="3183">
        <f t="shared" si="113"/>
        <v>162430</v>
      </c>
      <c r="S630" s="902">
        <f t="shared" si="114"/>
        <v>530</v>
      </c>
    </row>
    <row r="631" spans="1:19">
      <c r="A631" s="3180">
        <f>面积!B1286</f>
        <v>-1613</v>
      </c>
      <c r="B631" s="3181">
        <f>面积!C1286</f>
        <v>32.61</v>
      </c>
      <c r="C631" s="3183">
        <f t="shared" si="105"/>
        <v>1</v>
      </c>
      <c r="D631" s="632"/>
      <c r="E631" s="3183">
        <f t="shared" si="106"/>
        <v>1</v>
      </c>
      <c r="F631" s="632"/>
      <c r="G631" s="3183">
        <f t="shared" si="107"/>
        <v>1</v>
      </c>
      <c r="H631" s="632"/>
      <c r="I631" s="3183">
        <f t="shared" si="108"/>
        <v>1</v>
      </c>
      <c r="J631" s="632"/>
      <c r="K631" s="3183">
        <f t="shared" si="109"/>
        <v>1</v>
      </c>
      <c r="L631" s="632"/>
      <c r="M631" s="3183">
        <f t="shared" si="110"/>
        <v>1</v>
      </c>
      <c r="N631" s="632"/>
      <c r="O631" s="3183">
        <f t="shared" si="111"/>
        <v>1</v>
      </c>
      <c r="P631" s="632"/>
      <c r="Q631" s="3183">
        <f t="shared" si="112"/>
        <v>1</v>
      </c>
      <c r="R631" s="3183">
        <f t="shared" si="113"/>
        <v>162430</v>
      </c>
      <c r="S631" s="902">
        <f t="shared" si="114"/>
        <v>530</v>
      </c>
    </row>
    <row r="632" spans="1:19">
      <c r="A632" s="3180">
        <f>面积!B1287</f>
        <v>-1614</v>
      </c>
      <c r="B632" s="3181">
        <f>面积!C1287</f>
        <v>32.61</v>
      </c>
      <c r="C632" s="3183">
        <f t="shared" si="105"/>
        <v>1</v>
      </c>
      <c r="D632" s="632"/>
      <c r="E632" s="3183">
        <f t="shared" si="106"/>
        <v>1</v>
      </c>
      <c r="F632" s="632"/>
      <c r="G632" s="3183">
        <f t="shared" si="107"/>
        <v>1</v>
      </c>
      <c r="H632" s="632"/>
      <c r="I632" s="3183">
        <f t="shared" si="108"/>
        <v>1</v>
      </c>
      <c r="J632" s="632"/>
      <c r="K632" s="3183">
        <f t="shared" si="109"/>
        <v>1</v>
      </c>
      <c r="L632" s="632"/>
      <c r="M632" s="3183">
        <f t="shared" si="110"/>
        <v>1</v>
      </c>
      <c r="N632" s="632"/>
      <c r="O632" s="3183">
        <f t="shared" si="111"/>
        <v>1</v>
      </c>
      <c r="P632" s="632"/>
      <c r="Q632" s="3183">
        <f t="shared" si="112"/>
        <v>1</v>
      </c>
      <c r="R632" s="3183">
        <f t="shared" si="113"/>
        <v>162430</v>
      </c>
      <c r="S632" s="902">
        <f t="shared" si="114"/>
        <v>530</v>
      </c>
    </row>
    <row r="633" spans="1:19">
      <c r="A633" s="3180">
        <f>面积!B1288</f>
        <v>-1615</v>
      </c>
      <c r="B633" s="3181">
        <f>面积!C1288</f>
        <v>32.61</v>
      </c>
      <c r="C633" s="3183">
        <f t="shared" si="105"/>
        <v>1</v>
      </c>
      <c r="D633" s="632"/>
      <c r="E633" s="3183">
        <f t="shared" si="106"/>
        <v>1</v>
      </c>
      <c r="F633" s="632"/>
      <c r="G633" s="3183">
        <f t="shared" si="107"/>
        <v>1</v>
      </c>
      <c r="H633" s="632"/>
      <c r="I633" s="3183">
        <f t="shared" si="108"/>
        <v>1</v>
      </c>
      <c r="J633" s="632"/>
      <c r="K633" s="3183">
        <f t="shared" si="109"/>
        <v>1</v>
      </c>
      <c r="L633" s="632"/>
      <c r="M633" s="3183">
        <f t="shared" si="110"/>
        <v>1</v>
      </c>
      <c r="N633" s="632"/>
      <c r="O633" s="3183">
        <f t="shared" si="111"/>
        <v>1</v>
      </c>
      <c r="P633" s="632"/>
      <c r="Q633" s="3183">
        <f t="shared" si="112"/>
        <v>1</v>
      </c>
      <c r="R633" s="3183">
        <f t="shared" si="113"/>
        <v>162430</v>
      </c>
      <c r="S633" s="902">
        <f t="shared" si="114"/>
        <v>530</v>
      </c>
    </row>
    <row r="634" spans="1:19">
      <c r="A634" s="3180">
        <f>面积!B1289</f>
        <v>-1616</v>
      </c>
      <c r="B634" s="3181">
        <f>面积!C1289</f>
        <v>32.61</v>
      </c>
      <c r="C634" s="3183">
        <f t="shared" si="105"/>
        <v>1</v>
      </c>
      <c r="D634" s="632"/>
      <c r="E634" s="3183">
        <f t="shared" si="106"/>
        <v>1</v>
      </c>
      <c r="F634" s="632"/>
      <c r="G634" s="3183">
        <f t="shared" si="107"/>
        <v>1</v>
      </c>
      <c r="H634" s="632"/>
      <c r="I634" s="3183">
        <f t="shared" si="108"/>
        <v>1</v>
      </c>
      <c r="J634" s="632"/>
      <c r="K634" s="3183">
        <f t="shared" si="109"/>
        <v>1</v>
      </c>
      <c r="L634" s="632"/>
      <c r="M634" s="3183">
        <f t="shared" si="110"/>
        <v>1</v>
      </c>
      <c r="N634" s="632"/>
      <c r="O634" s="3183">
        <f t="shared" si="111"/>
        <v>1</v>
      </c>
      <c r="P634" s="632"/>
      <c r="Q634" s="3183">
        <f t="shared" si="112"/>
        <v>1</v>
      </c>
      <c r="R634" s="3183">
        <f t="shared" si="113"/>
        <v>162430</v>
      </c>
      <c r="S634" s="902">
        <f t="shared" si="114"/>
        <v>530</v>
      </c>
    </row>
    <row r="635" spans="1:19">
      <c r="A635" s="3180">
        <f>面积!B1290</f>
        <v>-1617</v>
      </c>
      <c r="B635" s="3181">
        <f>面积!C1290</f>
        <v>32.61</v>
      </c>
      <c r="C635" s="3183">
        <f t="shared" si="105"/>
        <v>1</v>
      </c>
      <c r="D635" s="632"/>
      <c r="E635" s="3183">
        <f t="shared" si="106"/>
        <v>1</v>
      </c>
      <c r="F635" s="632"/>
      <c r="G635" s="3183">
        <f t="shared" si="107"/>
        <v>1</v>
      </c>
      <c r="H635" s="632"/>
      <c r="I635" s="3183">
        <f t="shared" si="108"/>
        <v>1</v>
      </c>
      <c r="J635" s="632"/>
      <c r="K635" s="3183">
        <f t="shared" si="109"/>
        <v>1</v>
      </c>
      <c r="L635" s="632"/>
      <c r="M635" s="3183">
        <f t="shared" si="110"/>
        <v>1</v>
      </c>
      <c r="N635" s="632"/>
      <c r="O635" s="3183">
        <f t="shared" si="111"/>
        <v>1</v>
      </c>
      <c r="P635" s="632"/>
      <c r="Q635" s="3183">
        <f t="shared" si="112"/>
        <v>1</v>
      </c>
      <c r="R635" s="3183">
        <f t="shared" si="113"/>
        <v>162430</v>
      </c>
      <c r="S635" s="902">
        <f t="shared" si="114"/>
        <v>530</v>
      </c>
    </row>
    <row r="636" spans="1:19">
      <c r="A636" s="3180">
        <f>面积!B1291</f>
        <v>-1618</v>
      </c>
      <c r="B636" s="3181">
        <f>面积!C1291</f>
        <v>32.61</v>
      </c>
      <c r="C636" s="3183">
        <f t="shared" si="105"/>
        <v>1</v>
      </c>
      <c r="D636" s="632"/>
      <c r="E636" s="3183">
        <f t="shared" si="106"/>
        <v>1</v>
      </c>
      <c r="F636" s="632"/>
      <c r="G636" s="3183">
        <f t="shared" si="107"/>
        <v>1</v>
      </c>
      <c r="H636" s="632"/>
      <c r="I636" s="3183">
        <f t="shared" si="108"/>
        <v>1</v>
      </c>
      <c r="J636" s="632"/>
      <c r="K636" s="3183">
        <f t="shared" si="109"/>
        <v>1</v>
      </c>
      <c r="L636" s="632"/>
      <c r="M636" s="3183">
        <f t="shared" si="110"/>
        <v>1</v>
      </c>
      <c r="N636" s="632"/>
      <c r="O636" s="3183">
        <f t="shared" si="111"/>
        <v>1</v>
      </c>
      <c r="P636" s="632"/>
      <c r="Q636" s="3183">
        <f t="shared" si="112"/>
        <v>1</v>
      </c>
      <c r="R636" s="3183">
        <f t="shared" si="113"/>
        <v>162430</v>
      </c>
      <c r="S636" s="902">
        <f t="shared" si="114"/>
        <v>530</v>
      </c>
    </row>
    <row r="637" spans="1:19">
      <c r="A637" s="3180">
        <f>面积!B1292</f>
        <v>-1619</v>
      </c>
      <c r="B637" s="3181">
        <f>面积!C1292</f>
        <v>32.61</v>
      </c>
      <c r="C637" s="3183">
        <f t="shared" si="105"/>
        <v>1</v>
      </c>
      <c r="D637" s="632"/>
      <c r="E637" s="3183">
        <f t="shared" si="106"/>
        <v>1</v>
      </c>
      <c r="F637" s="632"/>
      <c r="G637" s="3183">
        <f t="shared" si="107"/>
        <v>1</v>
      </c>
      <c r="H637" s="632"/>
      <c r="I637" s="3183">
        <f t="shared" si="108"/>
        <v>1</v>
      </c>
      <c r="J637" s="632"/>
      <c r="K637" s="3183">
        <f t="shared" si="109"/>
        <v>1</v>
      </c>
      <c r="L637" s="632"/>
      <c r="M637" s="3183">
        <f t="shared" si="110"/>
        <v>1</v>
      </c>
      <c r="N637" s="632"/>
      <c r="O637" s="3183">
        <f t="shared" si="111"/>
        <v>1</v>
      </c>
      <c r="P637" s="632"/>
      <c r="Q637" s="3183">
        <f t="shared" si="112"/>
        <v>1</v>
      </c>
      <c r="R637" s="3183">
        <f t="shared" si="113"/>
        <v>162430</v>
      </c>
      <c r="S637" s="902">
        <f t="shared" si="114"/>
        <v>530</v>
      </c>
    </row>
    <row r="638" spans="1:19">
      <c r="A638" s="3180">
        <f>面积!B1293</f>
        <v>-1620</v>
      </c>
      <c r="B638" s="3181">
        <f>面积!C1293</f>
        <v>32.61</v>
      </c>
      <c r="C638" s="3183">
        <f t="shared" si="105"/>
        <v>1</v>
      </c>
      <c r="D638" s="632"/>
      <c r="E638" s="3183">
        <f t="shared" si="106"/>
        <v>1</v>
      </c>
      <c r="F638" s="632"/>
      <c r="G638" s="3183">
        <f t="shared" si="107"/>
        <v>1</v>
      </c>
      <c r="H638" s="632"/>
      <c r="I638" s="3183">
        <f t="shared" si="108"/>
        <v>1</v>
      </c>
      <c r="J638" s="632"/>
      <c r="K638" s="3183">
        <f t="shared" si="109"/>
        <v>1</v>
      </c>
      <c r="L638" s="632"/>
      <c r="M638" s="3183">
        <f t="shared" si="110"/>
        <v>1</v>
      </c>
      <c r="N638" s="632"/>
      <c r="O638" s="3183">
        <f t="shared" si="111"/>
        <v>1</v>
      </c>
      <c r="P638" s="632"/>
      <c r="Q638" s="3183">
        <f t="shared" si="112"/>
        <v>1</v>
      </c>
      <c r="R638" s="3183">
        <f t="shared" si="113"/>
        <v>162430</v>
      </c>
      <c r="S638" s="902">
        <f t="shared" si="114"/>
        <v>530</v>
      </c>
    </row>
    <row r="639" spans="1:19">
      <c r="A639" s="3180">
        <f>面积!B1294</f>
        <v>-1621</v>
      </c>
      <c r="B639" s="3181">
        <f>面积!C1294</f>
        <v>32.61</v>
      </c>
      <c r="C639" s="3183">
        <f t="shared" si="105"/>
        <v>1</v>
      </c>
      <c r="D639" s="632"/>
      <c r="E639" s="3183">
        <f t="shared" si="106"/>
        <v>1</v>
      </c>
      <c r="F639" s="632"/>
      <c r="G639" s="3183">
        <f t="shared" si="107"/>
        <v>1</v>
      </c>
      <c r="H639" s="632"/>
      <c r="I639" s="3183">
        <f t="shared" si="108"/>
        <v>1</v>
      </c>
      <c r="J639" s="632"/>
      <c r="K639" s="3183">
        <f t="shared" si="109"/>
        <v>1</v>
      </c>
      <c r="L639" s="632"/>
      <c r="M639" s="3183">
        <f t="shared" si="110"/>
        <v>1</v>
      </c>
      <c r="N639" s="632"/>
      <c r="O639" s="3183">
        <f t="shared" si="111"/>
        <v>1</v>
      </c>
      <c r="P639" s="632"/>
      <c r="Q639" s="3183">
        <f t="shared" si="112"/>
        <v>1</v>
      </c>
      <c r="R639" s="3183">
        <f t="shared" si="113"/>
        <v>162430</v>
      </c>
      <c r="S639" s="902">
        <f t="shared" si="114"/>
        <v>530</v>
      </c>
    </row>
    <row r="640" spans="1:19">
      <c r="A640" s="3180">
        <f>面积!B1295</f>
        <v>-1622</v>
      </c>
      <c r="B640" s="3181">
        <f>面积!C1295</f>
        <v>32.61</v>
      </c>
      <c r="C640" s="3183">
        <f t="shared" si="105"/>
        <v>1</v>
      </c>
      <c r="D640" s="632"/>
      <c r="E640" s="3183">
        <f t="shared" si="106"/>
        <v>1</v>
      </c>
      <c r="F640" s="632"/>
      <c r="G640" s="3183">
        <f t="shared" si="107"/>
        <v>1</v>
      </c>
      <c r="H640" s="632"/>
      <c r="I640" s="3183">
        <f t="shared" si="108"/>
        <v>1</v>
      </c>
      <c r="J640" s="632"/>
      <c r="K640" s="3183">
        <f t="shared" si="109"/>
        <v>1</v>
      </c>
      <c r="L640" s="632"/>
      <c r="M640" s="3183">
        <f t="shared" si="110"/>
        <v>1</v>
      </c>
      <c r="N640" s="632"/>
      <c r="O640" s="3183">
        <f t="shared" si="111"/>
        <v>1</v>
      </c>
      <c r="P640" s="632"/>
      <c r="Q640" s="3183">
        <f t="shared" si="112"/>
        <v>1</v>
      </c>
      <c r="R640" s="3183">
        <f t="shared" si="113"/>
        <v>162430</v>
      </c>
      <c r="S640" s="902">
        <f t="shared" si="114"/>
        <v>530</v>
      </c>
    </row>
    <row r="641" spans="1:19">
      <c r="A641" s="3180">
        <f>面积!B1296</f>
        <v>-1623</v>
      </c>
      <c r="B641" s="3181">
        <f>面积!C1296</f>
        <v>32.61</v>
      </c>
      <c r="C641" s="3183">
        <f t="shared" si="105"/>
        <v>1</v>
      </c>
      <c r="D641" s="632"/>
      <c r="E641" s="3183">
        <f t="shared" si="106"/>
        <v>1</v>
      </c>
      <c r="F641" s="632"/>
      <c r="G641" s="3183">
        <f t="shared" si="107"/>
        <v>1</v>
      </c>
      <c r="H641" s="632"/>
      <c r="I641" s="3183">
        <f t="shared" si="108"/>
        <v>1</v>
      </c>
      <c r="J641" s="632"/>
      <c r="K641" s="3183">
        <f t="shared" si="109"/>
        <v>1</v>
      </c>
      <c r="L641" s="632"/>
      <c r="M641" s="3183">
        <f t="shared" si="110"/>
        <v>1</v>
      </c>
      <c r="N641" s="632"/>
      <c r="O641" s="3183">
        <f t="shared" si="111"/>
        <v>1</v>
      </c>
      <c r="P641" s="632"/>
      <c r="Q641" s="3183">
        <f t="shared" si="112"/>
        <v>1</v>
      </c>
      <c r="R641" s="3183">
        <f t="shared" si="113"/>
        <v>162430</v>
      </c>
      <c r="S641" s="902">
        <f t="shared" si="114"/>
        <v>530</v>
      </c>
    </row>
    <row r="642" spans="1:19">
      <c r="A642" s="3180">
        <f>面积!B1297</f>
        <v>-1624</v>
      </c>
      <c r="B642" s="3181">
        <f>面积!C1297</f>
        <v>32.61</v>
      </c>
      <c r="C642" s="3183">
        <f t="shared" si="105"/>
        <v>1</v>
      </c>
      <c r="D642" s="632"/>
      <c r="E642" s="3183">
        <f t="shared" si="106"/>
        <v>1</v>
      </c>
      <c r="F642" s="632"/>
      <c r="G642" s="3183">
        <f t="shared" si="107"/>
        <v>1</v>
      </c>
      <c r="H642" s="632"/>
      <c r="I642" s="3183">
        <f t="shared" si="108"/>
        <v>1</v>
      </c>
      <c r="J642" s="632"/>
      <c r="K642" s="3183">
        <f t="shared" si="109"/>
        <v>1</v>
      </c>
      <c r="L642" s="632"/>
      <c r="M642" s="3183">
        <f t="shared" si="110"/>
        <v>1</v>
      </c>
      <c r="N642" s="632"/>
      <c r="O642" s="3183">
        <f t="shared" si="111"/>
        <v>1</v>
      </c>
      <c r="P642" s="632"/>
      <c r="Q642" s="3183">
        <f t="shared" si="112"/>
        <v>1</v>
      </c>
      <c r="R642" s="3183">
        <f t="shared" si="113"/>
        <v>162430</v>
      </c>
      <c r="S642" s="902">
        <f t="shared" si="114"/>
        <v>530</v>
      </c>
    </row>
    <row r="643" spans="1:19">
      <c r="A643" s="3180">
        <f>面积!B1298</f>
        <v>-1625</v>
      </c>
      <c r="B643" s="3181">
        <f>面积!C1298</f>
        <v>32.61</v>
      </c>
      <c r="C643" s="3183">
        <f t="shared" si="105"/>
        <v>1</v>
      </c>
      <c r="D643" s="632"/>
      <c r="E643" s="3183">
        <f t="shared" si="106"/>
        <v>1</v>
      </c>
      <c r="F643" s="632"/>
      <c r="G643" s="3183">
        <f t="shared" si="107"/>
        <v>1</v>
      </c>
      <c r="H643" s="632"/>
      <c r="I643" s="3183">
        <f t="shared" si="108"/>
        <v>1</v>
      </c>
      <c r="J643" s="632"/>
      <c r="K643" s="3183">
        <f t="shared" si="109"/>
        <v>1</v>
      </c>
      <c r="L643" s="632"/>
      <c r="M643" s="3183">
        <f t="shared" si="110"/>
        <v>1</v>
      </c>
      <c r="N643" s="632"/>
      <c r="O643" s="3183">
        <f t="shared" si="111"/>
        <v>1</v>
      </c>
      <c r="P643" s="632"/>
      <c r="Q643" s="3183">
        <f t="shared" si="112"/>
        <v>1</v>
      </c>
      <c r="R643" s="3183">
        <f t="shared" si="113"/>
        <v>162430</v>
      </c>
      <c r="S643" s="902">
        <f t="shared" si="114"/>
        <v>530</v>
      </c>
    </row>
    <row r="644" spans="1:19">
      <c r="A644" s="3180">
        <f>面积!B1299</f>
        <v>-1626</v>
      </c>
      <c r="B644" s="3181">
        <f>面积!C1299</f>
        <v>32.61</v>
      </c>
      <c r="C644" s="3183">
        <f t="shared" si="105"/>
        <v>1</v>
      </c>
      <c r="D644" s="632"/>
      <c r="E644" s="3183">
        <f t="shared" si="106"/>
        <v>1</v>
      </c>
      <c r="F644" s="632"/>
      <c r="G644" s="3183">
        <f t="shared" si="107"/>
        <v>1</v>
      </c>
      <c r="H644" s="632"/>
      <c r="I644" s="3183">
        <f t="shared" si="108"/>
        <v>1</v>
      </c>
      <c r="J644" s="632"/>
      <c r="K644" s="3183">
        <f t="shared" si="109"/>
        <v>1</v>
      </c>
      <c r="L644" s="632"/>
      <c r="M644" s="3183">
        <f t="shared" si="110"/>
        <v>1</v>
      </c>
      <c r="N644" s="632"/>
      <c r="O644" s="3183">
        <f t="shared" si="111"/>
        <v>1</v>
      </c>
      <c r="P644" s="632"/>
      <c r="Q644" s="3183">
        <f t="shared" si="112"/>
        <v>1</v>
      </c>
      <c r="R644" s="3183">
        <f t="shared" si="113"/>
        <v>162430</v>
      </c>
      <c r="S644" s="902">
        <f t="shared" si="114"/>
        <v>530</v>
      </c>
    </row>
    <row r="645" spans="1:19">
      <c r="A645" s="3180">
        <f>面积!B1300</f>
        <v>-1627</v>
      </c>
      <c r="B645" s="3181">
        <f>面积!C1300</f>
        <v>32.61</v>
      </c>
      <c r="C645" s="3183">
        <f t="shared" si="105"/>
        <v>1</v>
      </c>
      <c r="D645" s="632"/>
      <c r="E645" s="3183">
        <f t="shared" si="106"/>
        <v>1</v>
      </c>
      <c r="F645" s="632"/>
      <c r="G645" s="3183">
        <f t="shared" si="107"/>
        <v>1</v>
      </c>
      <c r="H645" s="632"/>
      <c r="I645" s="3183">
        <f t="shared" si="108"/>
        <v>1</v>
      </c>
      <c r="J645" s="632"/>
      <c r="K645" s="3183">
        <f t="shared" si="109"/>
        <v>1</v>
      </c>
      <c r="L645" s="632"/>
      <c r="M645" s="3183">
        <f t="shared" si="110"/>
        <v>1</v>
      </c>
      <c r="N645" s="632"/>
      <c r="O645" s="3183">
        <f t="shared" si="111"/>
        <v>1</v>
      </c>
      <c r="P645" s="632"/>
      <c r="Q645" s="3183">
        <f t="shared" si="112"/>
        <v>1</v>
      </c>
      <c r="R645" s="3183">
        <f t="shared" si="113"/>
        <v>162430</v>
      </c>
      <c r="S645" s="902">
        <f t="shared" si="114"/>
        <v>530</v>
      </c>
    </row>
    <row r="646" spans="1:19">
      <c r="A646" s="3180">
        <f>面积!B1301</f>
        <v>-1628</v>
      </c>
      <c r="B646" s="3181">
        <f>面积!C1301</f>
        <v>32.61</v>
      </c>
      <c r="C646" s="3183">
        <f t="shared" si="105"/>
        <v>1</v>
      </c>
      <c r="D646" s="632"/>
      <c r="E646" s="3183">
        <f t="shared" si="106"/>
        <v>1</v>
      </c>
      <c r="F646" s="632"/>
      <c r="G646" s="3183">
        <f t="shared" si="107"/>
        <v>1</v>
      </c>
      <c r="H646" s="632"/>
      <c r="I646" s="3183">
        <f t="shared" si="108"/>
        <v>1</v>
      </c>
      <c r="J646" s="632"/>
      <c r="K646" s="3183">
        <f t="shared" si="109"/>
        <v>1</v>
      </c>
      <c r="L646" s="632"/>
      <c r="M646" s="3183">
        <f t="shared" si="110"/>
        <v>1</v>
      </c>
      <c r="N646" s="632"/>
      <c r="O646" s="3183">
        <f t="shared" si="111"/>
        <v>1</v>
      </c>
      <c r="P646" s="632"/>
      <c r="Q646" s="3183">
        <f t="shared" si="112"/>
        <v>1</v>
      </c>
      <c r="R646" s="3183">
        <f t="shared" si="113"/>
        <v>162430</v>
      </c>
      <c r="S646" s="902">
        <f t="shared" si="114"/>
        <v>530</v>
      </c>
    </row>
    <row r="647" spans="1:19">
      <c r="A647" s="3180">
        <f>面积!B1302</f>
        <v>-1629</v>
      </c>
      <c r="B647" s="3181">
        <f>面积!C1302</f>
        <v>32.61</v>
      </c>
      <c r="C647" s="3183">
        <f t="shared" si="105"/>
        <v>1</v>
      </c>
      <c r="D647" s="632"/>
      <c r="E647" s="3183">
        <f t="shared" si="106"/>
        <v>1</v>
      </c>
      <c r="F647" s="632"/>
      <c r="G647" s="3183">
        <f t="shared" si="107"/>
        <v>1</v>
      </c>
      <c r="H647" s="632"/>
      <c r="I647" s="3183">
        <f t="shared" si="108"/>
        <v>1</v>
      </c>
      <c r="J647" s="632"/>
      <c r="K647" s="3183">
        <f t="shared" si="109"/>
        <v>1</v>
      </c>
      <c r="L647" s="632"/>
      <c r="M647" s="3183">
        <f t="shared" si="110"/>
        <v>1</v>
      </c>
      <c r="N647" s="632"/>
      <c r="O647" s="3183">
        <f t="shared" si="111"/>
        <v>1</v>
      </c>
      <c r="P647" s="632"/>
      <c r="Q647" s="3183">
        <f t="shared" si="112"/>
        <v>1</v>
      </c>
      <c r="R647" s="3183">
        <f t="shared" si="113"/>
        <v>162430</v>
      </c>
      <c r="S647" s="902">
        <f t="shared" si="114"/>
        <v>530</v>
      </c>
    </row>
    <row r="648" spans="1:19">
      <c r="A648" s="3180">
        <f>面积!B1303</f>
        <v>-1630</v>
      </c>
      <c r="B648" s="3181">
        <f>面积!C1303</f>
        <v>32.61</v>
      </c>
      <c r="C648" s="3183">
        <f t="shared" si="105"/>
        <v>1</v>
      </c>
      <c r="D648" s="632"/>
      <c r="E648" s="3183">
        <f t="shared" si="106"/>
        <v>1</v>
      </c>
      <c r="F648" s="632"/>
      <c r="G648" s="3183">
        <f t="shared" si="107"/>
        <v>1</v>
      </c>
      <c r="H648" s="632"/>
      <c r="I648" s="3183">
        <f t="shared" si="108"/>
        <v>1</v>
      </c>
      <c r="J648" s="632"/>
      <c r="K648" s="3183">
        <f t="shared" si="109"/>
        <v>1</v>
      </c>
      <c r="L648" s="632"/>
      <c r="M648" s="3183">
        <f t="shared" si="110"/>
        <v>1</v>
      </c>
      <c r="N648" s="632"/>
      <c r="O648" s="3183">
        <f t="shared" si="111"/>
        <v>1</v>
      </c>
      <c r="P648" s="632"/>
      <c r="Q648" s="3183">
        <f t="shared" si="112"/>
        <v>1</v>
      </c>
      <c r="R648" s="3183">
        <f t="shared" si="113"/>
        <v>162430</v>
      </c>
      <c r="S648" s="902">
        <f t="shared" si="114"/>
        <v>530</v>
      </c>
    </row>
    <row r="649" spans="1:19">
      <c r="A649" s="3180">
        <f>面积!B1304</f>
        <v>-1631</v>
      </c>
      <c r="B649" s="3181">
        <f>面积!C1304</f>
        <v>32.61</v>
      </c>
      <c r="C649" s="3183">
        <f t="shared" si="105"/>
        <v>1</v>
      </c>
      <c r="D649" s="632"/>
      <c r="E649" s="3183">
        <f t="shared" si="106"/>
        <v>1</v>
      </c>
      <c r="F649" s="632"/>
      <c r="G649" s="3183">
        <f t="shared" si="107"/>
        <v>1</v>
      </c>
      <c r="H649" s="632"/>
      <c r="I649" s="3183">
        <f t="shared" si="108"/>
        <v>1</v>
      </c>
      <c r="J649" s="632"/>
      <c r="K649" s="3183">
        <f t="shared" si="109"/>
        <v>1</v>
      </c>
      <c r="L649" s="632"/>
      <c r="M649" s="3183">
        <f t="shared" si="110"/>
        <v>1</v>
      </c>
      <c r="N649" s="632"/>
      <c r="O649" s="3183">
        <f t="shared" si="111"/>
        <v>1</v>
      </c>
      <c r="P649" s="632"/>
      <c r="Q649" s="3183">
        <f t="shared" si="112"/>
        <v>1</v>
      </c>
      <c r="R649" s="3183">
        <f t="shared" si="113"/>
        <v>162430</v>
      </c>
      <c r="S649" s="902">
        <f t="shared" si="114"/>
        <v>530</v>
      </c>
    </row>
    <row r="650" spans="1:19">
      <c r="A650" s="3180">
        <f>面积!B1305</f>
        <v>-1632</v>
      </c>
      <c r="B650" s="3181">
        <f>面积!C1305</f>
        <v>32.61</v>
      </c>
      <c r="C650" s="3183">
        <f t="shared" si="105"/>
        <v>1</v>
      </c>
      <c r="D650" s="632"/>
      <c r="E650" s="3183">
        <f t="shared" si="106"/>
        <v>1</v>
      </c>
      <c r="F650" s="632"/>
      <c r="G650" s="3183">
        <f t="shared" si="107"/>
        <v>1</v>
      </c>
      <c r="H650" s="632"/>
      <c r="I650" s="3183">
        <f t="shared" si="108"/>
        <v>1</v>
      </c>
      <c r="J650" s="632"/>
      <c r="K650" s="3183">
        <f t="shared" si="109"/>
        <v>1</v>
      </c>
      <c r="L650" s="632"/>
      <c r="M650" s="3183">
        <f t="shared" si="110"/>
        <v>1</v>
      </c>
      <c r="N650" s="632"/>
      <c r="O650" s="3183">
        <f t="shared" si="111"/>
        <v>1</v>
      </c>
      <c r="P650" s="632"/>
      <c r="Q650" s="3183">
        <f t="shared" si="112"/>
        <v>1</v>
      </c>
      <c r="R650" s="3183">
        <f t="shared" si="113"/>
        <v>162430</v>
      </c>
      <c r="S650" s="902">
        <f t="shared" si="114"/>
        <v>530</v>
      </c>
    </row>
    <row r="651" spans="1:19">
      <c r="A651" s="3180">
        <f>面积!B1306</f>
        <v>-1633</v>
      </c>
      <c r="B651" s="3181">
        <f>面积!C1306</f>
        <v>32.61</v>
      </c>
      <c r="C651" s="3183">
        <f t="shared" si="105"/>
        <v>1</v>
      </c>
      <c r="D651" s="632"/>
      <c r="E651" s="3183">
        <f t="shared" si="106"/>
        <v>1</v>
      </c>
      <c r="F651" s="632"/>
      <c r="G651" s="3183">
        <f t="shared" si="107"/>
        <v>1</v>
      </c>
      <c r="H651" s="632"/>
      <c r="I651" s="3183">
        <f t="shared" si="108"/>
        <v>1</v>
      </c>
      <c r="J651" s="632"/>
      <c r="K651" s="3183">
        <f t="shared" si="109"/>
        <v>1</v>
      </c>
      <c r="L651" s="632"/>
      <c r="M651" s="3183">
        <f t="shared" si="110"/>
        <v>1</v>
      </c>
      <c r="N651" s="632"/>
      <c r="O651" s="3183">
        <f t="shared" si="111"/>
        <v>1</v>
      </c>
      <c r="P651" s="632"/>
      <c r="Q651" s="3183">
        <f t="shared" si="112"/>
        <v>1</v>
      </c>
      <c r="R651" s="3183">
        <f t="shared" si="113"/>
        <v>162430</v>
      </c>
      <c r="S651" s="902">
        <f t="shared" si="114"/>
        <v>530</v>
      </c>
    </row>
    <row r="652" spans="1:19">
      <c r="A652" s="3180">
        <f>面积!B1307</f>
        <v>-1634</v>
      </c>
      <c r="B652" s="3181">
        <f>面积!C1307</f>
        <v>32.61</v>
      </c>
      <c r="C652" s="3183">
        <f t="shared" si="105"/>
        <v>1</v>
      </c>
      <c r="D652" s="632"/>
      <c r="E652" s="3183">
        <f t="shared" si="106"/>
        <v>1</v>
      </c>
      <c r="F652" s="632"/>
      <c r="G652" s="3183">
        <f t="shared" si="107"/>
        <v>1</v>
      </c>
      <c r="H652" s="632"/>
      <c r="I652" s="3183">
        <f t="shared" si="108"/>
        <v>1</v>
      </c>
      <c r="J652" s="632"/>
      <c r="K652" s="3183">
        <f t="shared" si="109"/>
        <v>1</v>
      </c>
      <c r="L652" s="632"/>
      <c r="M652" s="3183">
        <f t="shared" si="110"/>
        <v>1</v>
      </c>
      <c r="N652" s="632"/>
      <c r="O652" s="3183">
        <f t="shared" si="111"/>
        <v>1</v>
      </c>
      <c r="P652" s="632"/>
      <c r="Q652" s="3183">
        <f t="shared" si="112"/>
        <v>1</v>
      </c>
      <c r="R652" s="3183">
        <f t="shared" si="113"/>
        <v>162430</v>
      </c>
      <c r="S652" s="902">
        <f t="shared" si="114"/>
        <v>530</v>
      </c>
    </row>
    <row r="653" spans="1:19">
      <c r="A653" s="3180">
        <f>面积!B1308</f>
        <v>-1635</v>
      </c>
      <c r="B653" s="3181">
        <f>面积!C1308</f>
        <v>32.61</v>
      </c>
      <c r="C653" s="3183">
        <f t="shared" ref="C653:C716" si="115">IF(B653="",1,(LOOKUP(B653,$3:$3,$4:$4)-LOOKUP($B$24,$3:$3,$4:$4)+100)/100)</f>
        <v>1</v>
      </c>
      <c r="D653" s="632"/>
      <c r="E653" s="3183">
        <f t="shared" ref="E653:E716" si="116">(SUMIF($5:$5,D653,$6:$6)-SUMIF($5:$5,$D$24,$6:$6)+100)/100</f>
        <v>1</v>
      </c>
      <c r="F653" s="632"/>
      <c r="G653" s="3183">
        <f t="shared" ref="G653:G716" si="117">(SUMIF($7:$7,F653,$8:$8)-SUMIF($7:$7,$F$24,$8:$8)+100)/100</f>
        <v>1</v>
      </c>
      <c r="H653" s="632"/>
      <c r="I653" s="3183">
        <f t="shared" ref="I653:I716" si="118">(SUMIF($9:$9,H653,$10:$10)-SUMIF($9:$9,$H$24,$10:$10)+100)/100</f>
        <v>1</v>
      </c>
      <c r="J653" s="632"/>
      <c r="K653" s="3183">
        <f t="shared" ref="K653:K716" si="119">(SUMIF($11:$11,J653,$12:$12)-SUMIF($11:$11,$J$24,$12:$12)+100)/100</f>
        <v>1</v>
      </c>
      <c r="L653" s="632"/>
      <c r="M653" s="3183">
        <f t="shared" ref="M653:M716" si="120">(SUMIF($13:$13,L653,$14:$14)-SUMIF($13:$13,$L$24,$14:$14)+100)/100</f>
        <v>1</v>
      </c>
      <c r="N653" s="632"/>
      <c r="O653" s="3183">
        <f t="shared" ref="O653:O716" si="121">(SUMIF($15:$15,N653,$16:$16)-SUMIF($15:$15,$N$24,$16:$16)+100)/100</f>
        <v>1</v>
      </c>
      <c r="P653" s="632"/>
      <c r="Q653" s="3183">
        <f t="shared" ref="Q653:Q716" si="122">(SUMIF($17:$17,P653,$18:$18)-SUMIF($17:$17,$P$24,$18:$18)+100)/100</f>
        <v>1</v>
      </c>
      <c r="R653" s="3183">
        <f t="shared" ref="R653:R716" si="123">IF(B653="",0,ROUND($R$24*C653*E653*G653*I653*K653*M653*O653*Q653,0))</f>
        <v>162430</v>
      </c>
      <c r="S653" s="902">
        <f t="shared" ref="S653:S716" si="124">ROUND(R653*B653/10000,0)</f>
        <v>530</v>
      </c>
    </row>
    <row r="654" spans="1:19">
      <c r="A654" s="3180">
        <f>面积!B1309</f>
        <v>-1636</v>
      </c>
      <c r="B654" s="3181">
        <f>面积!C1309</f>
        <v>32.61</v>
      </c>
      <c r="C654" s="3183">
        <f t="shared" si="115"/>
        <v>1</v>
      </c>
      <c r="D654" s="632"/>
      <c r="E654" s="3183">
        <f t="shared" si="116"/>
        <v>1</v>
      </c>
      <c r="F654" s="632"/>
      <c r="G654" s="3183">
        <f t="shared" si="117"/>
        <v>1</v>
      </c>
      <c r="H654" s="632"/>
      <c r="I654" s="3183">
        <f t="shared" si="118"/>
        <v>1</v>
      </c>
      <c r="J654" s="632"/>
      <c r="K654" s="3183">
        <f t="shared" si="119"/>
        <v>1</v>
      </c>
      <c r="L654" s="632"/>
      <c r="M654" s="3183">
        <f t="shared" si="120"/>
        <v>1</v>
      </c>
      <c r="N654" s="632"/>
      <c r="O654" s="3183">
        <f t="shared" si="121"/>
        <v>1</v>
      </c>
      <c r="P654" s="632"/>
      <c r="Q654" s="3183">
        <f t="shared" si="122"/>
        <v>1</v>
      </c>
      <c r="R654" s="3183">
        <f t="shared" si="123"/>
        <v>162430</v>
      </c>
      <c r="S654" s="902">
        <f t="shared" si="124"/>
        <v>530</v>
      </c>
    </row>
    <row r="655" spans="1:19">
      <c r="A655" s="3180">
        <f>面积!B1310</f>
        <v>-1637</v>
      </c>
      <c r="B655" s="3181">
        <f>面积!C1310</f>
        <v>32.61</v>
      </c>
      <c r="C655" s="3183">
        <f t="shared" si="115"/>
        <v>1</v>
      </c>
      <c r="D655" s="632"/>
      <c r="E655" s="3183">
        <f t="shared" si="116"/>
        <v>1</v>
      </c>
      <c r="F655" s="632"/>
      <c r="G655" s="3183">
        <f t="shared" si="117"/>
        <v>1</v>
      </c>
      <c r="H655" s="632"/>
      <c r="I655" s="3183">
        <f t="shared" si="118"/>
        <v>1</v>
      </c>
      <c r="J655" s="632"/>
      <c r="K655" s="3183">
        <f t="shared" si="119"/>
        <v>1</v>
      </c>
      <c r="L655" s="632"/>
      <c r="M655" s="3183">
        <f t="shared" si="120"/>
        <v>1</v>
      </c>
      <c r="N655" s="632"/>
      <c r="O655" s="3183">
        <f t="shared" si="121"/>
        <v>1</v>
      </c>
      <c r="P655" s="632"/>
      <c r="Q655" s="3183">
        <f t="shared" si="122"/>
        <v>1</v>
      </c>
      <c r="R655" s="3183">
        <f t="shared" si="123"/>
        <v>162430</v>
      </c>
      <c r="S655" s="902">
        <f t="shared" si="124"/>
        <v>530</v>
      </c>
    </row>
    <row r="656" spans="1:19">
      <c r="A656" s="3180">
        <f>面积!B1311</f>
        <v>-1638</v>
      </c>
      <c r="B656" s="3181">
        <f>面积!C1311</f>
        <v>32.61</v>
      </c>
      <c r="C656" s="3183">
        <f t="shared" si="115"/>
        <v>1</v>
      </c>
      <c r="D656" s="632"/>
      <c r="E656" s="3183">
        <f t="shared" si="116"/>
        <v>1</v>
      </c>
      <c r="F656" s="632"/>
      <c r="G656" s="3183">
        <f t="shared" si="117"/>
        <v>1</v>
      </c>
      <c r="H656" s="632"/>
      <c r="I656" s="3183">
        <f t="shared" si="118"/>
        <v>1</v>
      </c>
      <c r="J656" s="632"/>
      <c r="K656" s="3183">
        <f t="shared" si="119"/>
        <v>1</v>
      </c>
      <c r="L656" s="632"/>
      <c r="M656" s="3183">
        <f t="shared" si="120"/>
        <v>1</v>
      </c>
      <c r="N656" s="632"/>
      <c r="O656" s="3183">
        <f t="shared" si="121"/>
        <v>1</v>
      </c>
      <c r="P656" s="632"/>
      <c r="Q656" s="3183">
        <f t="shared" si="122"/>
        <v>1</v>
      </c>
      <c r="R656" s="3183">
        <f t="shared" si="123"/>
        <v>162430</v>
      </c>
      <c r="S656" s="902">
        <f t="shared" si="124"/>
        <v>530</v>
      </c>
    </row>
    <row r="657" spans="1:19">
      <c r="A657" s="3180">
        <f>面积!B1312</f>
        <v>-1639</v>
      </c>
      <c r="B657" s="3181">
        <f>面积!C1312</f>
        <v>32.61</v>
      </c>
      <c r="C657" s="3183">
        <f t="shared" si="115"/>
        <v>1</v>
      </c>
      <c r="D657" s="632"/>
      <c r="E657" s="3183">
        <f t="shared" si="116"/>
        <v>1</v>
      </c>
      <c r="F657" s="632"/>
      <c r="G657" s="3183">
        <f t="shared" si="117"/>
        <v>1</v>
      </c>
      <c r="H657" s="632"/>
      <c r="I657" s="3183">
        <f t="shared" si="118"/>
        <v>1</v>
      </c>
      <c r="J657" s="632"/>
      <c r="K657" s="3183">
        <f t="shared" si="119"/>
        <v>1</v>
      </c>
      <c r="L657" s="632"/>
      <c r="M657" s="3183">
        <f t="shared" si="120"/>
        <v>1</v>
      </c>
      <c r="N657" s="632"/>
      <c r="O657" s="3183">
        <f t="shared" si="121"/>
        <v>1</v>
      </c>
      <c r="P657" s="632"/>
      <c r="Q657" s="3183">
        <f t="shared" si="122"/>
        <v>1</v>
      </c>
      <c r="R657" s="3183">
        <f t="shared" si="123"/>
        <v>162430</v>
      </c>
      <c r="S657" s="902">
        <f t="shared" si="124"/>
        <v>530</v>
      </c>
    </row>
    <row r="658" spans="1:19">
      <c r="A658" s="3180">
        <f>面积!B1313</f>
        <v>-1640</v>
      </c>
      <c r="B658" s="3181">
        <f>面积!C1313</f>
        <v>32.61</v>
      </c>
      <c r="C658" s="3183">
        <f t="shared" si="115"/>
        <v>1</v>
      </c>
      <c r="D658" s="632"/>
      <c r="E658" s="3183">
        <f t="shared" si="116"/>
        <v>1</v>
      </c>
      <c r="F658" s="632"/>
      <c r="G658" s="3183">
        <f t="shared" si="117"/>
        <v>1</v>
      </c>
      <c r="H658" s="632"/>
      <c r="I658" s="3183">
        <f t="shared" si="118"/>
        <v>1</v>
      </c>
      <c r="J658" s="632"/>
      <c r="K658" s="3183">
        <f t="shared" si="119"/>
        <v>1</v>
      </c>
      <c r="L658" s="632"/>
      <c r="M658" s="3183">
        <f t="shared" si="120"/>
        <v>1</v>
      </c>
      <c r="N658" s="632"/>
      <c r="O658" s="3183">
        <f t="shared" si="121"/>
        <v>1</v>
      </c>
      <c r="P658" s="632"/>
      <c r="Q658" s="3183">
        <f t="shared" si="122"/>
        <v>1</v>
      </c>
      <c r="R658" s="3183">
        <f t="shared" si="123"/>
        <v>162430</v>
      </c>
      <c r="S658" s="902">
        <f t="shared" si="124"/>
        <v>530</v>
      </c>
    </row>
    <row r="659" spans="1:19">
      <c r="A659" s="3180">
        <f>面积!B1314</f>
        <v>-1641</v>
      </c>
      <c r="B659" s="3181">
        <f>面积!C1314</f>
        <v>32.61</v>
      </c>
      <c r="C659" s="3183">
        <f t="shared" si="115"/>
        <v>1</v>
      </c>
      <c r="D659" s="632"/>
      <c r="E659" s="3183">
        <f t="shared" si="116"/>
        <v>1</v>
      </c>
      <c r="F659" s="632"/>
      <c r="G659" s="3183">
        <f t="shared" si="117"/>
        <v>1</v>
      </c>
      <c r="H659" s="632"/>
      <c r="I659" s="3183">
        <f t="shared" si="118"/>
        <v>1</v>
      </c>
      <c r="J659" s="632"/>
      <c r="K659" s="3183">
        <f t="shared" si="119"/>
        <v>1</v>
      </c>
      <c r="L659" s="632"/>
      <c r="M659" s="3183">
        <f t="shared" si="120"/>
        <v>1</v>
      </c>
      <c r="N659" s="632"/>
      <c r="O659" s="3183">
        <f t="shared" si="121"/>
        <v>1</v>
      </c>
      <c r="P659" s="632"/>
      <c r="Q659" s="3183">
        <f t="shared" si="122"/>
        <v>1</v>
      </c>
      <c r="R659" s="3183">
        <f t="shared" si="123"/>
        <v>162430</v>
      </c>
      <c r="S659" s="902">
        <f t="shared" si="124"/>
        <v>530</v>
      </c>
    </row>
    <row r="660" spans="1:19">
      <c r="A660" s="3180">
        <f>面积!B1315</f>
        <v>-1642</v>
      </c>
      <c r="B660" s="3181">
        <f>面积!C1315</f>
        <v>32.61</v>
      </c>
      <c r="C660" s="3183">
        <f t="shared" si="115"/>
        <v>1</v>
      </c>
      <c r="D660" s="632"/>
      <c r="E660" s="3183">
        <f t="shared" si="116"/>
        <v>1</v>
      </c>
      <c r="F660" s="632"/>
      <c r="G660" s="3183">
        <f t="shared" si="117"/>
        <v>1</v>
      </c>
      <c r="H660" s="632"/>
      <c r="I660" s="3183">
        <f t="shared" si="118"/>
        <v>1</v>
      </c>
      <c r="J660" s="632"/>
      <c r="K660" s="3183">
        <f t="shared" si="119"/>
        <v>1</v>
      </c>
      <c r="L660" s="632"/>
      <c r="M660" s="3183">
        <f t="shared" si="120"/>
        <v>1</v>
      </c>
      <c r="N660" s="632"/>
      <c r="O660" s="3183">
        <f t="shared" si="121"/>
        <v>1</v>
      </c>
      <c r="P660" s="632"/>
      <c r="Q660" s="3183">
        <f t="shared" si="122"/>
        <v>1</v>
      </c>
      <c r="R660" s="3183">
        <f t="shared" si="123"/>
        <v>162430</v>
      </c>
      <c r="S660" s="902">
        <f t="shared" si="124"/>
        <v>530</v>
      </c>
    </row>
    <row r="661" spans="1:19">
      <c r="A661" s="3180">
        <f>面积!B1316</f>
        <v>-1643</v>
      </c>
      <c r="B661" s="3181">
        <f>面积!C1316</f>
        <v>32.61</v>
      </c>
      <c r="C661" s="3183">
        <f t="shared" si="115"/>
        <v>1</v>
      </c>
      <c r="D661" s="632"/>
      <c r="E661" s="3183">
        <f t="shared" si="116"/>
        <v>1</v>
      </c>
      <c r="F661" s="632"/>
      <c r="G661" s="3183">
        <f t="shared" si="117"/>
        <v>1</v>
      </c>
      <c r="H661" s="632"/>
      <c r="I661" s="3183">
        <f t="shared" si="118"/>
        <v>1</v>
      </c>
      <c r="J661" s="632"/>
      <c r="K661" s="3183">
        <f t="shared" si="119"/>
        <v>1</v>
      </c>
      <c r="L661" s="632"/>
      <c r="M661" s="3183">
        <f t="shared" si="120"/>
        <v>1</v>
      </c>
      <c r="N661" s="632"/>
      <c r="O661" s="3183">
        <f t="shared" si="121"/>
        <v>1</v>
      </c>
      <c r="P661" s="632"/>
      <c r="Q661" s="3183">
        <f t="shared" si="122"/>
        <v>1</v>
      </c>
      <c r="R661" s="3183">
        <f t="shared" si="123"/>
        <v>162430</v>
      </c>
      <c r="S661" s="902">
        <f t="shared" si="124"/>
        <v>530</v>
      </c>
    </row>
    <row r="662" spans="1:19">
      <c r="A662" s="3180">
        <f>面积!B1317</f>
        <v>-1644</v>
      </c>
      <c r="B662" s="3181">
        <f>面积!C1317</f>
        <v>32.61</v>
      </c>
      <c r="C662" s="3183">
        <f t="shared" si="115"/>
        <v>1</v>
      </c>
      <c r="D662" s="632"/>
      <c r="E662" s="3183">
        <f t="shared" si="116"/>
        <v>1</v>
      </c>
      <c r="F662" s="632"/>
      <c r="G662" s="3183">
        <f t="shared" si="117"/>
        <v>1</v>
      </c>
      <c r="H662" s="632"/>
      <c r="I662" s="3183">
        <f t="shared" si="118"/>
        <v>1</v>
      </c>
      <c r="J662" s="632"/>
      <c r="K662" s="3183">
        <f t="shared" si="119"/>
        <v>1</v>
      </c>
      <c r="L662" s="632"/>
      <c r="M662" s="3183">
        <f t="shared" si="120"/>
        <v>1</v>
      </c>
      <c r="N662" s="632"/>
      <c r="O662" s="3183">
        <f t="shared" si="121"/>
        <v>1</v>
      </c>
      <c r="P662" s="632"/>
      <c r="Q662" s="3183">
        <f t="shared" si="122"/>
        <v>1</v>
      </c>
      <c r="R662" s="3183">
        <f t="shared" si="123"/>
        <v>162430</v>
      </c>
      <c r="S662" s="902">
        <f t="shared" si="124"/>
        <v>530</v>
      </c>
    </row>
    <row r="663" spans="1:19">
      <c r="A663" s="3180">
        <f>面积!B1318</f>
        <v>-1645</v>
      </c>
      <c r="B663" s="3181">
        <f>面积!C1318</f>
        <v>32.61</v>
      </c>
      <c r="C663" s="3183">
        <f t="shared" si="115"/>
        <v>1</v>
      </c>
      <c r="D663" s="632"/>
      <c r="E663" s="3183">
        <f t="shared" si="116"/>
        <v>1</v>
      </c>
      <c r="F663" s="632"/>
      <c r="G663" s="3183">
        <f t="shared" si="117"/>
        <v>1</v>
      </c>
      <c r="H663" s="632"/>
      <c r="I663" s="3183">
        <f t="shared" si="118"/>
        <v>1</v>
      </c>
      <c r="J663" s="632"/>
      <c r="K663" s="3183">
        <f t="shared" si="119"/>
        <v>1</v>
      </c>
      <c r="L663" s="632"/>
      <c r="M663" s="3183">
        <f t="shared" si="120"/>
        <v>1</v>
      </c>
      <c r="N663" s="632"/>
      <c r="O663" s="3183">
        <f t="shared" si="121"/>
        <v>1</v>
      </c>
      <c r="P663" s="632"/>
      <c r="Q663" s="3183">
        <f t="shared" si="122"/>
        <v>1</v>
      </c>
      <c r="R663" s="3183">
        <f t="shared" si="123"/>
        <v>162430</v>
      </c>
      <c r="S663" s="902">
        <f t="shared" si="124"/>
        <v>530</v>
      </c>
    </row>
    <row r="664" spans="1:19">
      <c r="A664" s="3180">
        <f>面积!B1319</f>
        <v>-1646</v>
      </c>
      <c r="B664" s="3181">
        <f>面积!C1319</f>
        <v>32.61</v>
      </c>
      <c r="C664" s="3183">
        <f t="shared" si="115"/>
        <v>1</v>
      </c>
      <c r="D664" s="632"/>
      <c r="E664" s="3183">
        <f t="shared" si="116"/>
        <v>1</v>
      </c>
      <c r="F664" s="632"/>
      <c r="G664" s="3183">
        <f t="shared" si="117"/>
        <v>1</v>
      </c>
      <c r="H664" s="632"/>
      <c r="I664" s="3183">
        <f t="shared" si="118"/>
        <v>1</v>
      </c>
      <c r="J664" s="632"/>
      <c r="K664" s="3183">
        <f t="shared" si="119"/>
        <v>1</v>
      </c>
      <c r="L664" s="632"/>
      <c r="M664" s="3183">
        <f t="shared" si="120"/>
        <v>1</v>
      </c>
      <c r="N664" s="632"/>
      <c r="O664" s="3183">
        <f t="shared" si="121"/>
        <v>1</v>
      </c>
      <c r="P664" s="632"/>
      <c r="Q664" s="3183">
        <f t="shared" si="122"/>
        <v>1</v>
      </c>
      <c r="R664" s="3183">
        <f t="shared" si="123"/>
        <v>162430</v>
      </c>
      <c r="S664" s="902">
        <f t="shared" si="124"/>
        <v>530</v>
      </c>
    </row>
    <row r="665" spans="1:19">
      <c r="A665" s="3180">
        <f>面积!B1320</f>
        <v>-1647</v>
      </c>
      <c r="B665" s="3181">
        <f>面积!C1320</f>
        <v>32.61</v>
      </c>
      <c r="C665" s="3183">
        <f t="shared" si="115"/>
        <v>1</v>
      </c>
      <c r="D665" s="632"/>
      <c r="E665" s="3183">
        <f t="shared" si="116"/>
        <v>1</v>
      </c>
      <c r="F665" s="632"/>
      <c r="G665" s="3183">
        <f t="shared" si="117"/>
        <v>1</v>
      </c>
      <c r="H665" s="632"/>
      <c r="I665" s="3183">
        <f t="shared" si="118"/>
        <v>1</v>
      </c>
      <c r="J665" s="632"/>
      <c r="K665" s="3183">
        <f t="shared" si="119"/>
        <v>1</v>
      </c>
      <c r="L665" s="632"/>
      <c r="M665" s="3183">
        <f t="shared" si="120"/>
        <v>1</v>
      </c>
      <c r="N665" s="632"/>
      <c r="O665" s="3183">
        <f t="shared" si="121"/>
        <v>1</v>
      </c>
      <c r="P665" s="632"/>
      <c r="Q665" s="3183">
        <f t="shared" si="122"/>
        <v>1</v>
      </c>
      <c r="R665" s="3183">
        <f t="shared" si="123"/>
        <v>162430</v>
      </c>
      <c r="S665" s="902">
        <f t="shared" si="124"/>
        <v>530</v>
      </c>
    </row>
    <row r="666" spans="1:19">
      <c r="A666" s="3180">
        <f>面积!B1321</f>
        <v>-1648</v>
      </c>
      <c r="B666" s="3181">
        <f>面积!C1321</f>
        <v>32.61</v>
      </c>
      <c r="C666" s="3183">
        <f t="shared" si="115"/>
        <v>1</v>
      </c>
      <c r="D666" s="632"/>
      <c r="E666" s="3183">
        <f t="shared" si="116"/>
        <v>1</v>
      </c>
      <c r="F666" s="632"/>
      <c r="G666" s="3183">
        <f t="shared" si="117"/>
        <v>1</v>
      </c>
      <c r="H666" s="632"/>
      <c r="I666" s="3183">
        <f t="shared" si="118"/>
        <v>1</v>
      </c>
      <c r="J666" s="632"/>
      <c r="K666" s="3183">
        <f t="shared" si="119"/>
        <v>1</v>
      </c>
      <c r="L666" s="632"/>
      <c r="M666" s="3183">
        <f t="shared" si="120"/>
        <v>1</v>
      </c>
      <c r="N666" s="632"/>
      <c r="O666" s="3183">
        <f t="shared" si="121"/>
        <v>1</v>
      </c>
      <c r="P666" s="632"/>
      <c r="Q666" s="3183">
        <f t="shared" si="122"/>
        <v>1</v>
      </c>
      <c r="R666" s="3183">
        <f t="shared" si="123"/>
        <v>162430</v>
      </c>
      <c r="S666" s="902">
        <f t="shared" si="124"/>
        <v>530</v>
      </c>
    </row>
    <row r="667" spans="1:19">
      <c r="A667" s="3180">
        <f>面积!B1322</f>
        <v>-1649</v>
      </c>
      <c r="B667" s="3181">
        <f>面积!C1322</f>
        <v>32.61</v>
      </c>
      <c r="C667" s="3183">
        <f t="shared" si="115"/>
        <v>1</v>
      </c>
      <c r="D667" s="632"/>
      <c r="E667" s="3183">
        <f t="shared" si="116"/>
        <v>1</v>
      </c>
      <c r="F667" s="632"/>
      <c r="G667" s="3183">
        <f t="shared" si="117"/>
        <v>1</v>
      </c>
      <c r="H667" s="632"/>
      <c r="I667" s="3183">
        <f t="shared" si="118"/>
        <v>1</v>
      </c>
      <c r="J667" s="632"/>
      <c r="K667" s="3183">
        <f t="shared" si="119"/>
        <v>1</v>
      </c>
      <c r="L667" s="632"/>
      <c r="M667" s="3183">
        <f t="shared" si="120"/>
        <v>1</v>
      </c>
      <c r="N667" s="632"/>
      <c r="O667" s="3183">
        <f t="shared" si="121"/>
        <v>1</v>
      </c>
      <c r="P667" s="632"/>
      <c r="Q667" s="3183">
        <f t="shared" si="122"/>
        <v>1</v>
      </c>
      <c r="R667" s="3183">
        <f t="shared" si="123"/>
        <v>162430</v>
      </c>
      <c r="S667" s="902">
        <f t="shared" si="124"/>
        <v>530</v>
      </c>
    </row>
    <row r="668" spans="1:19">
      <c r="A668" s="3180">
        <f>面积!B1323</f>
        <v>-1650</v>
      </c>
      <c r="B668" s="3181">
        <f>面积!C1323</f>
        <v>32.61</v>
      </c>
      <c r="C668" s="3183">
        <f t="shared" si="115"/>
        <v>1</v>
      </c>
      <c r="D668" s="632"/>
      <c r="E668" s="3183">
        <f t="shared" si="116"/>
        <v>1</v>
      </c>
      <c r="F668" s="632"/>
      <c r="G668" s="3183">
        <f t="shared" si="117"/>
        <v>1</v>
      </c>
      <c r="H668" s="632"/>
      <c r="I668" s="3183">
        <f t="shared" si="118"/>
        <v>1</v>
      </c>
      <c r="J668" s="632"/>
      <c r="K668" s="3183">
        <f t="shared" si="119"/>
        <v>1</v>
      </c>
      <c r="L668" s="632"/>
      <c r="M668" s="3183">
        <f t="shared" si="120"/>
        <v>1</v>
      </c>
      <c r="N668" s="632"/>
      <c r="O668" s="3183">
        <f t="shared" si="121"/>
        <v>1</v>
      </c>
      <c r="P668" s="632"/>
      <c r="Q668" s="3183">
        <f t="shared" si="122"/>
        <v>1</v>
      </c>
      <c r="R668" s="3183">
        <f t="shared" si="123"/>
        <v>162430</v>
      </c>
      <c r="S668" s="902">
        <f t="shared" si="124"/>
        <v>530</v>
      </c>
    </row>
    <row r="669" spans="1:19">
      <c r="A669" s="3180">
        <f>面积!B1324</f>
        <v>-1651</v>
      </c>
      <c r="B669" s="3181">
        <f>面积!C1324</f>
        <v>32.61</v>
      </c>
      <c r="C669" s="3183">
        <f t="shared" si="115"/>
        <v>1</v>
      </c>
      <c r="D669" s="632"/>
      <c r="E669" s="3183">
        <f t="shared" si="116"/>
        <v>1</v>
      </c>
      <c r="F669" s="632"/>
      <c r="G669" s="3183">
        <f t="shared" si="117"/>
        <v>1</v>
      </c>
      <c r="H669" s="632"/>
      <c r="I669" s="3183">
        <f t="shared" si="118"/>
        <v>1</v>
      </c>
      <c r="J669" s="632"/>
      <c r="K669" s="3183">
        <f t="shared" si="119"/>
        <v>1</v>
      </c>
      <c r="L669" s="632"/>
      <c r="M669" s="3183">
        <f t="shared" si="120"/>
        <v>1</v>
      </c>
      <c r="N669" s="632"/>
      <c r="O669" s="3183">
        <f t="shared" si="121"/>
        <v>1</v>
      </c>
      <c r="P669" s="632"/>
      <c r="Q669" s="3183">
        <f t="shared" si="122"/>
        <v>1</v>
      </c>
      <c r="R669" s="3183">
        <f t="shared" si="123"/>
        <v>162430</v>
      </c>
      <c r="S669" s="902">
        <f t="shared" si="124"/>
        <v>530</v>
      </c>
    </row>
    <row r="670" spans="1:19">
      <c r="A670" s="3180">
        <f>面积!B1325</f>
        <v>-1652</v>
      </c>
      <c r="B670" s="3181">
        <f>面积!C1325</f>
        <v>32.61</v>
      </c>
      <c r="C670" s="3183">
        <f t="shared" si="115"/>
        <v>1</v>
      </c>
      <c r="D670" s="632"/>
      <c r="E670" s="3183">
        <f t="shared" si="116"/>
        <v>1</v>
      </c>
      <c r="F670" s="632"/>
      <c r="G670" s="3183">
        <f t="shared" si="117"/>
        <v>1</v>
      </c>
      <c r="H670" s="632"/>
      <c r="I670" s="3183">
        <f t="shared" si="118"/>
        <v>1</v>
      </c>
      <c r="J670" s="632"/>
      <c r="K670" s="3183">
        <f t="shared" si="119"/>
        <v>1</v>
      </c>
      <c r="L670" s="632"/>
      <c r="M670" s="3183">
        <f t="shared" si="120"/>
        <v>1</v>
      </c>
      <c r="N670" s="632"/>
      <c r="O670" s="3183">
        <f t="shared" si="121"/>
        <v>1</v>
      </c>
      <c r="P670" s="632"/>
      <c r="Q670" s="3183">
        <f t="shared" si="122"/>
        <v>1</v>
      </c>
      <c r="R670" s="3183">
        <f t="shared" si="123"/>
        <v>162430</v>
      </c>
      <c r="S670" s="902">
        <f t="shared" si="124"/>
        <v>530</v>
      </c>
    </row>
    <row r="671" spans="1:19">
      <c r="A671" s="3180">
        <f>面积!B1326</f>
        <v>-1653</v>
      </c>
      <c r="B671" s="3181">
        <f>面积!C1326</f>
        <v>32.61</v>
      </c>
      <c r="C671" s="3183">
        <f t="shared" si="115"/>
        <v>1</v>
      </c>
      <c r="D671" s="632"/>
      <c r="E671" s="3183">
        <f t="shared" si="116"/>
        <v>1</v>
      </c>
      <c r="F671" s="632"/>
      <c r="G671" s="3183">
        <f t="shared" si="117"/>
        <v>1</v>
      </c>
      <c r="H671" s="632"/>
      <c r="I671" s="3183">
        <f t="shared" si="118"/>
        <v>1</v>
      </c>
      <c r="J671" s="632"/>
      <c r="K671" s="3183">
        <f t="shared" si="119"/>
        <v>1</v>
      </c>
      <c r="L671" s="632"/>
      <c r="M671" s="3183">
        <f t="shared" si="120"/>
        <v>1</v>
      </c>
      <c r="N671" s="632"/>
      <c r="O671" s="3183">
        <f t="shared" si="121"/>
        <v>1</v>
      </c>
      <c r="P671" s="632"/>
      <c r="Q671" s="3183">
        <f t="shared" si="122"/>
        <v>1</v>
      </c>
      <c r="R671" s="3183">
        <f t="shared" si="123"/>
        <v>162430</v>
      </c>
      <c r="S671" s="902">
        <f t="shared" si="124"/>
        <v>530</v>
      </c>
    </row>
    <row r="672" spans="1:19">
      <c r="A672" s="3180">
        <f>面积!B1327</f>
        <v>-1654</v>
      </c>
      <c r="B672" s="3181">
        <f>面积!C1327</f>
        <v>32.61</v>
      </c>
      <c r="C672" s="3183">
        <f t="shared" si="115"/>
        <v>1</v>
      </c>
      <c r="D672" s="632"/>
      <c r="E672" s="3183">
        <f t="shared" si="116"/>
        <v>1</v>
      </c>
      <c r="F672" s="632"/>
      <c r="G672" s="3183">
        <f t="shared" si="117"/>
        <v>1</v>
      </c>
      <c r="H672" s="632"/>
      <c r="I672" s="3183">
        <f t="shared" si="118"/>
        <v>1</v>
      </c>
      <c r="J672" s="632"/>
      <c r="K672" s="3183">
        <f t="shared" si="119"/>
        <v>1</v>
      </c>
      <c r="L672" s="632"/>
      <c r="M672" s="3183">
        <f t="shared" si="120"/>
        <v>1</v>
      </c>
      <c r="N672" s="632"/>
      <c r="O672" s="3183">
        <f t="shared" si="121"/>
        <v>1</v>
      </c>
      <c r="P672" s="632"/>
      <c r="Q672" s="3183">
        <f t="shared" si="122"/>
        <v>1</v>
      </c>
      <c r="R672" s="3183">
        <f t="shared" si="123"/>
        <v>162430</v>
      </c>
      <c r="S672" s="902">
        <f t="shared" si="124"/>
        <v>530</v>
      </c>
    </row>
    <row r="673" spans="1:19">
      <c r="A673" s="3180">
        <f>面积!B1328</f>
        <v>-1655</v>
      </c>
      <c r="B673" s="3181">
        <f>面积!C1328</f>
        <v>32.61</v>
      </c>
      <c r="C673" s="3183">
        <f t="shared" si="115"/>
        <v>1</v>
      </c>
      <c r="D673" s="632"/>
      <c r="E673" s="3183">
        <f t="shared" si="116"/>
        <v>1</v>
      </c>
      <c r="F673" s="632"/>
      <c r="G673" s="3183">
        <f t="shared" si="117"/>
        <v>1</v>
      </c>
      <c r="H673" s="632"/>
      <c r="I673" s="3183">
        <f t="shared" si="118"/>
        <v>1</v>
      </c>
      <c r="J673" s="632"/>
      <c r="K673" s="3183">
        <f t="shared" si="119"/>
        <v>1</v>
      </c>
      <c r="L673" s="632"/>
      <c r="M673" s="3183">
        <f t="shared" si="120"/>
        <v>1</v>
      </c>
      <c r="N673" s="632"/>
      <c r="O673" s="3183">
        <f t="shared" si="121"/>
        <v>1</v>
      </c>
      <c r="P673" s="632"/>
      <c r="Q673" s="3183">
        <f t="shared" si="122"/>
        <v>1</v>
      </c>
      <c r="R673" s="3183">
        <f t="shared" si="123"/>
        <v>162430</v>
      </c>
      <c r="S673" s="902">
        <f t="shared" si="124"/>
        <v>530</v>
      </c>
    </row>
    <row r="674" spans="1:19">
      <c r="A674" s="3180">
        <f>面积!B1329</f>
        <v>-1656</v>
      </c>
      <c r="B674" s="3181">
        <f>面积!C1329</f>
        <v>32.61</v>
      </c>
      <c r="C674" s="3183">
        <f t="shared" si="115"/>
        <v>1</v>
      </c>
      <c r="D674" s="632"/>
      <c r="E674" s="3183">
        <f t="shared" si="116"/>
        <v>1</v>
      </c>
      <c r="F674" s="632"/>
      <c r="G674" s="3183">
        <f t="shared" si="117"/>
        <v>1</v>
      </c>
      <c r="H674" s="632"/>
      <c r="I674" s="3183">
        <f t="shared" si="118"/>
        <v>1</v>
      </c>
      <c r="J674" s="632"/>
      <c r="K674" s="3183">
        <f t="shared" si="119"/>
        <v>1</v>
      </c>
      <c r="L674" s="632"/>
      <c r="M674" s="3183">
        <f t="shared" si="120"/>
        <v>1</v>
      </c>
      <c r="N674" s="632"/>
      <c r="O674" s="3183">
        <f t="shared" si="121"/>
        <v>1</v>
      </c>
      <c r="P674" s="632"/>
      <c r="Q674" s="3183">
        <f t="shared" si="122"/>
        <v>1</v>
      </c>
      <c r="R674" s="3183">
        <f t="shared" si="123"/>
        <v>162430</v>
      </c>
      <c r="S674" s="902">
        <f t="shared" si="124"/>
        <v>530</v>
      </c>
    </row>
    <row r="675" spans="1:19">
      <c r="A675" s="3180">
        <f>面积!B1330</f>
        <v>-1657</v>
      </c>
      <c r="B675" s="3181">
        <f>面积!C1330</f>
        <v>32.61</v>
      </c>
      <c r="C675" s="3183">
        <f t="shared" si="115"/>
        <v>1</v>
      </c>
      <c r="D675" s="632"/>
      <c r="E675" s="3183">
        <f t="shared" si="116"/>
        <v>1</v>
      </c>
      <c r="F675" s="632"/>
      <c r="G675" s="3183">
        <f t="shared" si="117"/>
        <v>1</v>
      </c>
      <c r="H675" s="632"/>
      <c r="I675" s="3183">
        <f t="shared" si="118"/>
        <v>1</v>
      </c>
      <c r="J675" s="632"/>
      <c r="K675" s="3183">
        <f t="shared" si="119"/>
        <v>1</v>
      </c>
      <c r="L675" s="632"/>
      <c r="M675" s="3183">
        <f t="shared" si="120"/>
        <v>1</v>
      </c>
      <c r="N675" s="632"/>
      <c r="O675" s="3183">
        <f t="shared" si="121"/>
        <v>1</v>
      </c>
      <c r="P675" s="632"/>
      <c r="Q675" s="3183">
        <f t="shared" si="122"/>
        <v>1</v>
      </c>
      <c r="R675" s="3183">
        <f t="shared" si="123"/>
        <v>162430</v>
      </c>
      <c r="S675" s="902">
        <f t="shared" si="124"/>
        <v>530</v>
      </c>
    </row>
    <row r="676" spans="1:19">
      <c r="A676" s="3180">
        <f>面积!B1331</f>
        <v>-1658</v>
      </c>
      <c r="B676" s="3181">
        <f>面积!C1331</f>
        <v>32.61</v>
      </c>
      <c r="C676" s="3183">
        <f t="shared" si="115"/>
        <v>1</v>
      </c>
      <c r="D676" s="632"/>
      <c r="E676" s="3183">
        <f t="shared" si="116"/>
        <v>1</v>
      </c>
      <c r="F676" s="632"/>
      <c r="G676" s="3183">
        <f t="shared" si="117"/>
        <v>1</v>
      </c>
      <c r="H676" s="632"/>
      <c r="I676" s="3183">
        <f t="shared" si="118"/>
        <v>1</v>
      </c>
      <c r="J676" s="632"/>
      <c r="K676" s="3183">
        <f t="shared" si="119"/>
        <v>1</v>
      </c>
      <c r="L676" s="632"/>
      <c r="M676" s="3183">
        <f t="shared" si="120"/>
        <v>1</v>
      </c>
      <c r="N676" s="632"/>
      <c r="O676" s="3183">
        <f t="shared" si="121"/>
        <v>1</v>
      </c>
      <c r="P676" s="632"/>
      <c r="Q676" s="3183">
        <f t="shared" si="122"/>
        <v>1</v>
      </c>
      <c r="R676" s="3183">
        <f t="shared" si="123"/>
        <v>162430</v>
      </c>
      <c r="S676" s="902">
        <f t="shared" si="124"/>
        <v>530</v>
      </c>
    </row>
    <row r="677" spans="1:19">
      <c r="A677" s="3180">
        <f>面积!B1332</f>
        <v>-1659</v>
      </c>
      <c r="B677" s="3181">
        <f>面积!C1332</f>
        <v>32.61</v>
      </c>
      <c r="C677" s="3183">
        <f t="shared" si="115"/>
        <v>1</v>
      </c>
      <c r="D677" s="632"/>
      <c r="E677" s="3183">
        <f t="shared" si="116"/>
        <v>1</v>
      </c>
      <c r="F677" s="632"/>
      <c r="G677" s="3183">
        <f t="shared" si="117"/>
        <v>1</v>
      </c>
      <c r="H677" s="632"/>
      <c r="I677" s="3183">
        <f t="shared" si="118"/>
        <v>1</v>
      </c>
      <c r="J677" s="632"/>
      <c r="K677" s="3183">
        <f t="shared" si="119"/>
        <v>1</v>
      </c>
      <c r="L677" s="632"/>
      <c r="M677" s="3183">
        <f t="shared" si="120"/>
        <v>1</v>
      </c>
      <c r="N677" s="632"/>
      <c r="O677" s="3183">
        <f t="shared" si="121"/>
        <v>1</v>
      </c>
      <c r="P677" s="632"/>
      <c r="Q677" s="3183">
        <f t="shared" si="122"/>
        <v>1</v>
      </c>
      <c r="R677" s="3183">
        <f t="shared" si="123"/>
        <v>162430</v>
      </c>
      <c r="S677" s="902">
        <f t="shared" si="124"/>
        <v>530</v>
      </c>
    </row>
    <row r="678" spans="1:19">
      <c r="A678" s="3180">
        <f>面积!B1333</f>
        <v>-1660</v>
      </c>
      <c r="B678" s="3181">
        <f>面积!C1333</f>
        <v>32.61</v>
      </c>
      <c r="C678" s="3183">
        <f t="shared" si="115"/>
        <v>1</v>
      </c>
      <c r="D678" s="632"/>
      <c r="E678" s="3183">
        <f t="shared" si="116"/>
        <v>1</v>
      </c>
      <c r="F678" s="632"/>
      <c r="G678" s="3183">
        <f t="shared" si="117"/>
        <v>1</v>
      </c>
      <c r="H678" s="632"/>
      <c r="I678" s="3183">
        <f t="shared" si="118"/>
        <v>1</v>
      </c>
      <c r="J678" s="632"/>
      <c r="K678" s="3183">
        <f t="shared" si="119"/>
        <v>1</v>
      </c>
      <c r="L678" s="632"/>
      <c r="M678" s="3183">
        <f t="shared" si="120"/>
        <v>1</v>
      </c>
      <c r="N678" s="632"/>
      <c r="O678" s="3183">
        <f t="shared" si="121"/>
        <v>1</v>
      </c>
      <c r="P678" s="632"/>
      <c r="Q678" s="3183">
        <f t="shared" si="122"/>
        <v>1</v>
      </c>
      <c r="R678" s="3183">
        <f t="shared" si="123"/>
        <v>162430</v>
      </c>
      <c r="S678" s="902">
        <f t="shared" si="124"/>
        <v>530</v>
      </c>
    </row>
    <row r="679" spans="1:19">
      <c r="A679" s="3180">
        <f>面积!B1334</f>
        <v>-1661</v>
      </c>
      <c r="B679" s="3181">
        <f>面积!C1334</f>
        <v>32.61</v>
      </c>
      <c r="C679" s="3183">
        <f t="shared" si="115"/>
        <v>1</v>
      </c>
      <c r="D679" s="632"/>
      <c r="E679" s="3183">
        <f t="shared" si="116"/>
        <v>1</v>
      </c>
      <c r="F679" s="632"/>
      <c r="G679" s="3183">
        <f t="shared" si="117"/>
        <v>1</v>
      </c>
      <c r="H679" s="632"/>
      <c r="I679" s="3183">
        <f t="shared" si="118"/>
        <v>1</v>
      </c>
      <c r="J679" s="632"/>
      <c r="K679" s="3183">
        <f t="shared" si="119"/>
        <v>1</v>
      </c>
      <c r="L679" s="632"/>
      <c r="M679" s="3183">
        <f t="shared" si="120"/>
        <v>1</v>
      </c>
      <c r="N679" s="632"/>
      <c r="O679" s="3183">
        <f t="shared" si="121"/>
        <v>1</v>
      </c>
      <c r="P679" s="632"/>
      <c r="Q679" s="3183">
        <f t="shared" si="122"/>
        <v>1</v>
      </c>
      <c r="R679" s="3183">
        <f t="shared" si="123"/>
        <v>162430</v>
      </c>
      <c r="S679" s="902">
        <f t="shared" si="124"/>
        <v>530</v>
      </c>
    </row>
    <row r="680" spans="1:19">
      <c r="A680" s="3180">
        <f>面积!B1335</f>
        <v>-1662</v>
      </c>
      <c r="B680" s="3181">
        <f>面积!C1335</f>
        <v>32.61</v>
      </c>
      <c r="C680" s="3183">
        <f t="shared" si="115"/>
        <v>1</v>
      </c>
      <c r="D680" s="632"/>
      <c r="E680" s="3183">
        <f t="shared" si="116"/>
        <v>1</v>
      </c>
      <c r="F680" s="632"/>
      <c r="G680" s="3183">
        <f t="shared" si="117"/>
        <v>1</v>
      </c>
      <c r="H680" s="632"/>
      <c r="I680" s="3183">
        <f t="shared" si="118"/>
        <v>1</v>
      </c>
      <c r="J680" s="632"/>
      <c r="K680" s="3183">
        <f t="shared" si="119"/>
        <v>1</v>
      </c>
      <c r="L680" s="632"/>
      <c r="M680" s="3183">
        <f t="shared" si="120"/>
        <v>1</v>
      </c>
      <c r="N680" s="632"/>
      <c r="O680" s="3183">
        <f t="shared" si="121"/>
        <v>1</v>
      </c>
      <c r="P680" s="632"/>
      <c r="Q680" s="3183">
        <f t="shared" si="122"/>
        <v>1</v>
      </c>
      <c r="R680" s="3183">
        <f t="shared" si="123"/>
        <v>162430</v>
      </c>
      <c r="S680" s="902">
        <f t="shared" si="124"/>
        <v>530</v>
      </c>
    </row>
    <row r="681" spans="1:19">
      <c r="A681" s="3180">
        <f>面积!B1336</f>
        <v>-1663</v>
      </c>
      <c r="B681" s="3181">
        <f>面积!C1336</f>
        <v>32.61</v>
      </c>
      <c r="C681" s="3183">
        <f t="shared" si="115"/>
        <v>1</v>
      </c>
      <c r="D681" s="632"/>
      <c r="E681" s="3183">
        <f t="shared" si="116"/>
        <v>1</v>
      </c>
      <c r="F681" s="632"/>
      <c r="G681" s="3183">
        <f t="shared" si="117"/>
        <v>1</v>
      </c>
      <c r="H681" s="632"/>
      <c r="I681" s="3183">
        <f t="shared" si="118"/>
        <v>1</v>
      </c>
      <c r="J681" s="632"/>
      <c r="K681" s="3183">
        <f t="shared" si="119"/>
        <v>1</v>
      </c>
      <c r="L681" s="632"/>
      <c r="M681" s="3183">
        <f t="shared" si="120"/>
        <v>1</v>
      </c>
      <c r="N681" s="632"/>
      <c r="O681" s="3183">
        <f t="shared" si="121"/>
        <v>1</v>
      </c>
      <c r="P681" s="632"/>
      <c r="Q681" s="3183">
        <f t="shared" si="122"/>
        <v>1</v>
      </c>
      <c r="R681" s="3183">
        <f t="shared" si="123"/>
        <v>162430</v>
      </c>
      <c r="S681" s="902">
        <f t="shared" si="124"/>
        <v>530</v>
      </c>
    </row>
    <row r="682" spans="1:19">
      <c r="A682" s="3180">
        <f>面积!B1337</f>
        <v>-1664</v>
      </c>
      <c r="B682" s="3181">
        <f>面积!C1337</f>
        <v>32.61</v>
      </c>
      <c r="C682" s="3183">
        <f t="shared" si="115"/>
        <v>1</v>
      </c>
      <c r="D682" s="632"/>
      <c r="E682" s="3183">
        <f t="shared" si="116"/>
        <v>1</v>
      </c>
      <c r="F682" s="632"/>
      <c r="G682" s="3183">
        <f t="shared" si="117"/>
        <v>1</v>
      </c>
      <c r="H682" s="632"/>
      <c r="I682" s="3183">
        <f t="shared" si="118"/>
        <v>1</v>
      </c>
      <c r="J682" s="632"/>
      <c r="K682" s="3183">
        <f t="shared" si="119"/>
        <v>1</v>
      </c>
      <c r="L682" s="632"/>
      <c r="M682" s="3183">
        <f t="shared" si="120"/>
        <v>1</v>
      </c>
      <c r="N682" s="632"/>
      <c r="O682" s="3183">
        <f t="shared" si="121"/>
        <v>1</v>
      </c>
      <c r="P682" s="632"/>
      <c r="Q682" s="3183">
        <f t="shared" si="122"/>
        <v>1</v>
      </c>
      <c r="R682" s="3183">
        <f t="shared" si="123"/>
        <v>162430</v>
      </c>
      <c r="S682" s="902">
        <f t="shared" si="124"/>
        <v>530</v>
      </c>
    </row>
    <row r="683" spans="1:19">
      <c r="A683" s="3180">
        <f>面积!B1338</f>
        <v>-1665</v>
      </c>
      <c r="B683" s="3181">
        <f>面积!C1338</f>
        <v>32.61</v>
      </c>
      <c r="C683" s="3183">
        <f t="shared" si="115"/>
        <v>1</v>
      </c>
      <c r="D683" s="632"/>
      <c r="E683" s="3183">
        <f t="shared" si="116"/>
        <v>1</v>
      </c>
      <c r="F683" s="632"/>
      <c r="G683" s="3183">
        <f t="shared" si="117"/>
        <v>1</v>
      </c>
      <c r="H683" s="632"/>
      <c r="I683" s="3183">
        <f t="shared" si="118"/>
        <v>1</v>
      </c>
      <c r="J683" s="632"/>
      <c r="K683" s="3183">
        <f t="shared" si="119"/>
        <v>1</v>
      </c>
      <c r="L683" s="632"/>
      <c r="M683" s="3183">
        <f t="shared" si="120"/>
        <v>1</v>
      </c>
      <c r="N683" s="632"/>
      <c r="O683" s="3183">
        <f t="shared" si="121"/>
        <v>1</v>
      </c>
      <c r="P683" s="632"/>
      <c r="Q683" s="3183">
        <f t="shared" si="122"/>
        <v>1</v>
      </c>
      <c r="R683" s="3183">
        <f t="shared" si="123"/>
        <v>162430</v>
      </c>
      <c r="S683" s="902">
        <f t="shared" si="124"/>
        <v>530</v>
      </c>
    </row>
    <row r="684" spans="1:19">
      <c r="A684" s="3180">
        <f>面积!B1339</f>
        <v>-1666</v>
      </c>
      <c r="B684" s="3181">
        <f>面积!C1339</f>
        <v>32.61</v>
      </c>
      <c r="C684" s="3183">
        <f t="shared" si="115"/>
        <v>1</v>
      </c>
      <c r="D684" s="632"/>
      <c r="E684" s="3183">
        <f t="shared" si="116"/>
        <v>1</v>
      </c>
      <c r="F684" s="632"/>
      <c r="G684" s="3183">
        <f t="shared" si="117"/>
        <v>1</v>
      </c>
      <c r="H684" s="632"/>
      <c r="I684" s="3183">
        <f t="shared" si="118"/>
        <v>1</v>
      </c>
      <c r="J684" s="632"/>
      <c r="K684" s="3183">
        <f t="shared" si="119"/>
        <v>1</v>
      </c>
      <c r="L684" s="632"/>
      <c r="M684" s="3183">
        <f t="shared" si="120"/>
        <v>1</v>
      </c>
      <c r="N684" s="632"/>
      <c r="O684" s="3183">
        <f t="shared" si="121"/>
        <v>1</v>
      </c>
      <c r="P684" s="632"/>
      <c r="Q684" s="3183">
        <f t="shared" si="122"/>
        <v>1</v>
      </c>
      <c r="R684" s="3183">
        <f t="shared" si="123"/>
        <v>162430</v>
      </c>
      <c r="S684" s="902">
        <f t="shared" si="124"/>
        <v>530</v>
      </c>
    </row>
    <row r="685" spans="1:19">
      <c r="A685" s="3180">
        <f>面积!B1340</f>
        <v>-1667</v>
      </c>
      <c r="B685" s="3181">
        <f>面积!C1340</f>
        <v>32.61</v>
      </c>
      <c r="C685" s="3183">
        <f t="shared" si="115"/>
        <v>1</v>
      </c>
      <c r="D685" s="632"/>
      <c r="E685" s="3183">
        <f t="shared" si="116"/>
        <v>1</v>
      </c>
      <c r="F685" s="632"/>
      <c r="G685" s="3183">
        <f t="shared" si="117"/>
        <v>1</v>
      </c>
      <c r="H685" s="632"/>
      <c r="I685" s="3183">
        <f t="shared" si="118"/>
        <v>1</v>
      </c>
      <c r="J685" s="632"/>
      <c r="K685" s="3183">
        <f t="shared" si="119"/>
        <v>1</v>
      </c>
      <c r="L685" s="632"/>
      <c r="M685" s="3183">
        <f t="shared" si="120"/>
        <v>1</v>
      </c>
      <c r="N685" s="632"/>
      <c r="O685" s="3183">
        <f t="shared" si="121"/>
        <v>1</v>
      </c>
      <c r="P685" s="632"/>
      <c r="Q685" s="3183">
        <f t="shared" si="122"/>
        <v>1</v>
      </c>
      <c r="R685" s="3183">
        <f t="shared" si="123"/>
        <v>162430</v>
      </c>
      <c r="S685" s="902">
        <f t="shared" si="124"/>
        <v>530</v>
      </c>
    </row>
    <row r="686" spans="1:19">
      <c r="A686" s="3180">
        <f>面积!B1341</f>
        <v>-1668</v>
      </c>
      <c r="B686" s="3181">
        <f>面积!C1341</f>
        <v>32.61</v>
      </c>
      <c r="C686" s="3183">
        <f t="shared" si="115"/>
        <v>1</v>
      </c>
      <c r="D686" s="632"/>
      <c r="E686" s="3183">
        <f t="shared" si="116"/>
        <v>1</v>
      </c>
      <c r="F686" s="632"/>
      <c r="G686" s="3183">
        <f t="shared" si="117"/>
        <v>1</v>
      </c>
      <c r="H686" s="632"/>
      <c r="I686" s="3183">
        <f t="shared" si="118"/>
        <v>1</v>
      </c>
      <c r="J686" s="632"/>
      <c r="K686" s="3183">
        <f t="shared" si="119"/>
        <v>1</v>
      </c>
      <c r="L686" s="632"/>
      <c r="M686" s="3183">
        <f t="shared" si="120"/>
        <v>1</v>
      </c>
      <c r="N686" s="632"/>
      <c r="O686" s="3183">
        <f t="shared" si="121"/>
        <v>1</v>
      </c>
      <c r="P686" s="632"/>
      <c r="Q686" s="3183">
        <f t="shared" si="122"/>
        <v>1</v>
      </c>
      <c r="R686" s="3183">
        <f t="shared" si="123"/>
        <v>162430</v>
      </c>
      <c r="S686" s="902">
        <f t="shared" si="124"/>
        <v>530</v>
      </c>
    </row>
    <row r="687" spans="1:19">
      <c r="A687" s="3180">
        <f>面积!B1342</f>
        <v>-1669</v>
      </c>
      <c r="B687" s="3181">
        <f>面积!C1342</f>
        <v>32.61</v>
      </c>
      <c r="C687" s="3183">
        <f t="shared" si="115"/>
        <v>1</v>
      </c>
      <c r="D687" s="632"/>
      <c r="E687" s="3183">
        <f t="shared" si="116"/>
        <v>1</v>
      </c>
      <c r="F687" s="632"/>
      <c r="G687" s="3183">
        <f t="shared" si="117"/>
        <v>1</v>
      </c>
      <c r="H687" s="632"/>
      <c r="I687" s="3183">
        <f t="shared" si="118"/>
        <v>1</v>
      </c>
      <c r="J687" s="632"/>
      <c r="K687" s="3183">
        <f t="shared" si="119"/>
        <v>1</v>
      </c>
      <c r="L687" s="632"/>
      <c r="M687" s="3183">
        <f t="shared" si="120"/>
        <v>1</v>
      </c>
      <c r="N687" s="632"/>
      <c r="O687" s="3183">
        <f t="shared" si="121"/>
        <v>1</v>
      </c>
      <c r="P687" s="632"/>
      <c r="Q687" s="3183">
        <f t="shared" si="122"/>
        <v>1</v>
      </c>
      <c r="R687" s="3183">
        <f t="shared" si="123"/>
        <v>162430</v>
      </c>
      <c r="S687" s="902">
        <f t="shared" si="124"/>
        <v>530</v>
      </c>
    </row>
    <row r="688" spans="1:19">
      <c r="A688" s="3180">
        <f>面积!B1343</f>
        <v>-1670</v>
      </c>
      <c r="B688" s="3181">
        <f>面积!C1343</f>
        <v>32.61</v>
      </c>
      <c r="C688" s="3183">
        <f t="shared" si="115"/>
        <v>1</v>
      </c>
      <c r="D688" s="632"/>
      <c r="E688" s="3183">
        <f t="shared" si="116"/>
        <v>1</v>
      </c>
      <c r="F688" s="632"/>
      <c r="G688" s="3183">
        <f t="shared" si="117"/>
        <v>1</v>
      </c>
      <c r="H688" s="632"/>
      <c r="I688" s="3183">
        <f t="shared" si="118"/>
        <v>1</v>
      </c>
      <c r="J688" s="632"/>
      <c r="K688" s="3183">
        <f t="shared" si="119"/>
        <v>1</v>
      </c>
      <c r="L688" s="632"/>
      <c r="M688" s="3183">
        <f t="shared" si="120"/>
        <v>1</v>
      </c>
      <c r="N688" s="632"/>
      <c r="O688" s="3183">
        <f t="shared" si="121"/>
        <v>1</v>
      </c>
      <c r="P688" s="632"/>
      <c r="Q688" s="3183">
        <f t="shared" si="122"/>
        <v>1</v>
      </c>
      <c r="R688" s="3183">
        <f t="shared" si="123"/>
        <v>162430</v>
      </c>
      <c r="S688" s="902">
        <f t="shared" si="124"/>
        <v>530</v>
      </c>
    </row>
    <row r="689" spans="1:19">
      <c r="A689" s="3180">
        <f>面积!B1344</f>
        <v>-1671</v>
      </c>
      <c r="B689" s="3181">
        <f>面积!C1344</f>
        <v>32.61</v>
      </c>
      <c r="C689" s="3183">
        <f t="shared" si="115"/>
        <v>1</v>
      </c>
      <c r="D689" s="632"/>
      <c r="E689" s="3183">
        <f t="shared" si="116"/>
        <v>1</v>
      </c>
      <c r="F689" s="632"/>
      <c r="G689" s="3183">
        <f t="shared" si="117"/>
        <v>1</v>
      </c>
      <c r="H689" s="632"/>
      <c r="I689" s="3183">
        <f t="shared" si="118"/>
        <v>1</v>
      </c>
      <c r="J689" s="632"/>
      <c r="K689" s="3183">
        <f t="shared" si="119"/>
        <v>1</v>
      </c>
      <c r="L689" s="632"/>
      <c r="M689" s="3183">
        <f t="shared" si="120"/>
        <v>1</v>
      </c>
      <c r="N689" s="632"/>
      <c r="O689" s="3183">
        <f t="shared" si="121"/>
        <v>1</v>
      </c>
      <c r="P689" s="632"/>
      <c r="Q689" s="3183">
        <f t="shared" si="122"/>
        <v>1</v>
      </c>
      <c r="R689" s="3183">
        <f t="shared" si="123"/>
        <v>162430</v>
      </c>
      <c r="S689" s="902">
        <f t="shared" si="124"/>
        <v>530</v>
      </c>
    </row>
    <row r="690" spans="1:19">
      <c r="A690" s="3180">
        <f>面积!B1345</f>
        <v>-1672</v>
      </c>
      <c r="B690" s="3181">
        <f>面积!C1345</f>
        <v>32.61</v>
      </c>
      <c r="C690" s="3183">
        <f t="shared" si="115"/>
        <v>1</v>
      </c>
      <c r="D690" s="632"/>
      <c r="E690" s="3183">
        <f t="shared" si="116"/>
        <v>1</v>
      </c>
      <c r="F690" s="632"/>
      <c r="G690" s="3183">
        <f t="shared" si="117"/>
        <v>1</v>
      </c>
      <c r="H690" s="632"/>
      <c r="I690" s="3183">
        <f t="shared" si="118"/>
        <v>1</v>
      </c>
      <c r="J690" s="632"/>
      <c r="K690" s="3183">
        <f t="shared" si="119"/>
        <v>1</v>
      </c>
      <c r="L690" s="632"/>
      <c r="M690" s="3183">
        <f t="shared" si="120"/>
        <v>1</v>
      </c>
      <c r="N690" s="632"/>
      <c r="O690" s="3183">
        <f t="shared" si="121"/>
        <v>1</v>
      </c>
      <c r="P690" s="632"/>
      <c r="Q690" s="3183">
        <f t="shared" si="122"/>
        <v>1</v>
      </c>
      <c r="R690" s="3183">
        <f t="shared" si="123"/>
        <v>162430</v>
      </c>
      <c r="S690" s="902">
        <f t="shared" si="124"/>
        <v>530</v>
      </c>
    </row>
    <row r="691" spans="1:19">
      <c r="A691" s="3180">
        <f>面积!B1346</f>
        <v>-1673</v>
      </c>
      <c r="B691" s="3181">
        <f>面积!C1346</f>
        <v>32.61</v>
      </c>
      <c r="C691" s="3183">
        <f t="shared" si="115"/>
        <v>1</v>
      </c>
      <c r="D691" s="632"/>
      <c r="E691" s="3183">
        <f t="shared" si="116"/>
        <v>1</v>
      </c>
      <c r="F691" s="632"/>
      <c r="G691" s="3183">
        <f t="shared" si="117"/>
        <v>1</v>
      </c>
      <c r="H691" s="632"/>
      <c r="I691" s="3183">
        <f t="shared" si="118"/>
        <v>1</v>
      </c>
      <c r="J691" s="632"/>
      <c r="K691" s="3183">
        <f t="shared" si="119"/>
        <v>1</v>
      </c>
      <c r="L691" s="632"/>
      <c r="M691" s="3183">
        <f t="shared" si="120"/>
        <v>1</v>
      </c>
      <c r="N691" s="632"/>
      <c r="O691" s="3183">
        <f t="shared" si="121"/>
        <v>1</v>
      </c>
      <c r="P691" s="632"/>
      <c r="Q691" s="3183">
        <f t="shared" si="122"/>
        <v>1</v>
      </c>
      <c r="R691" s="3183">
        <f t="shared" si="123"/>
        <v>162430</v>
      </c>
      <c r="S691" s="902">
        <f t="shared" si="124"/>
        <v>530</v>
      </c>
    </row>
    <row r="692" spans="1:19">
      <c r="A692" s="3180">
        <f>面积!B1347</f>
        <v>-1674</v>
      </c>
      <c r="B692" s="3181">
        <f>面积!C1347</f>
        <v>32.61</v>
      </c>
      <c r="C692" s="3183">
        <f t="shared" si="115"/>
        <v>1</v>
      </c>
      <c r="D692" s="632"/>
      <c r="E692" s="3183">
        <f t="shared" si="116"/>
        <v>1</v>
      </c>
      <c r="F692" s="632"/>
      <c r="G692" s="3183">
        <f t="shared" si="117"/>
        <v>1</v>
      </c>
      <c r="H692" s="632"/>
      <c r="I692" s="3183">
        <f t="shared" si="118"/>
        <v>1</v>
      </c>
      <c r="J692" s="632"/>
      <c r="K692" s="3183">
        <f t="shared" si="119"/>
        <v>1</v>
      </c>
      <c r="L692" s="632"/>
      <c r="M692" s="3183">
        <f t="shared" si="120"/>
        <v>1</v>
      </c>
      <c r="N692" s="632"/>
      <c r="O692" s="3183">
        <f t="shared" si="121"/>
        <v>1</v>
      </c>
      <c r="P692" s="632"/>
      <c r="Q692" s="3183">
        <f t="shared" si="122"/>
        <v>1</v>
      </c>
      <c r="R692" s="3183">
        <f t="shared" si="123"/>
        <v>162430</v>
      </c>
      <c r="S692" s="902">
        <f t="shared" si="124"/>
        <v>530</v>
      </c>
    </row>
    <row r="693" spans="1:19">
      <c r="A693" s="3180">
        <f>面积!B1348</f>
        <v>-1675</v>
      </c>
      <c r="B693" s="3181">
        <f>面积!C1348</f>
        <v>32.61</v>
      </c>
      <c r="C693" s="3183">
        <f t="shared" si="115"/>
        <v>1</v>
      </c>
      <c r="D693" s="632"/>
      <c r="E693" s="3183">
        <f t="shared" si="116"/>
        <v>1</v>
      </c>
      <c r="F693" s="632"/>
      <c r="G693" s="3183">
        <f t="shared" si="117"/>
        <v>1</v>
      </c>
      <c r="H693" s="632"/>
      <c r="I693" s="3183">
        <f t="shared" si="118"/>
        <v>1</v>
      </c>
      <c r="J693" s="632"/>
      <c r="K693" s="3183">
        <f t="shared" si="119"/>
        <v>1</v>
      </c>
      <c r="L693" s="632"/>
      <c r="M693" s="3183">
        <f t="shared" si="120"/>
        <v>1</v>
      </c>
      <c r="N693" s="632"/>
      <c r="O693" s="3183">
        <f t="shared" si="121"/>
        <v>1</v>
      </c>
      <c r="P693" s="632"/>
      <c r="Q693" s="3183">
        <f t="shared" si="122"/>
        <v>1</v>
      </c>
      <c r="R693" s="3183">
        <f t="shared" si="123"/>
        <v>162430</v>
      </c>
      <c r="S693" s="902">
        <f t="shared" si="124"/>
        <v>530</v>
      </c>
    </row>
    <row r="694" spans="1:19">
      <c r="A694" s="3180">
        <f>面积!B1349</f>
        <v>-1676</v>
      </c>
      <c r="B694" s="3181">
        <f>面积!C1349</f>
        <v>32.61</v>
      </c>
      <c r="C694" s="3183">
        <f t="shared" si="115"/>
        <v>1</v>
      </c>
      <c r="D694" s="632"/>
      <c r="E694" s="3183">
        <f t="shared" si="116"/>
        <v>1</v>
      </c>
      <c r="F694" s="632"/>
      <c r="G694" s="3183">
        <f t="shared" si="117"/>
        <v>1</v>
      </c>
      <c r="H694" s="632"/>
      <c r="I694" s="3183">
        <f t="shared" si="118"/>
        <v>1</v>
      </c>
      <c r="J694" s="632"/>
      <c r="K694" s="3183">
        <f t="shared" si="119"/>
        <v>1</v>
      </c>
      <c r="L694" s="632"/>
      <c r="M694" s="3183">
        <f t="shared" si="120"/>
        <v>1</v>
      </c>
      <c r="N694" s="632"/>
      <c r="O694" s="3183">
        <f t="shared" si="121"/>
        <v>1</v>
      </c>
      <c r="P694" s="632"/>
      <c r="Q694" s="3183">
        <f t="shared" si="122"/>
        <v>1</v>
      </c>
      <c r="R694" s="3183">
        <f t="shared" si="123"/>
        <v>162430</v>
      </c>
      <c r="S694" s="902">
        <f t="shared" si="124"/>
        <v>530</v>
      </c>
    </row>
    <row r="695" spans="1:19">
      <c r="A695" s="3180">
        <f>面积!B1350</f>
        <v>-1677</v>
      </c>
      <c r="B695" s="3181">
        <f>面积!C1350</f>
        <v>32.61</v>
      </c>
      <c r="C695" s="3183">
        <f t="shared" si="115"/>
        <v>1</v>
      </c>
      <c r="D695" s="632"/>
      <c r="E695" s="3183">
        <f t="shared" si="116"/>
        <v>1</v>
      </c>
      <c r="F695" s="632"/>
      <c r="G695" s="3183">
        <f t="shared" si="117"/>
        <v>1</v>
      </c>
      <c r="H695" s="632"/>
      <c r="I695" s="3183">
        <f t="shared" si="118"/>
        <v>1</v>
      </c>
      <c r="J695" s="632"/>
      <c r="K695" s="3183">
        <f t="shared" si="119"/>
        <v>1</v>
      </c>
      <c r="L695" s="632"/>
      <c r="M695" s="3183">
        <f t="shared" si="120"/>
        <v>1</v>
      </c>
      <c r="N695" s="632"/>
      <c r="O695" s="3183">
        <f t="shared" si="121"/>
        <v>1</v>
      </c>
      <c r="P695" s="632"/>
      <c r="Q695" s="3183">
        <f t="shared" si="122"/>
        <v>1</v>
      </c>
      <c r="R695" s="3183">
        <f t="shared" si="123"/>
        <v>162430</v>
      </c>
      <c r="S695" s="902">
        <f t="shared" si="124"/>
        <v>530</v>
      </c>
    </row>
    <row r="696" spans="1:19">
      <c r="A696" s="3180">
        <f>面积!B1351</f>
        <v>-1678</v>
      </c>
      <c r="B696" s="3181">
        <f>面积!C1351</f>
        <v>32.61</v>
      </c>
      <c r="C696" s="3183">
        <f t="shared" si="115"/>
        <v>1</v>
      </c>
      <c r="D696" s="632"/>
      <c r="E696" s="3183">
        <f t="shared" si="116"/>
        <v>1</v>
      </c>
      <c r="F696" s="632"/>
      <c r="G696" s="3183">
        <f t="shared" si="117"/>
        <v>1</v>
      </c>
      <c r="H696" s="632"/>
      <c r="I696" s="3183">
        <f t="shared" si="118"/>
        <v>1</v>
      </c>
      <c r="J696" s="632"/>
      <c r="K696" s="3183">
        <f t="shared" si="119"/>
        <v>1</v>
      </c>
      <c r="L696" s="632"/>
      <c r="M696" s="3183">
        <f t="shared" si="120"/>
        <v>1</v>
      </c>
      <c r="N696" s="632"/>
      <c r="O696" s="3183">
        <f t="shared" si="121"/>
        <v>1</v>
      </c>
      <c r="P696" s="632"/>
      <c r="Q696" s="3183">
        <f t="shared" si="122"/>
        <v>1</v>
      </c>
      <c r="R696" s="3183">
        <f t="shared" si="123"/>
        <v>162430</v>
      </c>
      <c r="S696" s="902">
        <f t="shared" si="124"/>
        <v>530</v>
      </c>
    </row>
    <row r="697" spans="1:19">
      <c r="A697" s="3180">
        <f>面积!B1352</f>
        <v>-1679</v>
      </c>
      <c r="B697" s="3181">
        <f>面积!C1352</f>
        <v>32.61</v>
      </c>
      <c r="C697" s="3183">
        <f t="shared" si="115"/>
        <v>1</v>
      </c>
      <c r="D697" s="632"/>
      <c r="E697" s="3183">
        <f t="shared" si="116"/>
        <v>1</v>
      </c>
      <c r="F697" s="632"/>
      <c r="G697" s="3183">
        <f t="shared" si="117"/>
        <v>1</v>
      </c>
      <c r="H697" s="632"/>
      <c r="I697" s="3183">
        <f t="shared" si="118"/>
        <v>1</v>
      </c>
      <c r="J697" s="632"/>
      <c r="K697" s="3183">
        <f t="shared" si="119"/>
        <v>1</v>
      </c>
      <c r="L697" s="632"/>
      <c r="M697" s="3183">
        <f t="shared" si="120"/>
        <v>1</v>
      </c>
      <c r="N697" s="632"/>
      <c r="O697" s="3183">
        <f t="shared" si="121"/>
        <v>1</v>
      </c>
      <c r="P697" s="632"/>
      <c r="Q697" s="3183">
        <f t="shared" si="122"/>
        <v>1</v>
      </c>
      <c r="R697" s="3183">
        <f t="shared" si="123"/>
        <v>162430</v>
      </c>
      <c r="S697" s="902">
        <f t="shared" si="124"/>
        <v>530</v>
      </c>
    </row>
    <row r="698" spans="1:19">
      <c r="A698" s="3180">
        <f>面积!B1353</f>
        <v>-1680</v>
      </c>
      <c r="B698" s="3181">
        <f>面积!C1353</f>
        <v>32.61</v>
      </c>
      <c r="C698" s="3183">
        <f t="shared" si="115"/>
        <v>1</v>
      </c>
      <c r="D698" s="632"/>
      <c r="E698" s="3183">
        <f t="shared" si="116"/>
        <v>1</v>
      </c>
      <c r="F698" s="632"/>
      <c r="G698" s="3183">
        <f t="shared" si="117"/>
        <v>1</v>
      </c>
      <c r="H698" s="632"/>
      <c r="I698" s="3183">
        <f t="shared" si="118"/>
        <v>1</v>
      </c>
      <c r="J698" s="632"/>
      <c r="K698" s="3183">
        <f t="shared" si="119"/>
        <v>1</v>
      </c>
      <c r="L698" s="632"/>
      <c r="M698" s="3183">
        <f t="shared" si="120"/>
        <v>1</v>
      </c>
      <c r="N698" s="632"/>
      <c r="O698" s="3183">
        <f t="shared" si="121"/>
        <v>1</v>
      </c>
      <c r="P698" s="632"/>
      <c r="Q698" s="3183">
        <f t="shared" si="122"/>
        <v>1</v>
      </c>
      <c r="R698" s="3183">
        <f t="shared" si="123"/>
        <v>162430</v>
      </c>
      <c r="S698" s="902">
        <f t="shared" si="124"/>
        <v>530</v>
      </c>
    </row>
    <row r="699" spans="1:19">
      <c r="A699" s="3180">
        <f>面积!B1354</f>
        <v>-1681</v>
      </c>
      <c r="B699" s="3181">
        <f>面积!C1354</f>
        <v>32.61</v>
      </c>
      <c r="C699" s="3183">
        <f t="shared" si="115"/>
        <v>1</v>
      </c>
      <c r="D699" s="632"/>
      <c r="E699" s="3183">
        <f t="shared" si="116"/>
        <v>1</v>
      </c>
      <c r="F699" s="632"/>
      <c r="G699" s="3183">
        <f t="shared" si="117"/>
        <v>1</v>
      </c>
      <c r="H699" s="632"/>
      <c r="I699" s="3183">
        <f t="shared" si="118"/>
        <v>1</v>
      </c>
      <c r="J699" s="632"/>
      <c r="K699" s="3183">
        <f t="shared" si="119"/>
        <v>1</v>
      </c>
      <c r="L699" s="632"/>
      <c r="M699" s="3183">
        <f t="shared" si="120"/>
        <v>1</v>
      </c>
      <c r="N699" s="632"/>
      <c r="O699" s="3183">
        <f t="shared" si="121"/>
        <v>1</v>
      </c>
      <c r="P699" s="632"/>
      <c r="Q699" s="3183">
        <f t="shared" si="122"/>
        <v>1</v>
      </c>
      <c r="R699" s="3183">
        <f t="shared" si="123"/>
        <v>162430</v>
      </c>
      <c r="S699" s="902">
        <f t="shared" si="124"/>
        <v>530</v>
      </c>
    </row>
    <row r="700" spans="1:19">
      <c r="A700" s="3180">
        <f>面积!B1355</f>
        <v>-1682</v>
      </c>
      <c r="B700" s="3181">
        <f>面积!C1355</f>
        <v>32.61</v>
      </c>
      <c r="C700" s="3183">
        <f t="shared" si="115"/>
        <v>1</v>
      </c>
      <c r="D700" s="632"/>
      <c r="E700" s="3183">
        <f t="shared" si="116"/>
        <v>1</v>
      </c>
      <c r="F700" s="632"/>
      <c r="G700" s="3183">
        <f t="shared" si="117"/>
        <v>1</v>
      </c>
      <c r="H700" s="632"/>
      <c r="I700" s="3183">
        <f t="shared" si="118"/>
        <v>1</v>
      </c>
      <c r="J700" s="632"/>
      <c r="K700" s="3183">
        <f t="shared" si="119"/>
        <v>1</v>
      </c>
      <c r="L700" s="632"/>
      <c r="M700" s="3183">
        <f t="shared" si="120"/>
        <v>1</v>
      </c>
      <c r="N700" s="632"/>
      <c r="O700" s="3183">
        <f t="shared" si="121"/>
        <v>1</v>
      </c>
      <c r="P700" s="632"/>
      <c r="Q700" s="3183">
        <f t="shared" si="122"/>
        <v>1</v>
      </c>
      <c r="R700" s="3183">
        <f t="shared" si="123"/>
        <v>162430</v>
      </c>
      <c r="S700" s="902">
        <f t="shared" si="124"/>
        <v>530</v>
      </c>
    </row>
    <row r="701" spans="1:19">
      <c r="A701" s="3180">
        <f>面积!B1356</f>
        <v>-1683</v>
      </c>
      <c r="B701" s="3181">
        <f>面积!C1356</f>
        <v>32.61</v>
      </c>
      <c r="C701" s="3183">
        <f t="shared" si="115"/>
        <v>1</v>
      </c>
      <c r="D701" s="632"/>
      <c r="E701" s="3183">
        <f t="shared" si="116"/>
        <v>1</v>
      </c>
      <c r="F701" s="632"/>
      <c r="G701" s="3183">
        <f t="shared" si="117"/>
        <v>1</v>
      </c>
      <c r="H701" s="632"/>
      <c r="I701" s="3183">
        <f t="shared" si="118"/>
        <v>1</v>
      </c>
      <c r="J701" s="632"/>
      <c r="K701" s="3183">
        <f t="shared" si="119"/>
        <v>1</v>
      </c>
      <c r="L701" s="632"/>
      <c r="M701" s="3183">
        <f t="shared" si="120"/>
        <v>1</v>
      </c>
      <c r="N701" s="632"/>
      <c r="O701" s="3183">
        <f t="shared" si="121"/>
        <v>1</v>
      </c>
      <c r="P701" s="632"/>
      <c r="Q701" s="3183">
        <f t="shared" si="122"/>
        <v>1</v>
      </c>
      <c r="R701" s="3183">
        <f t="shared" si="123"/>
        <v>162430</v>
      </c>
      <c r="S701" s="902">
        <f t="shared" si="124"/>
        <v>530</v>
      </c>
    </row>
    <row r="702" spans="1:19">
      <c r="A702" s="3180">
        <f>面积!B1357</f>
        <v>-1684</v>
      </c>
      <c r="B702" s="3181">
        <f>面积!C1357</f>
        <v>32.61</v>
      </c>
      <c r="C702" s="3183">
        <f t="shared" si="115"/>
        <v>1</v>
      </c>
      <c r="D702" s="632"/>
      <c r="E702" s="3183">
        <f t="shared" si="116"/>
        <v>1</v>
      </c>
      <c r="F702" s="632"/>
      <c r="G702" s="3183">
        <f t="shared" si="117"/>
        <v>1</v>
      </c>
      <c r="H702" s="632"/>
      <c r="I702" s="3183">
        <f t="shared" si="118"/>
        <v>1</v>
      </c>
      <c r="J702" s="632"/>
      <c r="K702" s="3183">
        <f t="shared" si="119"/>
        <v>1</v>
      </c>
      <c r="L702" s="632"/>
      <c r="M702" s="3183">
        <f t="shared" si="120"/>
        <v>1</v>
      </c>
      <c r="N702" s="632"/>
      <c r="O702" s="3183">
        <f t="shared" si="121"/>
        <v>1</v>
      </c>
      <c r="P702" s="632"/>
      <c r="Q702" s="3183">
        <f t="shared" si="122"/>
        <v>1</v>
      </c>
      <c r="R702" s="3183">
        <f t="shared" si="123"/>
        <v>162430</v>
      </c>
      <c r="S702" s="902">
        <f t="shared" si="124"/>
        <v>530</v>
      </c>
    </row>
    <row r="703" spans="1:19">
      <c r="A703" s="3180">
        <f>面积!B1358</f>
        <v>-1685</v>
      </c>
      <c r="B703" s="3181">
        <f>面积!C1358</f>
        <v>32.61</v>
      </c>
      <c r="C703" s="3183">
        <f t="shared" si="115"/>
        <v>1</v>
      </c>
      <c r="D703" s="632"/>
      <c r="E703" s="3183">
        <f t="shared" si="116"/>
        <v>1</v>
      </c>
      <c r="F703" s="632"/>
      <c r="G703" s="3183">
        <f t="shared" si="117"/>
        <v>1</v>
      </c>
      <c r="H703" s="632"/>
      <c r="I703" s="3183">
        <f t="shared" si="118"/>
        <v>1</v>
      </c>
      <c r="J703" s="632"/>
      <c r="K703" s="3183">
        <f t="shared" si="119"/>
        <v>1</v>
      </c>
      <c r="L703" s="632"/>
      <c r="M703" s="3183">
        <f t="shared" si="120"/>
        <v>1</v>
      </c>
      <c r="N703" s="632"/>
      <c r="O703" s="3183">
        <f t="shared" si="121"/>
        <v>1</v>
      </c>
      <c r="P703" s="632"/>
      <c r="Q703" s="3183">
        <f t="shared" si="122"/>
        <v>1</v>
      </c>
      <c r="R703" s="3183">
        <f t="shared" si="123"/>
        <v>162430</v>
      </c>
      <c r="S703" s="902">
        <f t="shared" si="124"/>
        <v>530</v>
      </c>
    </row>
    <row r="704" spans="1:19">
      <c r="A704" s="3180">
        <f>面积!B1359</f>
        <v>-1686</v>
      </c>
      <c r="B704" s="3181">
        <f>面积!C1359</f>
        <v>32.61</v>
      </c>
      <c r="C704" s="3183">
        <f t="shared" si="115"/>
        <v>1</v>
      </c>
      <c r="D704" s="632"/>
      <c r="E704" s="3183">
        <f t="shared" si="116"/>
        <v>1</v>
      </c>
      <c r="F704" s="632"/>
      <c r="G704" s="3183">
        <f t="shared" si="117"/>
        <v>1</v>
      </c>
      <c r="H704" s="632"/>
      <c r="I704" s="3183">
        <f t="shared" si="118"/>
        <v>1</v>
      </c>
      <c r="J704" s="632"/>
      <c r="K704" s="3183">
        <f t="shared" si="119"/>
        <v>1</v>
      </c>
      <c r="L704" s="632"/>
      <c r="M704" s="3183">
        <f t="shared" si="120"/>
        <v>1</v>
      </c>
      <c r="N704" s="632"/>
      <c r="O704" s="3183">
        <f t="shared" si="121"/>
        <v>1</v>
      </c>
      <c r="P704" s="632"/>
      <c r="Q704" s="3183">
        <f t="shared" si="122"/>
        <v>1</v>
      </c>
      <c r="R704" s="3183">
        <f t="shared" si="123"/>
        <v>162430</v>
      </c>
      <c r="S704" s="902">
        <f t="shared" si="124"/>
        <v>530</v>
      </c>
    </row>
    <row r="705" spans="1:19">
      <c r="A705" s="3180">
        <f>面积!B1360</f>
        <v>-1687</v>
      </c>
      <c r="B705" s="3181">
        <f>面积!C1360</f>
        <v>32.61</v>
      </c>
      <c r="C705" s="3183">
        <f t="shared" si="115"/>
        <v>1</v>
      </c>
      <c r="D705" s="632"/>
      <c r="E705" s="3183">
        <f t="shared" si="116"/>
        <v>1</v>
      </c>
      <c r="F705" s="632"/>
      <c r="G705" s="3183">
        <f t="shared" si="117"/>
        <v>1</v>
      </c>
      <c r="H705" s="632"/>
      <c r="I705" s="3183">
        <f t="shared" si="118"/>
        <v>1</v>
      </c>
      <c r="J705" s="632"/>
      <c r="K705" s="3183">
        <f t="shared" si="119"/>
        <v>1</v>
      </c>
      <c r="L705" s="632"/>
      <c r="M705" s="3183">
        <f t="shared" si="120"/>
        <v>1</v>
      </c>
      <c r="N705" s="632"/>
      <c r="O705" s="3183">
        <f t="shared" si="121"/>
        <v>1</v>
      </c>
      <c r="P705" s="632"/>
      <c r="Q705" s="3183">
        <f t="shared" si="122"/>
        <v>1</v>
      </c>
      <c r="R705" s="3183">
        <f t="shared" si="123"/>
        <v>162430</v>
      </c>
      <c r="S705" s="902">
        <f t="shared" si="124"/>
        <v>530</v>
      </c>
    </row>
    <row r="706" spans="1:19">
      <c r="A706" s="3180">
        <f>面积!B1361</f>
        <v>-1688</v>
      </c>
      <c r="B706" s="3181">
        <f>面积!C1361</f>
        <v>32.61</v>
      </c>
      <c r="C706" s="3183">
        <f t="shared" si="115"/>
        <v>1</v>
      </c>
      <c r="D706" s="632"/>
      <c r="E706" s="3183">
        <f t="shared" si="116"/>
        <v>1</v>
      </c>
      <c r="F706" s="632"/>
      <c r="G706" s="3183">
        <f t="shared" si="117"/>
        <v>1</v>
      </c>
      <c r="H706" s="632"/>
      <c r="I706" s="3183">
        <f t="shared" si="118"/>
        <v>1</v>
      </c>
      <c r="J706" s="632"/>
      <c r="K706" s="3183">
        <f t="shared" si="119"/>
        <v>1</v>
      </c>
      <c r="L706" s="632"/>
      <c r="M706" s="3183">
        <f t="shared" si="120"/>
        <v>1</v>
      </c>
      <c r="N706" s="632"/>
      <c r="O706" s="3183">
        <f t="shared" si="121"/>
        <v>1</v>
      </c>
      <c r="P706" s="632"/>
      <c r="Q706" s="3183">
        <f t="shared" si="122"/>
        <v>1</v>
      </c>
      <c r="R706" s="3183">
        <f t="shared" si="123"/>
        <v>162430</v>
      </c>
      <c r="S706" s="902">
        <f t="shared" si="124"/>
        <v>530</v>
      </c>
    </row>
    <row r="707" spans="1:19">
      <c r="A707" s="3180">
        <f>面积!B1362</f>
        <v>-1689</v>
      </c>
      <c r="B707" s="3181">
        <f>面积!C1362</f>
        <v>32.61</v>
      </c>
      <c r="C707" s="3183">
        <f t="shared" si="115"/>
        <v>1</v>
      </c>
      <c r="D707" s="632"/>
      <c r="E707" s="3183">
        <f t="shared" si="116"/>
        <v>1</v>
      </c>
      <c r="F707" s="632"/>
      <c r="G707" s="3183">
        <f t="shared" si="117"/>
        <v>1</v>
      </c>
      <c r="H707" s="632"/>
      <c r="I707" s="3183">
        <f t="shared" si="118"/>
        <v>1</v>
      </c>
      <c r="J707" s="632"/>
      <c r="K707" s="3183">
        <f t="shared" si="119"/>
        <v>1</v>
      </c>
      <c r="L707" s="632"/>
      <c r="M707" s="3183">
        <f t="shared" si="120"/>
        <v>1</v>
      </c>
      <c r="N707" s="632"/>
      <c r="O707" s="3183">
        <f t="shared" si="121"/>
        <v>1</v>
      </c>
      <c r="P707" s="632"/>
      <c r="Q707" s="3183">
        <f t="shared" si="122"/>
        <v>1</v>
      </c>
      <c r="R707" s="3183">
        <f t="shared" si="123"/>
        <v>162430</v>
      </c>
      <c r="S707" s="902">
        <f t="shared" si="124"/>
        <v>530</v>
      </c>
    </row>
    <row r="708" spans="1:19">
      <c r="A708" s="3180">
        <f>面积!B1363</f>
        <v>-1690</v>
      </c>
      <c r="B708" s="3181">
        <f>面积!C1363</f>
        <v>32.61</v>
      </c>
      <c r="C708" s="3183">
        <f t="shared" si="115"/>
        <v>1</v>
      </c>
      <c r="D708" s="632"/>
      <c r="E708" s="3183">
        <f t="shared" si="116"/>
        <v>1</v>
      </c>
      <c r="F708" s="632"/>
      <c r="G708" s="3183">
        <f t="shared" si="117"/>
        <v>1</v>
      </c>
      <c r="H708" s="632"/>
      <c r="I708" s="3183">
        <f t="shared" si="118"/>
        <v>1</v>
      </c>
      <c r="J708" s="632"/>
      <c r="K708" s="3183">
        <f t="shared" si="119"/>
        <v>1</v>
      </c>
      <c r="L708" s="632"/>
      <c r="M708" s="3183">
        <f t="shared" si="120"/>
        <v>1</v>
      </c>
      <c r="N708" s="632"/>
      <c r="O708" s="3183">
        <f t="shared" si="121"/>
        <v>1</v>
      </c>
      <c r="P708" s="632"/>
      <c r="Q708" s="3183">
        <f t="shared" si="122"/>
        <v>1</v>
      </c>
      <c r="R708" s="3183">
        <f t="shared" si="123"/>
        <v>162430</v>
      </c>
      <c r="S708" s="902">
        <f t="shared" si="124"/>
        <v>530</v>
      </c>
    </row>
    <row r="709" spans="1:19">
      <c r="A709" s="3180">
        <f>面积!B1364</f>
        <v>-1691</v>
      </c>
      <c r="B709" s="3181">
        <f>面积!C1364</f>
        <v>32.61</v>
      </c>
      <c r="C709" s="3183">
        <f t="shared" si="115"/>
        <v>1</v>
      </c>
      <c r="D709" s="632"/>
      <c r="E709" s="3183">
        <f t="shared" si="116"/>
        <v>1</v>
      </c>
      <c r="F709" s="632"/>
      <c r="G709" s="3183">
        <f t="shared" si="117"/>
        <v>1</v>
      </c>
      <c r="H709" s="632"/>
      <c r="I709" s="3183">
        <f t="shared" si="118"/>
        <v>1</v>
      </c>
      <c r="J709" s="632"/>
      <c r="K709" s="3183">
        <f t="shared" si="119"/>
        <v>1</v>
      </c>
      <c r="L709" s="632"/>
      <c r="M709" s="3183">
        <f t="shared" si="120"/>
        <v>1</v>
      </c>
      <c r="N709" s="632"/>
      <c r="O709" s="3183">
        <f t="shared" si="121"/>
        <v>1</v>
      </c>
      <c r="P709" s="632"/>
      <c r="Q709" s="3183">
        <f t="shared" si="122"/>
        <v>1</v>
      </c>
      <c r="R709" s="3183">
        <f t="shared" si="123"/>
        <v>162430</v>
      </c>
      <c r="S709" s="902">
        <f t="shared" si="124"/>
        <v>530</v>
      </c>
    </row>
    <row r="710" spans="1:19">
      <c r="A710" s="3180">
        <f>面积!B1365</f>
        <v>-1692</v>
      </c>
      <c r="B710" s="3181">
        <f>面积!C1365</f>
        <v>32.61</v>
      </c>
      <c r="C710" s="3183">
        <f t="shared" si="115"/>
        <v>1</v>
      </c>
      <c r="D710" s="632"/>
      <c r="E710" s="3183">
        <f t="shared" si="116"/>
        <v>1</v>
      </c>
      <c r="F710" s="632"/>
      <c r="G710" s="3183">
        <f t="shared" si="117"/>
        <v>1</v>
      </c>
      <c r="H710" s="632"/>
      <c r="I710" s="3183">
        <f t="shared" si="118"/>
        <v>1</v>
      </c>
      <c r="J710" s="632"/>
      <c r="K710" s="3183">
        <f t="shared" si="119"/>
        <v>1</v>
      </c>
      <c r="L710" s="632"/>
      <c r="M710" s="3183">
        <f t="shared" si="120"/>
        <v>1</v>
      </c>
      <c r="N710" s="632"/>
      <c r="O710" s="3183">
        <f t="shared" si="121"/>
        <v>1</v>
      </c>
      <c r="P710" s="632"/>
      <c r="Q710" s="3183">
        <f t="shared" si="122"/>
        <v>1</v>
      </c>
      <c r="R710" s="3183">
        <f t="shared" si="123"/>
        <v>162430</v>
      </c>
      <c r="S710" s="902">
        <f t="shared" si="124"/>
        <v>530</v>
      </c>
    </row>
    <row r="711" spans="1:19">
      <c r="A711" s="3180">
        <f>面积!B1366</f>
        <v>-1693</v>
      </c>
      <c r="B711" s="3181">
        <f>面积!C1366</f>
        <v>32.61</v>
      </c>
      <c r="C711" s="3183">
        <f t="shared" si="115"/>
        <v>1</v>
      </c>
      <c r="D711" s="632"/>
      <c r="E711" s="3183">
        <f t="shared" si="116"/>
        <v>1</v>
      </c>
      <c r="F711" s="632"/>
      <c r="G711" s="3183">
        <f t="shared" si="117"/>
        <v>1</v>
      </c>
      <c r="H711" s="632"/>
      <c r="I711" s="3183">
        <f t="shared" si="118"/>
        <v>1</v>
      </c>
      <c r="J711" s="632"/>
      <c r="K711" s="3183">
        <f t="shared" si="119"/>
        <v>1</v>
      </c>
      <c r="L711" s="632"/>
      <c r="M711" s="3183">
        <f t="shared" si="120"/>
        <v>1</v>
      </c>
      <c r="N711" s="632"/>
      <c r="O711" s="3183">
        <f t="shared" si="121"/>
        <v>1</v>
      </c>
      <c r="P711" s="632"/>
      <c r="Q711" s="3183">
        <f t="shared" si="122"/>
        <v>1</v>
      </c>
      <c r="R711" s="3183">
        <f t="shared" si="123"/>
        <v>162430</v>
      </c>
      <c r="S711" s="902">
        <f t="shared" si="124"/>
        <v>530</v>
      </c>
    </row>
    <row r="712" spans="1:19">
      <c r="A712" s="3180">
        <f>面积!B1367</f>
        <v>-1694</v>
      </c>
      <c r="B712" s="3181">
        <f>面积!C1367</f>
        <v>32.61</v>
      </c>
      <c r="C712" s="3183">
        <f t="shared" si="115"/>
        <v>1</v>
      </c>
      <c r="D712" s="632"/>
      <c r="E712" s="3183">
        <f t="shared" si="116"/>
        <v>1</v>
      </c>
      <c r="F712" s="632"/>
      <c r="G712" s="3183">
        <f t="shared" si="117"/>
        <v>1</v>
      </c>
      <c r="H712" s="632"/>
      <c r="I712" s="3183">
        <f t="shared" si="118"/>
        <v>1</v>
      </c>
      <c r="J712" s="632"/>
      <c r="K712" s="3183">
        <f t="shared" si="119"/>
        <v>1</v>
      </c>
      <c r="L712" s="632"/>
      <c r="M712" s="3183">
        <f t="shared" si="120"/>
        <v>1</v>
      </c>
      <c r="N712" s="632"/>
      <c r="O712" s="3183">
        <f t="shared" si="121"/>
        <v>1</v>
      </c>
      <c r="P712" s="632"/>
      <c r="Q712" s="3183">
        <f t="shared" si="122"/>
        <v>1</v>
      </c>
      <c r="R712" s="3183">
        <f t="shared" si="123"/>
        <v>162430</v>
      </c>
      <c r="S712" s="902">
        <f t="shared" si="124"/>
        <v>530</v>
      </c>
    </row>
    <row r="713" spans="1:19">
      <c r="A713" s="3180">
        <f>面积!B1368</f>
        <v>-1695</v>
      </c>
      <c r="B713" s="3181">
        <f>面积!C1368</f>
        <v>32.61</v>
      </c>
      <c r="C713" s="3183">
        <f t="shared" si="115"/>
        <v>1</v>
      </c>
      <c r="D713" s="632"/>
      <c r="E713" s="3183">
        <f t="shared" si="116"/>
        <v>1</v>
      </c>
      <c r="F713" s="632"/>
      <c r="G713" s="3183">
        <f t="shared" si="117"/>
        <v>1</v>
      </c>
      <c r="H713" s="632"/>
      <c r="I713" s="3183">
        <f t="shared" si="118"/>
        <v>1</v>
      </c>
      <c r="J713" s="632"/>
      <c r="K713" s="3183">
        <f t="shared" si="119"/>
        <v>1</v>
      </c>
      <c r="L713" s="632"/>
      <c r="M713" s="3183">
        <f t="shared" si="120"/>
        <v>1</v>
      </c>
      <c r="N713" s="632"/>
      <c r="O713" s="3183">
        <f t="shared" si="121"/>
        <v>1</v>
      </c>
      <c r="P713" s="632"/>
      <c r="Q713" s="3183">
        <f t="shared" si="122"/>
        <v>1</v>
      </c>
      <c r="R713" s="3183">
        <f t="shared" si="123"/>
        <v>162430</v>
      </c>
      <c r="S713" s="902">
        <f t="shared" si="124"/>
        <v>530</v>
      </c>
    </row>
    <row r="714" spans="1:19">
      <c r="A714" s="3180">
        <f>面积!B1369</f>
        <v>-1696</v>
      </c>
      <c r="B714" s="3181">
        <f>面积!C1369</f>
        <v>32.61</v>
      </c>
      <c r="C714" s="3183">
        <f t="shared" si="115"/>
        <v>1</v>
      </c>
      <c r="D714" s="632"/>
      <c r="E714" s="3183">
        <f t="shared" si="116"/>
        <v>1</v>
      </c>
      <c r="F714" s="632"/>
      <c r="G714" s="3183">
        <f t="shared" si="117"/>
        <v>1</v>
      </c>
      <c r="H714" s="632"/>
      <c r="I714" s="3183">
        <f t="shared" si="118"/>
        <v>1</v>
      </c>
      <c r="J714" s="632"/>
      <c r="K714" s="3183">
        <f t="shared" si="119"/>
        <v>1</v>
      </c>
      <c r="L714" s="632"/>
      <c r="M714" s="3183">
        <f t="shared" si="120"/>
        <v>1</v>
      </c>
      <c r="N714" s="632"/>
      <c r="O714" s="3183">
        <f t="shared" si="121"/>
        <v>1</v>
      </c>
      <c r="P714" s="632"/>
      <c r="Q714" s="3183">
        <f t="shared" si="122"/>
        <v>1</v>
      </c>
      <c r="R714" s="3183">
        <f t="shared" si="123"/>
        <v>162430</v>
      </c>
      <c r="S714" s="902">
        <f t="shared" si="124"/>
        <v>530</v>
      </c>
    </row>
    <row r="715" spans="1:19">
      <c r="A715" s="3180">
        <f>面积!B1370</f>
        <v>-1697</v>
      </c>
      <c r="B715" s="3181">
        <f>面积!C1370</f>
        <v>32.61</v>
      </c>
      <c r="C715" s="3183">
        <f t="shared" si="115"/>
        <v>1</v>
      </c>
      <c r="D715" s="632"/>
      <c r="E715" s="3183">
        <f t="shared" si="116"/>
        <v>1</v>
      </c>
      <c r="F715" s="632"/>
      <c r="G715" s="3183">
        <f t="shared" si="117"/>
        <v>1</v>
      </c>
      <c r="H715" s="632"/>
      <c r="I715" s="3183">
        <f t="shared" si="118"/>
        <v>1</v>
      </c>
      <c r="J715" s="632"/>
      <c r="K715" s="3183">
        <f t="shared" si="119"/>
        <v>1</v>
      </c>
      <c r="L715" s="632"/>
      <c r="M715" s="3183">
        <f t="shared" si="120"/>
        <v>1</v>
      </c>
      <c r="N715" s="632"/>
      <c r="O715" s="3183">
        <f t="shared" si="121"/>
        <v>1</v>
      </c>
      <c r="P715" s="632"/>
      <c r="Q715" s="3183">
        <f t="shared" si="122"/>
        <v>1</v>
      </c>
      <c r="R715" s="3183">
        <f t="shared" si="123"/>
        <v>162430</v>
      </c>
      <c r="S715" s="902">
        <f t="shared" si="124"/>
        <v>530</v>
      </c>
    </row>
    <row r="716" spans="1:19">
      <c r="A716" s="3180">
        <f>面积!B1371</f>
        <v>-1698</v>
      </c>
      <c r="B716" s="3181">
        <f>面积!C1371</f>
        <v>32.61</v>
      </c>
      <c r="C716" s="3183">
        <f t="shared" si="115"/>
        <v>1</v>
      </c>
      <c r="D716" s="632"/>
      <c r="E716" s="3183">
        <f t="shared" si="116"/>
        <v>1</v>
      </c>
      <c r="F716" s="632"/>
      <c r="G716" s="3183">
        <f t="shared" si="117"/>
        <v>1</v>
      </c>
      <c r="H716" s="632"/>
      <c r="I716" s="3183">
        <f t="shared" si="118"/>
        <v>1</v>
      </c>
      <c r="J716" s="632"/>
      <c r="K716" s="3183">
        <f t="shared" si="119"/>
        <v>1</v>
      </c>
      <c r="L716" s="632"/>
      <c r="M716" s="3183">
        <f t="shared" si="120"/>
        <v>1</v>
      </c>
      <c r="N716" s="632"/>
      <c r="O716" s="3183">
        <f t="shared" si="121"/>
        <v>1</v>
      </c>
      <c r="P716" s="632"/>
      <c r="Q716" s="3183">
        <f t="shared" si="122"/>
        <v>1</v>
      </c>
      <c r="R716" s="3183">
        <f t="shared" si="123"/>
        <v>162430</v>
      </c>
      <c r="S716" s="902">
        <f t="shared" si="124"/>
        <v>530</v>
      </c>
    </row>
    <row r="717" spans="1:19">
      <c r="A717" s="3180">
        <f>面积!B1372</f>
        <v>-1699</v>
      </c>
      <c r="B717" s="3181">
        <f>面积!C1372</f>
        <v>32.61</v>
      </c>
      <c r="C717" s="3183">
        <f t="shared" ref="C717:C780" si="125">IF(B717="",1,(LOOKUP(B717,$3:$3,$4:$4)-LOOKUP($B$24,$3:$3,$4:$4)+100)/100)</f>
        <v>1</v>
      </c>
      <c r="D717" s="632"/>
      <c r="E717" s="3183">
        <f t="shared" ref="E717:E780" si="126">(SUMIF($5:$5,D717,$6:$6)-SUMIF($5:$5,$D$24,$6:$6)+100)/100</f>
        <v>1</v>
      </c>
      <c r="F717" s="632"/>
      <c r="G717" s="3183">
        <f t="shared" ref="G717:G780" si="127">(SUMIF($7:$7,F717,$8:$8)-SUMIF($7:$7,$F$24,$8:$8)+100)/100</f>
        <v>1</v>
      </c>
      <c r="H717" s="632"/>
      <c r="I717" s="3183">
        <f t="shared" ref="I717:I780" si="128">(SUMIF($9:$9,H717,$10:$10)-SUMIF($9:$9,$H$24,$10:$10)+100)/100</f>
        <v>1</v>
      </c>
      <c r="J717" s="632"/>
      <c r="K717" s="3183">
        <f t="shared" ref="K717:K780" si="129">(SUMIF($11:$11,J717,$12:$12)-SUMIF($11:$11,$J$24,$12:$12)+100)/100</f>
        <v>1</v>
      </c>
      <c r="L717" s="632"/>
      <c r="M717" s="3183">
        <f t="shared" ref="M717:M780" si="130">(SUMIF($13:$13,L717,$14:$14)-SUMIF($13:$13,$L$24,$14:$14)+100)/100</f>
        <v>1</v>
      </c>
      <c r="N717" s="632"/>
      <c r="O717" s="3183">
        <f t="shared" ref="O717:O780" si="131">(SUMIF($15:$15,N717,$16:$16)-SUMIF($15:$15,$N$24,$16:$16)+100)/100</f>
        <v>1</v>
      </c>
      <c r="P717" s="632"/>
      <c r="Q717" s="3183">
        <f t="shared" ref="Q717:Q780" si="132">(SUMIF($17:$17,P717,$18:$18)-SUMIF($17:$17,$P$24,$18:$18)+100)/100</f>
        <v>1</v>
      </c>
      <c r="R717" s="3183">
        <f t="shared" ref="R717:R780" si="133">IF(B717="",0,ROUND($R$24*C717*E717*G717*I717*K717*M717*O717*Q717,0))</f>
        <v>162430</v>
      </c>
      <c r="S717" s="902">
        <f t="shared" ref="S717:S780" si="134">ROUND(R717*B717/10000,0)</f>
        <v>530</v>
      </c>
    </row>
    <row r="718" spans="1:19">
      <c r="A718" s="3180">
        <f>面积!B1373</f>
        <v>-1700</v>
      </c>
      <c r="B718" s="3181">
        <f>面积!C1373</f>
        <v>32.61</v>
      </c>
      <c r="C718" s="3183">
        <f t="shared" si="125"/>
        <v>1</v>
      </c>
      <c r="D718" s="632"/>
      <c r="E718" s="3183">
        <f t="shared" si="126"/>
        <v>1</v>
      </c>
      <c r="F718" s="632"/>
      <c r="G718" s="3183">
        <f t="shared" si="127"/>
        <v>1</v>
      </c>
      <c r="H718" s="632"/>
      <c r="I718" s="3183">
        <f t="shared" si="128"/>
        <v>1</v>
      </c>
      <c r="J718" s="632"/>
      <c r="K718" s="3183">
        <f t="shared" si="129"/>
        <v>1</v>
      </c>
      <c r="L718" s="632"/>
      <c r="M718" s="3183">
        <f t="shared" si="130"/>
        <v>1</v>
      </c>
      <c r="N718" s="632"/>
      <c r="O718" s="3183">
        <f t="shared" si="131"/>
        <v>1</v>
      </c>
      <c r="P718" s="632"/>
      <c r="Q718" s="3183">
        <f t="shared" si="132"/>
        <v>1</v>
      </c>
      <c r="R718" s="3183">
        <f t="shared" si="133"/>
        <v>162430</v>
      </c>
      <c r="S718" s="902">
        <f t="shared" si="134"/>
        <v>530</v>
      </c>
    </row>
    <row r="719" spans="1:19">
      <c r="A719" s="3180">
        <f>面积!B1374</f>
        <v>-1701</v>
      </c>
      <c r="B719" s="3181">
        <f>面积!C1374</f>
        <v>32.61</v>
      </c>
      <c r="C719" s="3183">
        <f t="shared" si="125"/>
        <v>1</v>
      </c>
      <c r="D719" s="632"/>
      <c r="E719" s="3183">
        <f t="shared" si="126"/>
        <v>1</v>
      </c>
      <c r="F719" s="632"/>
      <c r="G719" s="3183">
        <f t="shared" si="127"/>
        <v>1</v>
      </c>
      <c r="H719" s="632"/>
      <c r="I719" s="3183">
        <f t="shared" si="128"/>
        <v>1</v>
      </c>
      <c r="J719" s="632"/>
      <c r="K719" s="3183">
        <f t="shared" si="129"/>
        <v>1</v>
      </c>
      <c r="L719" s="632"/>
      <c r="M719" s="3183">
        <f t="shared" si="130"/>
        <v>1</v>
      </c>
      <c r="N719" s="632"/>
      <c r="O719" s="3183">
        <f t="shared" si="131"/>
        <v>1</v>
      </c>
      <c r="P719" s="632"/>
      <c r="Q719" s="3183">
        <f t="shared" si="132"/>
        <v>1</v>
      </c>
      <c r="R719" s="3183">
        <f t="shared" si="133"/>
        <v>162430</v>
      </c>
      <c r="S719" s="902">
        <f t="shared" si="134"/>
        <v>530</v>
      </c>
    </row>
    <row r="720" spans="1:19">
      <c r="A720" s="3180">
        <f>面积!B1375</f>
        <v>-1702</v>
      </c>
      <c r="B720" s="3181">
        <f>面积!C1375</f>
        <v>32.61</v>
      </c>
      <c r="C720" s="3183">
        <f t="shared" si="125"/>
        <v>1</v>
      </c>
      <c r="D720" s="632"/>
      <c r="E720" s="3183">
        <f t="shared" si="126"/>
        <v>1</v>
      </c>
      <c r="F720" s="632"/>
      <c r="G720" s="3183">
        <f t="shared" si="127"/>
        <v>1</v>
      </c>
      <c r="H720" s="632"/>
      <c r="I720" s="3183">
        <f t="shared" si="128"/>
        <v>1</v>
      </c>
      <c r="J720" s="632"/>
      <c r="K720" s="3183">
        <f t="shared" si="129"/>
        <v>1</v>
      </c>
      <c r="L720" s="632"/>
      <c r="M720" s="3183">
        <f t="shared" si="130"/>
        <v>1</v>
      </c>
      <c r="N720" s="632"/>
      <c r="O720" s="3183">
        <f t="shared" si="131"/>
        <v>1</v>
      </c>
      <c r="P720" s="632"/>
      <c r="Q720" s="3183">
        <f t="shared" si="132"/>
        <v>1</v>
      </c>
      <c r="R720" s="3183">
        <f t="shared" si="133"/>
        <v>162430</v>
      </c>
      <c r="S720" s="902">
        <f t="shared" si="134"/>
        <v>530</v>
      </c>
    </row>
    <row r="721" spans="1:19">
      <c r="A721" s="3180">
        <f>面积!B1376</f>
        <v>-1703</v>
      </c>
      <c r="B721" s="3181">
        <f>面积!C1376</f>
        <v>32.61</v>
      </c>
      <c r="C721" s="3183">
        <f t="shared" si="125"/>
        <v>1</v>
      </c>
      <c r="D721" s="632"/>
      <c r="E721" s="3183">
        <f t="shared" si="126"/>
        <v>1</v>
      </c>
      <c r="F721" s="632"/>
      <c r="G721" s="3183">
        <f t="shared" si="127"/>
        <v>1</v>
      </c>
      <c r="H721" s="632"/>
      <c r="I721" s="3183">
        <f t="shared" si="128"/>
        <v>1</v>
      </c>
      <c r="J721" s="632"/>
      <c r="K721" s="3183">
        <f t="shared" si="129"/>
        <v>1</v>
      </c>
      <c r="L721" s="632"/>
      <c r="M721" s="3183">
        <f t="shared" si="130"/>
        <v>1</v>
      </c>
      <c r="N721" s="632"/>
      <c r="O721" s="3183">
        <f t="shared" si="131"/>
        <v>1</v>
      </c>
      <c r="P721" s="632"/>
      <c r="Q721" s="3183">
        <f t="shared" si="132"/>
        <v>1</v>
      </c>
      <c r="R721" s="3183">
        <f t="shared" si="133"/>
        <v>162430</v>
      </c>
      <c r="S721" s="902">
        <f t="shared" si="134"/>
        <v>530</v>
      </c>
    </row>
    <row r="722" spans="1:19">
      <c r="A722" s="3180">
        <f>面积!B1377</f>
        <v>-1704</v>
      </c>
      <c r="B722" s="3181">
        <f>面积!C1377</f>
        <v>32.61</v>
      </c>
      <c r="C722" s="3183">
        <f t="shared" si="125"/>
        <v>1</v>
      </c>
      <c r="D722" s="632"/>
      <c r="E722" s="3183">
        <f t="shared" si="126"/>
        <v>1</v>
      </c>
      <c r="F722" s="632"/>
      <c r="G722" s="3183">
        <f t="shared" si="127"/>
        <v>1</v>
      </c>
      <c r="H722" s="632"/>
      <c r="I722" s="3183">
        <f t="shared" si="128"/>
        <v>1</v>
      </c>
      <c r="J722" s="632"/>
      <c r="K722" s="3183">
        <f t="shared" si="129"/>
        <v>1</v>
      </c>
      <c r="L722" s="632"/>
      <c r="M722" s="3183">
        <f t="shared" si="130"/>
        <v>1</v>
      </c>
      <c r="N722" s="632"/>
      <c r="O722" s="3183">
        <f t="shared" si="131"/>
        <v>1</v>
      </c>
      <c r="P722" s="632"/>
      <c r="Q722" s="3183">
        <f t="shared" si="132"/>
        <v>1</v>
      </c>
      <c r="R722" s="3183">
        <f t="shared" si="133"/>
        <v>162430</v>
      </c>
      <c r="S722" s="902">
        <f t="shared" si="134"/>
        <v>530</v>
      </c>
    </row>
    <row r="723" spans="1:19">
      <c r="A723" s="3180">
        <f>面积!B1378</f>
        <v>-1705</v>
      </c>
      <c r="B723" s="3181">
        <f>面积!C1378</f>
        <v>32.61</v>
      </c>
      <c r="C723" s="3183">
        <f t="shared" si="125"/>
        <v>1</v>
      </c>
      <c r="D723" s="632"/>
      <c r="E723" s="3183">
        <f t="shared" si="126"/>
        <v>1</v>
      </c>
      <c r="F723" s="632"/>
      <c r="G723" s="3183">
        <f t="shared" si="127"/>
        <v>1</v>
      </c>
      <c r="H723" s="632"/>
      <c r="I723" s="3183">
        <f t="shared" si="128"/>
        <v>1</v>
      </c>
      <c r="J723" s="632"/>
      <c r="K723" s="3183">
        <f t="shared" si="129"/>
        <v>1</v>
      </c>
      <c r="L723" s="632"/>
      <c r="M723" s="3183">
        <f t="shared" si="130"/>
        <v>1</v>
      </c>
      <c r="N723" s="632"/>
      <c r="O723" s="3183">
        <f t="shared" si="131"/>
        <v>1</v>
      </c>
      <c r="P723" s="632"/>
      <c r="Q723" s="3183">
        <f t="shared" si="132"/>
        <v>1</v>
      </c>
      <c r="R723" s="3183">
        <f t="shared" si="133"/>
        <v>162430</v>
      </c>
      <c r="S723" s="902">
        <f t="shared" si="134"/>
        <v>530</v>
      </c>
    </row>
    <row r="724" spans="1:19">
      <c r="A724" s="3180">
        <f>面积!B1379</f>
        <v>-1706</v>
      </c>
      <c r="B724" s="3181">
        <f>面积!C1379</f>
        <v>32.61</v>
      </c>
      <c r="C724" s="3183">
        <f t="shared" si="125"/>
        <v>1</v>
      </c>
      <c r="D724" s="632"/>
      <c r="E724" s="3183">
        <f t="shared" si="126"/>
        <v>1</v>
      </c>
      <c r="F724" s="632"/>
      <c r="G724" s="3183">
        <f t="shared" si="127"/>
        <v>1</v>
      </c>
      <c r="H724" s="632"/>
      <c r="I724" s="3183">
        <f t="shared" si="128"/>
        <v>1</v>
      </c>
      <c r="J724" s="632"/>
      <c r="K724" s="3183">
        <f t="shared" si="129"/>
        <v>1</v>
      </c>
      <c r="L724" s="632"/>
      <c r="M724" s="3183">
        <f t="shared" si="130"/>
        <v>1</v>
      </c>
      <c r="N724" s="632"/>
      <c r="O724" s="3183">
        <f t="shared" si="131"/>
        <v>1</v>
      </c>
      <c r="P724" s="632"/>
      <c r="Q724" s="3183">
        <f t="shared" si="132"/>
        <v>1</v>
      </c>
      <c r="R724" s="3183">
        <f t="shared" si="133"/>
        <v>162430</v>
      </c>
      <c r="S724" s="902">
        <f t="shared" si="134"/>
        <v>530</v>
      </c>
    </row>
    <row r="725" spans="1:19">
      <c r="A725" s="3180">
        <f>面积!B1380</f>
        <v>-1707</v>
      </c>
      <c r="B725" s="3181">
        <f>面积!C1380</f>
        <v>32.61</v>
      </c>
      <c r="C725" s="3183">
        <f t="shared" si="125"/>
        <v>1</v>
      </c>
      <c r="D725" s="632"/>
      <c r="E725" s="3183">
        <f t="shared" si="126"/>
        <v>1</v>
      </c>
      <c r="F725" s="632"/>
      <c r="G725" s="3183">
        <f t="shared" si="127"/>
        <v>1</v>
      </c>
      <c r="H725" s="632"/>
      <c r="I725" s="3183">
        <f t="shared" si="128"/>
        <v>1</v>
      </c>
      <c r="J725" s="632"/>
      <c r="K725" s="3183">
        <f t="shared" si="129"/>
        <v>1</v>
      </c>
      <c r="L725" s="632"/>
      <c r="M725" s="3183">
        <f t="shared" si="130"/>
        <v>1</v>
      </c>
      <c r="N725" s="632"/>
      <c r="O725" s="3183">
        <f t="shared" si="131"/>
        <v>1</v>
      </c>
      <c r="P725" s="632"/>
      <c r="Q725" s="3183">
        <f t="shared" si="132"/>
        <v>1</v>
      </c>
      <c r="R725" s="3183">
        <f t="shared" si="133"/>
        <v>162430</v>
      </c>
      <c r="S725" s="902">
        <f t="shared" si="134"/>
        <v>530</v>
      </c>
    </row>
    <row r="726" spans="1:19">
      <c r="A726" s="3180">
        <f>面积!B1381</f>
        <v>-1708</v>
      </c>
      <c r="B726" s="3181">
        <f>面积!C1381</f>
        <v>32.61</v>
      </c>
      <c r="C726" s="3183">
        <f t="shared" si="125"/>
        <v>1</v>
      </c>
      <c r="D726" s="632"/>
      <c r="E726" s="3183">
        <f t="shared" si="126"/>
        <v>1</v>
      </c>
      <c r="F726" s="632"/>
      <c r="G726" s="3183">
        <f t="shared" si="127"/>
        <v>1</v>
      </c>
      <c r="H726" s="632"/>
      <c r="I726" s="3183">
        <f t="shared" si="128"/>
        <v>1</v>
      </c>
      <c r="J726" s="632"/>
      <c r="K726" s="3183">
        <f t="shared" si="129"/>
        <v>1</v>
      </c>
      <c r="L726" s="632"/>
      <c r="M726" s="3183">
        <f t="shared" si="130"/>
        <v>1</v>
      </c>
      <c r="N726" s="632"/>
      <c r="O726" s="3183">
        <f t="shared" si="131"/>
        <v>1</v>
      </c>
      <c r="P726" s="632"/>
      <c r="Q726" s="3183">
        <f t="shared" si="132"/>
        <v>1</v>
      </c>
      <c r="R726" s="3183">
        <f t="shared" si="133"/>
        <v>162430</v>
      </c>
      <c r="S726" s="902">
        <f t="shared" si="134"/>
        <v>530</v>
      </c>
    </row>
    <row r="727" spans="1:19">
      <c r="A727" s="3180">
        <f>面积!B1382</f>
        <v>-1709</v>
      </c>
      <c r="B727" s="3181">
        <f>面积!C1382</f>
        <v>32.61</v>
      </c>
      <c r="C727" s="3183">
        <f t="shared" si="125"/>
        <v>1</v>
      </c>
      <c r="D727" s="632"/>
      <c r="E727" s="3183">
        <f t="shared" si="126"/>
        <v>1</v>
      </c>
      <c r="F727" s="632"/>
      <c r="G727" s="3183">
        <f t="shared" si="127"/>
        <v>1</v>
      </c>
      <c r="H727" s="632"/>
      <c r="I727" s="3183">
        <f t="shared" si="128"/>
        <v>1</v>
      </c>
      <c r="J727" s="632"/>
      <c r="K727" s="3183">
        <f t="shared" si="129"/>
        <v>1</v>
      </c>
      <c r="L727" s="632"/>
      <c r="M727" s="3183">
        <f t="shared" si="130"/>
        <v>1</v>
      </c>
      <c r="N727" s="632"/>
      <c r="O727" s="3183">
        <f t="shared" si="131"/>
        <v>1</v>
      </c>
      <c r="P727" s="632"/>
      <c r="Q727" s="3183">
        <f t="shared" si="132"/>
        <v>1</v>
      </c>
      <c r="R727" s="3183">
        <f t="shared" si="133"/>
        <v>162430</v>
      </c>
      <c r="S727" s="902">
        <f t="shared" si="134"/>
        <v>530</v>
      </c>
    </row>
    <row r="728" spans="1:19">
      <c r="A728" s="3180">
        <f>面积!B1383</f>
        <v>-1710</v>
      </c>
      <c r="B728" s="3181">
        <f>面积!C1383</f>
        <v>32.61</v>
      </c>
      <c r="C728" s="3183">
        <f t="shared" si="125"/>
        <v>1</v>
      </c>
      <c r="D728" s="632"/>
      <c r="E728" s="3183">
        <f t="shared" si="126"/>
        <v>1</v>
      </c>
      <c r="F728" s="632"/>
      <c r="G728" s="3183">
        <f t="shared" si="127"/>
        <v>1</v>
      </c>
      <c r="H728" s="632"/>
      <c r="I728" s="3183">
        <f t="shared" si="128"/>
        <v>1</v>
      </c>
      <c r="J728" s="632"/>
      <c r="K728" s="3183">
        <f t="shared" si="129"/>
        <v>1</v>
      </c>
      <c r="L728" s="632"/>
      <c r="M728" s="3183">
        <f t="shared" si="130"/>
        <v>1</v>
      </c>
      <c r="N728" s="632"/>
      <c r="O728" s="3183">
        <f t="shared" si="131"/>
        <v>1</v>
      </c>
      <c r="P728" s="632"/>
      <c r="Q728" s="3183">
        <f t="shared" si="132"/>
        <v>1</v>
      </c>
      <c r="R728" s="3183">
        <f t="shared" si="133"/>
        <v>162430</v>
      </c>
      <c r="S728" s="902">
        <f t="shared" si="134"/>
        <v>530</v>
      </c>
    </row>
    <row r="729" spans="1:19">
      <c r="A729" s="3180">
        <f>面积!B1384</f>
        <v>-1711</v>
      </c>
      <c r="B729" s="3181">
        <f>面积!C1384</f>
        <v>32.61</v>
      </c>
      <c r="C729" s="3183">
        <f t="shared" si="125"/>
        <v>1</v>
      </c>
      <c r="D729" s="632"/>
      <c r="E729" s="3183">
        <f t="shared" si="126"/>
        <v>1</v>
      </c>
      <c r="F729" s="632"/>
      <c r="G729" s="3183">
        <f t="shared" si="127"/>
        <v>1</v>
      </c>
      <c r="H729" s="632"/>
      <c r="I729" s="3183">
        <f t="shared" si="128"/>
        <v>1</v>
      </c>
      <c r="J729" s="632"/>
      <c r="K729" s="3183">
        <f t="shared" si="129"/>
        <v>1</v>
      </c>
      <c r="L729" s="632"/>
      <c r="M729" s="3183">
        <f t="shared" si="130"/>
        <v>1</v>
      </c>
      <c r="N729" s="632"/>
      <c r="O729" s="3183">
        <f t="shared" si="131"/>
        <v>1</v>
      </c>
      <c r="P729" s="632"/>
      <c r="Q729" s="3183">
        <f t="shared" si="132"/>
        <v>1</v>
      </c>
      <c r="R729" s="3183">
        <f t="shared" si="133"/>
        <v>162430</v>
      </c>
      <c r="S729" s="902">
        <f t="shared" si="134"/>
        <v>530</v>
      </c>
    </row>
    <row r="730" spans="1:19">
      <c r="A730" s="3180">
        <f>面积!B1385</f>
        <v>-1712</v>
      </c>
      <c r="B730" s="3181">
        <f>面积!C1385</f>
        <v>32.61</v>
      </c>
      <c r="C730" s="3183">
        <f t="shared" si="125"/>
        <v>1</v>
      </c>
      <c r="D730" s="632"/>
      <c r="E730" s="3183">
        <f t="shared" si="126"/>
        <v>1</v>
      </c>
      <c r="F730" s="632"/>
      <c r="G730" s="3183">
        <f t="shared" si="127"/>
        <v>1</v>
      </c>
      <c r="H730" s="632"/>
      <c r="I730" s="3183">
        <f t="shared" si="128"/>
        <v>1</v>
      </c>
      <c r="J730" s="632"/>
      <c r="K730" s="3183">
        <f t="shared" si="129"/>
        <v>1</v>
      </c>
      <c r="L730" s="632"/>
      <c r="M730" s="3183">
        <f t="shared" si="130"/>
        <v>1</v>
      </c>
      <c r="N730" s="632"/>
      <c r="O730" s="3183">
        <f t="shared" si="131"/>
        <v>1</v>
      </c>
      <c r="P730" s="632"/>
      <c r="Q730" s="3183">
        <f t="shared" si="132"/>
        <v>1</v>
      </c>
      <c r="R730" s="3183">
        <f t="shared" si="133"/>
        <v>162430</v>
      </c>
      <c r="S730" s="902">
        <f t="shared" si="134"/>
        <v>530</v>
      </c>
    </row>
    <row r="731" spans="1:19">
      <c r="A731" s="3180">
        <f>面积!B1386</f>
        <v>-1713</v>
      </c>
      <c r="B731" s="3181">
        <f>面积!C1386</f>
        <v>32.61</v>
      </c>
      <c r="C731" s="3183">
        <f t="shared" si="125"/>
        <v>1</v>
      </c>
      <c r="D731" s="632"/>
      <c r="E731" s="3183">
        <f t="shared" si="126"/>
        <v>1</v>
      </c>
      <c r="F731" s="632"/>
      <c r="G731" s="3183">
        <f t="shared" si="127"/>
        <v>1</v>
      </c>
      <c r="H731" s="632"/>
      <c r="I731" s="3183">
        <f t="shared" si="128"/>
        <v>1</v>
      </c>
      <c r="J731" s="632"/>
      <c r="K731" s="3183">
        <f t="shared" si="129"/>
        <v>1</v>
      </c>
      <c r="L731" s="632"/>
      <c r="M731" s="3183">
        <f t="shared" si="130"/>
        <v>1</v>
      </c>
      <c r="N731" s="632"/>
      <c r="O731" s="3183">
        <f t="shared" si="131"/>
        <v>1</v>
      </c>
      <c r="P731" s="632"/>
      <c r="Q731" s="3183">
        <f t="shared" si="132"/>
        <v>1</v>
      </c>
      <c r="R731" s="3183">
        <f t="shared" si="133"/>
        <v>162430</v>
      </c>
      <c r="S731" s="902">
        <f t="shared" si="134"/>
        <v>530</v>
      </c>
    </row>
    <row r="732" spans="1:19">
      <c r="A732" s="3180">
        <f>面积!B1387</f>
        <v>-1714</v>
      </c>
      <c r="B732" s="3181">
        <f>面积!C1387</f>
        <v>32.61</v>
      </c>
      <c r="C732" s="3183">
        <f t="shared" si="125"/>
        <v>1</v>
      </c>
      <c r="D732" s="632"/>
      <c r="E732" s="3183">
        <f t="shared" si="126"/>
        <v>1</v>
      </c>
      <c r="F732" s="632"/>
      <c r="G732" s="3183">
        <f t="shared" si="127"/>
        <v>1</v>
      </c>
      <c r="H732" s="632"/>
      <c r="I732" s="3183">
        <f t="shared" si="128"/>
        <v>1</v>
      </c>
      <c r="J732" s="632"/>
      <c r="K732" s="3183">
        <f t="shared" si="129"/>
        <v>1</v>
      </c>
      <c r="L732" s="632"/>
      <c r="M732" s="3183">
        <f t="shared" si="130"/>
        <v>1</v>
      </c>
      <c r="N732" s="632"/>
      <c r="O732" s="3183">
        <f t="shared" si="131"/>
        <v>1</v>
      </c>
      <c r="P732" s="632"/>
      <c r="Q732" s="3183">
        <f t="shared" si="132"/>
        <v>1</v>
      </c>
      <c r="R732" s="3183">
        <f t="shared" si="133"/>
        <v>162430</v>
      </c>
      <c r="S732" s="902">
        <f t="shared" si="134"/>
        <v>530</v>
      </c>
    </row>
    <row r="733" spans="1:19">
      <c r="A733" s="3180">
        <f>面积!B1388</f>
        <v>-1715</v>
      </c>
      <c r="B733" s="3181">
        <f>面积!C1388</f>
        <v>32.61</v>
      </c>
      <c r="C733" s="3183">
        <f t="shared" si="125"/>
        <v>1</v>
      </c>
      <c r="D733" s="632"/>
      <c r="E733" s="3183">
        <f t="shared" si="126"/>
        <v>1</v>
      </c>
      <c r="F733" s="632"/>
      <c r="G733" s="3183">
        <f t="shared" si="127"/>
        <v>1</v>
      </c>
      <c r="H733" s="632"/>
      <c r="I733" s="3183">
        <f t="shared" si="128"/>
        <v>1</v>
      </c>
      <c r="J733" s="632"/>
      <c r="K733" s="3183">
        <f t="shared" si="129"/>
        <v>1</v>
      </c>
      <c r="L733" s="632"/>
      <c r="M733" s="3183">
        <f t="shared" si="130"/>
        <v>1</v>
      </c>
      <c r="N733" s="632"/>
      <c r="O733" s="3183">
        <f t="shared" si="131"/>
        <v>1</v>
      </c>
      <c r="P733" s="632"/>
      <c r="Q733" s="3183">
        <f t="shared" si="132"/>
        <v>1</v>
      </c>
      <c r="R733" s="3183">
        <f t="shared" si="133"/>
        <v>162430</v>
      </c>
      <c r="S733" s="902">
        <f t="shared" si="134"/>
        <v>530</v>
      </c>
    </row>
    <row r="734" spans="1:19">
      <c r="A734" s="3180">
        <f>面积!B1389</f>
        <v>-1716</v>
      </c>
      <c r="B734" s="3181">
        <f>面积!C1389</f>
        <v>32.61</v>
      </c>
      <c r="C734" s="3183">
        <f t="shared" si="125"/>
        <v>1</v>
      </c>
      <c r="D734" s="632"/>
      <c r="E734" s="3183">
        <f t="shared" si="126"/>
        <v>1</v>
      </c>
      <c r="F734" s="632"/>
      <c r="G734" s="3183">
        <f t="shared" si="127"/>
        <v>1</v>
      </c>
      <c r="H734" s="632"/>
      <c r="I734" s="3183">
        <f t="shared" si="128"/>
        <v>1</v>
      </c>
      <c r="J734" s="632"/>
      <c r="K734" s="3183">
        <f t="shared" si="129"/>
        <v>1</v>
      </c>
      <c r="L734" s="632"/>
      <c r="M734" s="3183">
        <f t="shared" si="130"/>
        <v>1</v>
      </c>
      <c r="N734" s="632"/>
      <c r="O734" s="3183">
        <f t="shared" si="131"/>
        <v>1</v>
      </c>
      <c r="P734" s="632"/>
      <c r="Q734" s="3183">
        <f t="shared" si="132"/>
        <v>1</v>
      </c>
      <c r="R734" s="3183">
        <f t="shared" si="133"/>
        <v>162430</v>
      </c>
      <c r="S734" s="902">
        <f t="shared" si="134"/>
        <v>530</v>
      </c>
    </row>
    <row r="735" spans="1:19">
      <c r="A735" s="3180">
        <f>面积!B1390</f>
        <v>-1717</v>
      </c>
      <c r="B735" s="3181">
        <f>面积!C1390</f>
        <v>32.61</v>
      </c>
      <c r="C735" s="3183">
        <f t="shared" si="125"/>
        <v>1</v>
      </c>
      <c r="D735" s="632"/>
      <c r="E735" s="3183">
        <f t="shared" si="126"/>
        <v>1</v>
      </c>
      <c r="F735" s="632"/>
      <c r="G735" s="3183">
        <f t="shared" si="127"/>
        <v>1</v>
      </c>
      <c r="H735" s="632"/>
      <c r="I735" s="3183">
        <f t="shared" si="128"/>
        <v>1</v>
      </c>
      <c r="J735" s="632"/>
      <c r="K735" s="3183">
        <f t="shared" si="129"/>
        <v>1</v>
      </c>
      <c r="L735" s="632"/>
      <c r="M735" s="3183">
        <f t="shared" si="130"/>
        <v>1</v>
      </c>
      <c r="N735" s="632"/>
      <c r="O735" s="3183">
        <f t="shared" si="131"/>
        <v>1</v>
      </c>
      <c r="P735" s="632"/>
      <c r="Q735" s="3183">
        <f t="shared" si="132"/>
        <v>1</v>
      </c>
      <c r="R735" s="3183">
        <f t="shared" si="133"/>
        <v>162430</v>
      </c>
      <c r="S735" s="902">
        <f t="shared" si="134"/>
        <v>530</v>
      </c>
    </row>
    <row r="736" spans="1:19">
      <c r="A736" s="3180">
        <f>面积!B1391</f>
        <v>-1718</v>
      </c>
      <c r="B736" s="3181">
        <f>面积!C1391</f>
        <v>32.61</v>
      </c>
      <c r="C736" s="3183">
        <f t="shared" si="125"/>
        <v>1</v>
      </c>
      <c r="D736" s="632"/>
      <c r="E736" s="3183">
        <f t="shared" si="126"/>
        <v>1</v>
      </c>
      <c r="F736" s="632"/>
      <c r="G736" s="3183">
        <f t="shared" si="127"/>
        <v>1</v>
      </c>
      <c r="H736" s="632"/>
      <c r="I736" s="3183">
        <f t="shared" si="128"/>
        <v>1</v>
      </c>
      <c r="J736" s="632"/>
      <c r="K736" s="3183">
        <f t="shared" si="129"/>
        <v>1</v>
      </c>
      <c r="L736" s="632"/>
      <c r="M736" s="3183">
        <f t="shared" si="130"/>
        <v>1</v>
      </c>
      <c r="N736" s="632"/>
      <c r="O736" s="3183">
        <f t="shared" si="131"/>
        <v>1</v>
      </c>
      <c r="P736" s="632"/>
      <c r="Q736" s="3183">
        <f t="shared" si="132"/>
        <v>1</v>
      </c>
      <c r="R736" s="3183">
        <f t="shared" si="133"/>
        <v>162430</v>
      </c>
      <c r="S736" s="902">
        <f t="shared" si="134"/>
        <v>530</v>
      </c>
    </row>
    <row r="737" spans="1:19">
      <c r="A737" s="3180">
        <f>面积!B1392</f>
        <v>-1719</v>
      </c>
      <c r="B737" s="3181">
        <f>面积!C1392</f>
        <v>32.61</v>
      </c>
      <c r="C737" s="3183">
        <f t="shared" si="125"/>
        <v>1</v>
      </c>
      <c r="D737" s="632"/>
      <c r="E737" s="3183">
        <f t="shared" si="126"/>
        <v>1</v>
      </c>
      <c r="F737" s="632"/>
      <c r="G737" s="3183">
        <f t="shared" si="127"/>
        <v>1</v>
      </c>
      <c r="H737" s="632"/>
      <c r="I737" s="3183">
        <f t="shared" si="128"/>
        <v>1</v>
      </c>
      <c r="J737" s="632"/>
      <c r="K737" s="3183">
        <f t="shared" si="129"/>
        <v>1</v>
      </c>
      <c r="L737" s="632"/>
      <c r="M737" s="3183">
        <f t="shared" si="130"/>
        <v>1</v>
      </c>
      <c r="N737" s="632"/>
      <c r="O737" s="3183">
        <f t="shared" si="131"/>
        <v>1</v>
      </c>
      <c r="P737" s="632"/>
      <c r="Q737" s="3183">
        <f t="shared" si="132"/>
        <v>1</v>
      </c>
      <c r="R737" s="3183">
        <f t="shared" si="133"/>
        <v>162430</v>
      </c>
      <c r="S737" s="902">
        <f t="shared" si="134"/>
        <v>530</v>
      </c>
    </row>
    <row r="738" spans="1:19">
      <c r="A738" s="3180">
        <f>面积!B1393</f>
        <v>-1720</v>
      </c>
      <c r="B738" s="3181">
        <f>面积!C1393</f>
        <v>32.61</v>
      </c>
      <c r="C738" s="3183">
        <f t="shared" si="125"/>
        <v>1</v>
      </c>
      <c r="D738" s="632"/>
      <c r="E738" s="3183">
        <f t="shared" si="126"/>
        <v>1</v>
      </c>
      <c r="F738" s="632"/>
      <c r="G738" s="3183">
        <f t="shared" si="127"/>
        <v>1</v>
      </c>
      <c r="H738" s="632"/>
      <c r="I738" s="3183">
        <f t="shared" si="128"/>
        <v>1</v>
      </c>
      <c r="J738" s="632"/>
      <c r="K738" s="3183">
        <f t="shared" si="129"/>
        <v>1</v>
      </c>
      <c r="L738" s="632"/>
      <c r="M738" s="3183">
        <f t="shared" si="130"/>
        <v>1</v>
      </c>
      <c r="N738" s="632"/>
      <c r="O738" s="3183">
        <f t="shared" si="131"/>
        <v>1</v>
      </c>
      <c r="P738" s="632"/>
      <c r="Q738" s="3183">
        <f t="shared" si="132"/>
        <v>1</v>
      </c>
      <c r="R738" s="3183">
        <f t="shared" si="133"/>
        <v>162430</v>
      </c>
      <c r="S738" s="902">
        <f t="shared" si="134"/>
        <v>530</v>
      </c>
    </row>
    <row r="739" spans="1:19">
      <c r="A739" s="3180">
        <f>面积!B1394</f>
        <v>-1721</v>
      </c>
      <c r="B739" s="3181">
        <f>面积!C1394</f>
        <v>32.61</v>
      </c>
      <c r="C739" s="3183">
        <f t="shared" si="125"/>
        <v>1</v>
      </c>
      <c r="D739" s="632"/>
      <c r="E739" s="3183">
        <f t="shared" si="126"/>
        <v>1</v>
      </c>
      <c r="F739" s="632"/>
      <c r="G739" s="3183">
        <f t="shared" si="127"/>
        <v>1</v>
      </c>
      <c r="H739" s="632"/>
      <c r="I739" s="3183">
        <f t="shared" si="128"/>
        <v>1</v>
      </c>
      <c r="J739" s="632"/>
      <c r="K739" s="3183">
        <f t="shared" si="129"/>
        <v>1</v>
      </c>
      <c r="L739" s="632"/>
      <c r="M739" s="3183">
        <f t="shared" si="130"/>
        <v>1</v>
      </c>
      <c r="N739" s="632"/>
      <c r="O739" s="3183">
        <f t="shared" si="131"/>
        <v>1</v>
      </c>
      <c r="P739" s="632"/>
      <c r="Q739" s="3183">
        <f t="shared" si="132"/>
        <v>1</v>
      </c>
      <c r="R739" s="3183">
        <f t="shared" si="133"/>
        <v>162430</v>
      </c>
      <c r="S739" s="902">
        <f t="shared" si="134"/>
        <v>530</v>
      </c>
    </row>
    <row r="740" spans="1:19">
      <c r="A740" s="3180">
        <f>面积!B1395</f>
        <v>-1722</v>
      </c>
      <c r="B740" s="3181">
        <f>面积!C1395</f>
        <v>32.61</v>
      </c>
      <c r="C740" s="3183">
        <f t="shared" si="125"/>
        <v>1</v>
      </c>
      <c r="D740" s="632"/>
      <c r="E740" s="3183">
        <f t="shared" si="126"/>
        <v>1</v>
      </c>
      <c r="F740" s="632"/>
      <c r="G740" s="3183">
        <f t="shared" si="127"/>
        <v>1</v>
      </c>
      <c r="H740" s="632"/>
      <c r="I740" s="3183">
        <f t="shared" si="128"/>
        <v>1</v>
      </c>
      <c r="J740" s="632"/>
      <c r="K740" s="3183">
        <f t="shared" si="129"/>
        <v>1</v>
      </c>
      <c r="L740" s="632"/>
      <c r="M740" s="3183">
        <f t="shared" si="130"/>
        <v>1</v>
      </c>
      <c r="N740" s="632"/>
      <c r="O740" s="3183">
        <f t="shared" si="131"/>
        <v>1</v>
      </c>
      <c r="P740" s="632"/>
      <c r="Q740" s="3183">
        <f t="shared" si="132"/>
        <v>1</v>
      </c>
      <c r="R740" s="3183">
        <f t="shared" si="133"/>
        <v>162430</v>
      </c>
      <c r="S740" s="902">
        <f t="shared" si="134"/>
        <v>530</v>
      </c>
    </row>
    <row r="741" spans="1:19">
      <c r="A741" s="3180">
        <f>面积!B1396</f>
        <v>-1723</v>
      </c>
      <c r="B741" s="3181">
        <f>面积!C1396</f>
        <v>32.61</v>
      </c>
      <c r="C741" s="3183">
        <f t="shared" si="125"/>
        <v>1</v>
      </c>
      <c r="D741" s="632"/>
      <c r="E741" s="3183">
        <f t="shared" si="126"/>
        <v>1</v>
      </c>
      <c r="F741" s="632"/>
      <c r="G741" s="3183">
        <f t="shared" si="127"/>
        <v>1</v>
      </c>
      <c r="H741" s="632"/>
      <c r="I741" s="3183">
        <f t="shared" si="128"/>
        <v>1</v>
      </c>
      <c r="J741" s="632"/>
      <c r="K741" s="3183">
        <f t="shared" si="129"/>
        <v>1</v>
      </c>
      <c r="L741" s="632"/>
      <c r="M741" s="3183">
        <f t="shared" si="130"/>
        <v>1</v>
      </c>
      <c r="N741" s="632"/>
      <c r="O741" s="3183">
        <f t="shared" si="131"/>
        <v>1</v>
      </c>
      <c r="P741" s="632"/>
      <c r="Q741" s="3183">
        <f t="shared" si="132"/>
        <v>1</v>
      </c>
      <c r="R741" s="3183">
        <f t="shared" si="133"/>
        <v>162430</v>
      </c>
      <c r="S741" s="902">
        <f t="shared" si="134"/>
        <v>530</v>
      </c>
    </row>
    <row r="742" spans="1:19">
      <c r="A742" s="3180">
        <f>面积!B1397</f>
        <v>-1724</v>
      </c>
      <c r="B742" s="3181">
        <f>面积!C1397</f>
        <v>32.61</v>
      </c>
      <c r="C742" s="3183">
        <f t="shared" si="125"/>
        <v>1</v>
      </c>
      <c r="D742" s="632"/>
      <c r="E742" s="3183">
        <f t="shared" si="126"/>
        <v>1</v>
      </c>
      <c r="F742" s="632"/>
      <c r="G742" s="3183">
        <f t="shared" si="127"/>
        <v>1</v>
      </c>
      <c r="H742" s="632"/>
      <c r="I742" s="3183">
        <f t="shared" si="128"/>
        <v>1</v>
      </c>
      <c r="J742" s="632"/>
      <c r="K742" s="3183">
        <f t="shared" si="129"/>
        <v>1</v>
      </c>
      <c r="L742" s="632"/>
      <c r="M742" s="3183">
        <f t="shared" si="130"/>
        <v>1</v>
      </c>
      <c r="N742" s="632"/>
      <c r="O742" s="3183">
        <f t="shared" si="131"/>
        <v>1</v>
      </c>
      <c r="P742" s="632"/>
      <c r="Q742" s="3183">
        <f t="shared" si="132"/>
        <v>1</v>
      </c>
      <c r="R742" s="3183">
        <f t="shared" si="133"/>
        <v>162430</v>
      </c>
      <c r="S742" s="902">
        <f t="shared" si="134"/>
        <v>530</v>
      </c>
    </row>
    <row r="743" spans="1:19">
      <c r="A743" s="3180">
        <f>面积!B1398</f>
        <v>-1725</v>
      </c>
      <c r="B743" s="3181">
        <f>面积!C1398</f>
        <v>32.61</v>
      </c>
      <c r="C743" s="3183">
        <f t="shared" si="125"/>
        <v>1</v>
      </c>
      <c r="D743" s="632"/>
      <c r="E743" s="3183">
        <f t="shared" si="126"/>
        <v>1</v>
      </c>
      <c r="F743" s="632"/>
      <c r="G743" s="3183">
        <f t="shared" si="127"/>
        <v>1</v>
      </c>
      <c r="H743" s="632"/>
      <c r="I743" s="3183">
        <f t="shared" si="128"/>
        <v>1</v>
      </c>
      <c r="J743" s="632"/>
      <c r="K743" s="3183">
        <f t="shared" si="129"/>
        <v>1</v>
      </c>
      <c r="L743" s="632"/>
      <c r="M743" s="3183">
        <f t="shared" si="130"/>
        <v>1</v>
      </c>
      <c r="N743" s="632"/>
      <c r="O743" s="3183">
        <f t="shared" si="131"/>
        <v>1</v>
      </c>
      <c r="P743" s="632"/>
      <c r="Q743" s="3183">
        <f t="shared" si="132"/>
        <v>1</v>
      </c>
      <c r="R743" s="3183">
        <f t="shared" si="133"/>
        <v>162430</v>
      </c>
      <c r="S743" s="902">
        <f t="shared" si="134"/>
        <v>530</v>
      </c>
    </row>
    <row r="744" spans="1:19">
      <c r="A744" s="3180">
        <f>面积!B1399</f>
        <v>-1726</v>
      </c>
      <c r="B744" s="3181">
        <f>面积!C1399</f>
        <v>32.61</v>
      </c>
      <c r="C744" s="3183">
        <f t="shared" si="125"/>
        <v>1</v>
      </c>
      <c r="D744" s="632"/>
      <c r="E744" s="3183">
        <f t="shared" si="126"/>
        <v>1</v>
      </c>
      <c r="F744" s="632"/>
      <c r="G744" s="3183">
        <f t="shared" si="127"/>
        <v>1</v>
      </c>
      <c r="H744" s="632"/>
      <c r="I744" s="3183">
        <f t="shared" si="128"/>
        <v>1</v>
      </c>
      <c r="J744" s="632"/>
      <c r="K744" s="3183">
        <f t="shared" si="129"/>
        <v>1</v>
      </c>
      <c r="L744" s="632"/>
      <c r="M744" s="3183">
        <f t="shared" si="130"/>
        <v>1</v>
      </c>
      <c r="N744" s="632"/>
      <c r="O744" s="3183">
        <f t="shared" si="131"/>
        <v>1</v>
      </c>
      <c r="P744" s="632"/>
      <c r="Q744" s="3183">
        <f t="shared" si="132"/>
        <v>1</v>
      </c>
      <c r="R744" s="3183">
        <f t="shared" si="133"/>
        <v>162430</v>
      </c>
      <c r="S744" s="902">
        <f t="shared" si="134"/>
        <v>530</v>
      </c>
    </row>
    <row r="745" spans="1:19">
      <c r="A745" s="3180">
        <f>面积!B1400</f>
        <v>-1727</v>
      </c>
      <c r="B745" s="3181">
        <f>面积!C1400</f>
        <v>32.61</v>
      </c>
      <c r="C745" s="3183">
        <f t="shared" si="125"/>
        <v>1</v>
      </c>
      <c r="D745" s="632"/>
      <c r="E745" s="3183">
        <f t="shared" si="126"/>
        <v>1</v>
      </c>
      <c r="F745" s="632"/>
      <c r="G745" s="3183">
        <f t="shared" si="127"/>
        <v>1</v>
      </c>
      <c r="H745" s="632"/>
      <c r="I745" s="3183">
        <f t="shared" si="128"/>
        <v>1</v>
      </c>
      <c r="J745" s="632"/>
      <c r="K745" s="3183">
        <f t="shared" si="129"/>
        <v>1</v>
      </c>
      <c r="L745" s="632"/>
      <c r="M745" s="3183">
        <f t="shared" si="130"/>
        <v>1</v>
      </c>
      <c r="N745" s="632"/>
      <c r="O745" s="3183">
        <f t="shared" si="131"/>
        <v>1</v>
      </c>
      <c r="P745" s="632"/>
      <c r="Q745" s="3183">
        <f t="shared" si="132"/>
        <v>1</v>
      </c>
      <c r="R745" s="3183">
        <f t="shared" si="133"/>
        <v>162430</v>
      </c>
      <c r="S745" s="902">
        <f t="shared" si="134"/>
        <v>530</v>
      </c>
    </row>
    <row r="746" spans="1:19">
      <c r="A746" s="3180">
        <f>面积!B1401</f>
        <v>-1728</v>
      </c>
      <c r="B746" s="3181">
        <f>面积!C1401</f>
        <v>32.61</v>
      </c>
      <c r="C746" s="3183">
        <f t="shared" si="125"/>
        <v>1</v>
      </c>
      <c r="D746" s="632"/>
      <c r="E746" s="3183">
        <f t="shared" si="126"/>
        <v>1</v>
      </c>
      <c r="F746" s="632"/>
      <c r="G746" s="3183">
        <f t="shared" si="127"/>
        <v>1</v>
      </c>
      <c r="H746" s="632"/>
      <c r="I746" s="3183">
        <f t="shared" si="128"/>
        <v>1</v>
      </c>
      <c r="J746" s="632"/>
      <c r="K746" s="3183">
        <f t="shared" si="129"/>
        <v>1</v>
      </c>
      <c r="L746" s="632"/>
      <c r="M746" s="3183">
        <f t="shared" si="130"/>
        <v>1</v>
      </c>
      <c r="N746" s="632"/>
      <c r="O746" s="3183">
        <f t="shared" si="131"/>
        <v>1</v>
      </c>
      <c r="P746" s="632"/>
      <c r="Q746" s="3183">
        <f t="shared" si="132"/>
        <v>1</v>
      </c>
      <c r="R746" s="3183">
        <f t="shared" si="133"/>
        <v>162430</v>
      </c>
      <c r="S746" s="902">
        <f t="shared" si="134"/>
        <v>530</v>
      </c>
    </row>
    <row r="747" spans="1:19">
      <c r="A747" s="3180">
        <f>面积!B1402</f>
        <v>-1729</v>
      </c>
      <c r="B747" s="3181">
        <f>面积!C1402</f>
        <v>32.61</v>
      </c>
      <c r="C747" s="3183">
        <f t="shared" si="125"/>
        <v>1</v>
      </c>
      <c r="D747" s="632"/>
      <c r="E747" s="3183">
        <f t="shared" si="126"/>
        <v>1</v>
      </c>
      <c r="F747" s="632"/>
      <c r="G747" s="3183">
        <f t="shared" si="127"/>
        <v>1</v>
      </c>
      <c r="H747" s="632"/>
      <c r="I747" s="3183">
        <f t="shared" si="128"/>
        <v>1</v>
      </c>
      <c r="J747" s="632"/>
      <c r="K747" s="3183">
        <f t="shared" si="129"/>
        <v>1</v>
      </c>
      <c r="L747" s="632"/>
      <c r="M747" s="3183">
        <f t="shared" si="130"/>
        <v>1</v>
      </c>
      <c r="N747" s="632"/>
      <c r="O747" s="3183">
        <f t="shared" si="131"/>
        <v>1</v>
      </c>
      <c r="P747" s="632"/>
      <c r="Q747" s="3183">
        <f t="shared" si="132"/>
        <v>1</v>
      </c>
      <c r="R747" s="3183">
        <f t="shared" si="133"/>
        <v>162430</v>
      </c>
      <c r="S747" s="902">
        <f t="shared" si="134"/>
        <v>530</v>
      </c>
    </row>
    <row r="748" spans="1:19">
      <c r="A748" s="3180">
        <f>面积!B1403</f>
        <v>-1730</v>
      </c>
      <c r="B748" s="3181">
        <f>面积!C1403</f>
        <v>32.61</v>
      </c>
      <c r="C748" s="3183">
        <f t="shared" si="125"/>
        <v>1</v>
      </c>
      <c r="D748" s="632"/>
      <c r="E748" s="3183">
        <f t="shared" si="126"/>
        <v>1</v>
      </c>
      <c r="F748" s="632"/>
      <c r="G748" s="3183">
        <f t="shared" si="127"/>
        <v>1</v>
      </c>
      <c r="H748" s="632"/>
      <c r="I748" s="3183">
        <f t="shared" si="128"/>
        <v>1</v>
      </c>
      <c r="J748" s="632"/>
      <c r="K748" s="3183">
        <f t="shared" si="129"/>
        <v>1</v>
      </c>
      <c r="L748" s="632"/>
      <c r="M748" s="3183">
        <f t="shared" si="130"/>
        <v>1</v>
      </c>
      <c r="N748" s="632"/>
      <c r="O748" s="3183">
        <f t="shared" si="131"/>
        <v>1</v>
      </c>
      <c r="P748" s="632"/>
      <c r="Q748" s="3183">
        <f t="shared" si="132"/>
        <v>1</v>
      </c>
      <c r="R748" s="3183">
        <f t="shared" si="133"/>
        <v>162430</v>
      </c>
      <c r="S748" s="902">
        <f t="shared" si="134"/>
        <v>530</v>
      </c>
    </row>
    <row r="749" spans="1:19">
      <c r="A749" s="3180">
        <f>面积!B1404</f>
        <v>-1731</v>
      </c>
      <c r="B749" s="3181">
        <f>面积!C1404</f>
        <v>32.61</v>
      </c>
      <c r="C749" s="3183">
        <f t="shared" si="125"/>
        <v>1</v>
      </c>
      <c r="D749" s="632"/>
      <c r="E749" s="3183">
        <f t="shared" si="126"/>
        <v>1</v>
      </c>
      <c r="F749" s="632"/>
      <c r="G749" s="3183">
        <f t="shared" si="127"/>
        <v>1</v>
      </c>
      <c r="H749" s="632"/>
      <c r="I749" s="3183">
        <f t="shared" si="128"/>
        <v>1</v>
      </c>
      <c r="J749" s="632"/>
      <c r="K749" s="3183">
        <f t="shared" si="129"/>
        <v>1</v>
      </c>
      <c r="L749" s="632"/>
      <c r="M749" s="3183">
        <f t="shared" si="130"/>
        <v>1</v>
      </c>
      <c r="N749" s="632"/>
      <c r="O749" s="3183">
        <f t="shared" si="131"/>
        <v>1</v>
      </c>
      <c r="P749" s="632"/>
      <c r="Q749" s="3183">
        <f t="shared" si="132"/>
        <v>1</v>
      </c>
      <c r="R749" s="3183">
        <f t="shared" si="133"/>
        <v>162430</v>
      </c>
      <c r="S749" s="902">
        <f t="shared" si="134"/>
        <v>530</v>
      </c>
    </row>
    <row r="750" spans="1:19">
      <c r="A750" s="3180">
        <f>面积!B1405</f>
        <v>-1732</v>
      </c>
      <c r="B750" s="3181">
        <f>面积!C1405</f>
        <v>32.61</v>
      </c>
      <c r="C750" s="3183">
        <f t="shared" si="125"/>
        <v>1</v>
      </c>
      <c r="D750" s="632"/>
      <c r="E750" s="3183">
        <f t="shared" si="126"/>
        <v>1</v>
      </c>
      <c r="F750" s="632"/>
      <c r="G750" s="3183">
        <f t="shared" si="127"/>
        <v>1</v>
      </c>
      <c r="H750" s="632"/>
      <c r="I750" s="3183">
        <f t="shared" si="128"/>
        <v>1</v>
      </c>
      <c r="J750" s="632"/>
      <c r="K750" s="3183">
        <f t="shared" si="129"/>
        <v>1</v>
      </c>
      <c r="L750" s="632"/>
      <c r="M750" s="3183">
        <f t="shared" si="130"/>
        <v>1</v>
      </c>
      <c r="N750" s="632"/>
      <c r="O750" s="3183">
        <f t="shared" si="131"/>
        <v>1</v>
      </c>
      <c r="P750" s="632"/>
      <c r="Q750" s="3183">
        <f t="shared" si="132"/>
        <v>1</v>
      </c>
      <c r="R750" s="3183">
        <f t="shared" si="133"/>
        <v>162430</v>
      </c>
      <c r="S750" s="902">
        <f t="shared" si="134"/>
        <v>530</v>
      </c>
    </row>
    <row r="751" spans="1:19">
      <c r="A751" s="3180">
        <f>面积!B1406</f>
        <v>-1733</v>
      </c>
      <c r="B751" s="3181">
        <f>面积!C1406</f>
        <v>32.61</v>
      </c>
      <c r="C751" s="3183">
        <f t="shared" si="125"/>
        <v>1</v>
      </c>
      <c r="D751" s="632"/>
      <c r="E751" s="3183">
        <f t="shared" si="126"/>
        <v>1</v>
      </c>
      <c r="F751" s="632"/>
      <c r="G751" s="3183">
        <f t="shared" si="127"/>
        <v>1</v>
      </c>
      <c r="H751" s="632"/>
      <c r="I751" s="3183">
        <f t="shared" si="128"/>
        <v>1</v>
      </c>
      <c r="J751" s="632"/>
      <c r="K751" s="3183">
        <f t="shared" si="129"/>
        <v>1</v>
      </c>
      <c r="L751" s="632"/>
      <c r="M751" s="3183">
        <f t="shared" si="130"/>
        <v>1</v>
      </c>
      <c r="N751" s="632"/>
      <c r="O751" s="3183">
        <f t="shared" si="131"/>
        <v>1</v>
      </c>
      <c r="P751" s="632"/>
      <c r="Q751" s="3183">
        <f t="shared" si="132"/>
        <v>1</v>
      </c>
      <c r="R751" s="3183">
        <f t="shared" si="133"/>
        <v>162430</v>
      </c>
      <c r="S751" s="902">
        <f t="shared" si="134"/>
        <v>530</v>
      </c>
    </row>
    <row r="752" spans="1:19">
      <c r="A752" s="3180">
        <f>面积!B1407</f>
        <v>-1734</v>
      </c>
      <c r="B752" s="3181">
        <f>面积!C1407</f>
        <v>32.61</v>
      </c>
      <c r="C752" s="3183">
        <f t="shared" si="125"/>
        <v>1</v>
      </c>
      <c r="D752" s="632"/>
      <c r="E752" s="3183">
        <f t="shared" si="126"/>
        <v>1</v>
      </c>
      <c r="F752" s="632"/>
      <c r="G752" s="3183">
        <f t="shared" si="127"/>
        <v>1</v>
      </c>
      <c r="H752" s="632"/>
      <c r="I752" s="3183">
        <f t="shared" si="128"/>
        <v>1</v>
      </c>
      <c r="J752" s="632"/>
      <c r="K752" s="3183">
        <f t="shared" si="129"/>
        <v>1</v>
      </c>
      <c r="L752" s="632"/>
      <c r="M752" s="3183">
        <f t="shared" si="130"/>
        <v>1</v>
      </c>
      <c r="N752" s="632"/>
      <c r="O752" s="3183">
        <f t="shared" si="131"/>
        <v>1</v>
      </c>
      <c r="P752" s="632"/>
      <c r="Q752" s="3183">
        <f t="shared" si="132"/>
        <v>1</v>
      </c>
      <c r="R752" s="3183">
        <f t="shared" si="133"/>
        <v>162430</v>
      </c>
      <c r="S752" s="902">
        <f t="shared" si="134"/>
        <v>530</v>
      </c>
    </row>
    <row r="753" spans="1:19">
      <c r="A753" s="3180">
        <f>面积!B1408</f>
        <v>-1735</v>
      </c>
      <c r="B753" s="3181">
        <f>面积!C1408</f>
        <v>32.61</v>
      </c>
      <c r="C753" s="3183">
        <f t="shared" si="125"/>
        <v>1</v>
      </c>
      <c r="D753" s="632"/>
      <c r="E753" s="3183">
        <f t="shared" si="126"/>
        <v>1</v>
      </c>
      <c r="F753" s="632"/>
      <c r="G753" s="3183">
        <f t="shared" si="127"/>
        <v>1</v>
      </c>
      <c r="H753" s="632"/>
      <c r="I753" s="3183">
        <f t="shared" si="128"/>
        <v>1</v>
      </c>
      <c r="J753" s="632"/>
      <c r="K753" s="3183">
        <f t="shared" si="129"/>
        <v>1</v>
      </c>
      <c r="L753" s="632"/>
      <c r="M753" s="3183">
        <f t="shared" si="130"/>
        <v>1</v>
      </c>
      <c r="N753" s="632"/>
      <c r="O753" s="3183">
        <f t="shared" si="131"/>
        <v>1</v>
      </c>
      <c r="P753" s="632"/>
      <c r="Q753" s="3183">
        <f t="shared" si="132"/>
        <v>1</v>
      </c>
      <c r="R753" s="3183">
        <f t="shared" si="133"/>
        <v>162430</v>
      </c>
      <c r="S753" s="902">
        <f t="shared" si="134"/>
        <v>530</v>
      </c>
    </row>
    <row r="754" spans="1:19">
      <c r="A754" s="3180">
        <f>面积!B1409</f>
        <v>-1736</v>
      </c>
      <c r="B754" s="3181">
        <f>面积!C1409</f>
        <v>32.61</v>
      </c>
      <c r="C754" s="3183">
        <f t="shared" si="125"/>
        <v>1</v>
      </c>
      <c r="D754" s="632"/>
      <c r="E754" s="3183">
        <f t="shared" si="126"/>
        <v>1</v>
      </c>
      <c r="F754" s="632"/>
      <c r="G754" s="3183">
        <f t="shared" si="127"/>
        <v>1</v>
      </c>
      <c r="H754" s="632"/>
      <c r="I754" s="3183">
        <f t="shared" si="128"/>
        <v>1</v>
      </c>
      <c r="J754" s="632"/>
      <c r="K754" s="3183">
        <f t="shared" si="129"/>
        <v>1</v>
      </c>
      <c r="L754" s="632"/>
      <c r="M754" s="3183">
        <f t="shared" si="130"/>
        <v>1</v>
      </c>
      <c r="N754" s="632"/>
      <c r="O754" s="3183">
        <f t="shared" si="131"/>
        <v>1</v>
      </c>
      <c r="P754" s="632"/>
      <c r="Q754" s="3183">
        <f t="shared" si="132"/>
        <v>1</v>
      </c>
      <c r="R754" s="3183">
        <f t="shared" si="133"/>
        <v>162430</v>
      </c>
      <c r="S754" s="902">
        <f t="shared" si="134"/>
        <v>530</v>
      </c>
    </row>
    <row r="755" spans="1:19">
      <c r="A755" s="3180">
        <f>面积!B1410</f>
        <v>-1737</v>
      </c>
      <c r="B755" s="3181">
        <f>面积!C1410</f>
        <v>32.61</v>
      </c>
      <c r="C755" s="3183">
        <f t="shared" si="125"/>
        <v>1</v>
      </c>
      <c r="D755" s="632"/>
      <c r="E755" s="3183">
        <f t="shared" si="126"/>
        <v>1</v>
      </c>
      <c r="F755" s="632"/>
      <c r="G755" s="3183">
        <f t="shared" si="127"/>
        <v>1</v>
      </c>
      <c r="H755" s="632"/>
      <c r="I755" s="3183">
        <f t="shared" si="128"/>
        <v>1</v>
      </c>
      <c r="J755" s="632"/>
      <c r="K755" s="3183">
        <f t="shared" si="129"/>
        <v>1</v>
      </c>
      <c r="L755" s="632"/>
      <c r="M755" s="3183">
        <f t="shared" si="130"/>
        <v>1</v>
      </c>
      <c r="N755" s="632"/>
      <c r="O755" s="3183">
        <f t="shared" si="131"/>
        <v>1</v>
      </c>
      <c r="P755" s="632"/>
      <c r="Q755" s="3183">
        <f t="shared" si="132"/>
        <v>1</v>
      </c>
      <c r="R755" s="3183">
        <f t="shared" si="133"/>
        <v>162430</v>
      </c>
      <c r="S755" s="902">
        <f t="shared" si="134"/>
        <v>530</v>
      </c>
    </row>
    <row r="756" spans="1:19">
      <c r="A756" s="3180">
        <f>面积!B1411</f>
        <v>-1738</v>
      </c>
      <c r="B756" s="3181">
        <f>面积!C1411</f>
        <v>32.61</v>
      </c>
      <c r="C756" s="3183">
        <f t="shared" si="125"/>
        <v>1</v>
      </c>
      <c r="D756" s="632"/>
      <c r="E756" s="3183">
        <f t="shared" si="126"/>
        <v>1</v>
      </c>
      <c r="F756" s="632"/>
      <c r="G756" s="3183">
        <f t="shared" si="127"/>
        <v>1</v>
      </c>
      <c r="H756" s="632"/>
      <c r="I756" s="3183">
        <f t="shared" si="128"/>
        <v>1</v>
      </c>
      <c r="J756" s="632"/>
      <c r="K756" s="3183">
        <f t="shared" si="129"/>
        <v>1</v>
      </c>
      <c r="L756" s="632"/>
      <c r="M756" s="3183">
        <f t="shared" si="130"/>
        <v>1</v>
      </c>
      <c r="N756" s="632"/>
      <c r="O756" s="3183">
        <f t="shared" si="131"/>
        <v>1</v>
      </c>
      <c r="P756" s="632"/>
      <c r="Q756" s="3183">
        <f t="shared" si="132"/>
        <v>1</v>
      </c>
      <c r="R756" s="3183">
        <f t="shared" si="133"/>
        <v>162430</v>
      </c>
      <c r="S756" s="902">
        <f t="shared" si="134"/>
        <v>530</v>
      </c>
    </row>
    <row r="757" spans="1:19">
      <c r="A757" s="3180">
        <f>面积!B1412</f>
        <v>-1739</v>
      </c>
      <c r="B757" s="3181">
        <f>面积!C1412</f>
        <v>32.61</v>
      </c>
      <c r="C757" s="3183">
        <f t="shared" si="125"/>
        <v>1</v>
      </c>
      <c r="D757" s="632"/>
      <c r="E757" s="3183">
        <f t="shared" si="126"/>
        <v>1</v>
      </c>
      <c r="F757" s="632"/>
      <c r="G757" s="3183">
        <f t="shared" si="127"/>
        <v>1</v>
      </c>
      <c r="H757" s="632"/>
      <c r="I757" s="3183">
        <f t="shared" si="128"/>
        <v>1</v>
      </c>
      <c r="J757" s="632"/>
      <c r="K757" s="3183">
        <f t="shared" si="129"/>
        <v>1</v>
      </c>
      <c r="L757" s="632"/>
      <c r="M757" s="3183">
        <f t="shared" si="130"/>
        <v>1</v>
      </c>
      <c r="N757" s="632"/>
      <c r="O757" s="3183">
        <f t="shared" si="131"/>
        <v>1</v>
      </c>
      <c r="P757" s="632"/>
      <c r="Q757" s="3183">
        <f t="shared" si="132"/>
        <v>1</v>
      </c>
      <c r="R757" s="3183">
        <f t="shared" si="133"/>
        <v>162430</v>
      </c>
      <c r="S757" s="902">
        <f t="shared" si="134"/>
        <v>530</v>
      </c>
    </row>
    <row r="758" spans="1:19">
      <c r="A758" s="3180">
        <f>面积!B1413</f>
        <v>-1740</v>
      </c>
      <c r="B758" s="3181">
        <f>面积!C1413</f>
        <v>32.61</v>
      </c>
      <c r="C758" s="3183">
        <f t="shared" si="125"/>
        <v>1</v>
      </c>
      <c r="D758" s="632"/>
      <c r="E758" s="3183">
        <f t="shared" si="126"/>
        <v>1</v>
      </c>
      <c r="F758" s="632"/>
      <c r="G758" s="3183">
        <f t="shared" si="127"/>
        <v>1</v>
      </c>
      <c r="H758" s="632"/>
      <c r="I758" s="3183">
        <f t="shared" si="128"/>
        <v>1</v>
      </c>
      <c r="J758" s="632"/>
      <c r="K758" s="3183">
        <f t="shared" si="129"/>
        <v>1</v>
      </c>
      <c r="L758" s="632"/>
      <c r="M758" s="3183">
        <f t="shared" si="130"/>
        <v>1</v>
      </c>
      <c r="N758" s="632"/>
      <c r="O758" s="3183">
        <f t="shared" si="131"/>
        <v>1</v>
      </c>
      <c r="P758" s="632"/>
      <c r="Q758" s="3183">
        <f t="shared" si="132"/>
        <v>1</v>
      </c>
      <c r="R758" s="3183">
        <f t="shared" si="133"/>
        <v>162430</v>
      </c>
      <c r="S758" s="902">
        <f t="shared" si="134"/>
        <v>530</v>
      </c>
    </row>
    <row r="759" spans="1:19">
      <c r="A759" s="3180">
        <f>面积!B1414</f>
        <v>-1741</v>
      </c>
      <c r="B759" s="3181">
        <f>面积!C1414</f>
        <v>32.61</v>
      </c>
      <c r="C759" s="3183">
        <f t="shared" si="125"/>
        <v>1</v>
      </c>
      <c r="D759" s="632"/>
      <c r="E759" s="3183">
        <f t="shared" si="126"/>
        <v>1</v>
      </c>
      <c r="F759" s="632"/>
      <c r="G759" s="3183">
        <f t="shared" si="127"/>
        <v>1</v>
      </c>
      <c r="H759" s="632"/>
      <c r="I759" s="3183">
        <f t="shared" si="128"/>
        <v>1</v>
      </c>
      <c r="J759" s="632"/>
      <c r="K759" s="3183">
        <f t="shared" si="129"/>
        <v>1</v>
      </c>
      <c r="L759" s="632"/>
      <c r="M759" s="3183">
        <f t="shared" si="130"/>
        <v>1</v>
      </c>
      <c r="N759" s="632"/>
      <c r="O759" s="3183">
        <f t="shared" si="131"/>
        <v>1</v>
      </c>
      <c r="P759" s="632"/>
      <c r="Q759" s="3183">
        <f t="shared" si="132"/>
        <v>1</v>
      </c>
      <c r="R759" s="3183">
        <f t="shared" si="133"/>
        <v>162430</v>
      </c>
      <c r="S759" s="902">
        <f t="shared" si="134"/>
        <v>530</v>
      </c>
    </row>
    <row r="760" spans="1:19">
      <c r="A760" s="3180">
        <f>面积!B1415</f>
        <v>-1742</v>
      </c>
      <c r="B760" s="3181">
        <f>面积!C1415</f>
        <v>32.61</v>
      </c>
      <c r="C760" s="3183">
        <f t="shared" si="125"/>
        <v>1</v>
      </c>
      <c r="D760" s="632"/>
      <c r="E760" s="3183">
        <f t="shared" si="126"/>
        <v>1</v>
      </c>
      <c r="F760" s="632"/>
      <c r="G760" s="3183">
        <f t="shared" si="127"/>
        <v>1</v>
      </c>
      <c r="H760" s="632"/>
      <c r="I760" s="3183">
        <f t="shared" si="128"/>
        <v>1</v>
      </c>
      <c r="J760" s="632"/>
      <c r="K760" s="3183">
        <f t="shared" si="129"/>
        <v>1</v>
      </c>
      <c r="L760" s="632"/>
      <c r="M760" s="3183">
        <f t="shared" si="130"/>
        <v>1</v>
      </c>
      <c r="N760" s="632"/>
      <c r="O760" s="3183">
        <f t="shared" si="131"/>
        <v>1</v>
      </c>
      <c r="P760" s="632"/>
      <c r="Q760" s="3183">
        <f t="shared" si="132"/>
        <v>1</v>
      </c>
      <c r="R760" s="3183">
        <f t="shared" si="133"/>
        <v>162430</v>
      </c>
      <c r="S760" s="902">
        <f t="shared" si="134"/>
        <v>530</v>
      </c>
    </row>
    <row r="761" spans="1:19">
      <c r="A761" s="3180">
        <f>面积!B1416</f>
        <v>-1743</v>
      </c>
      <c r="B761" s="3181">
        <f>面积!C1416</f>
        <v>32.61</v>
      </c>
      <c r="C761" s="3183">
        <f t="shared" si="125"/>
        <v>1</v>
      </c>
      <c r="D761" s="632"/>
      <c r="E761" s="3183">
        <f t="shared" si="126"/>
        <v>1</v>
      </c>
      <c r="F761" s="632"/>
      <c r="G761" s="3183">
        <f t="shared" si="127"/>
        <v>1</v>
      </c>
      <c r="H761" s="632"/>
      <c r="I761" s="3183">
        <f t="shared" si="128"/>
        <v>1</v>
      </c>
      <c r="J761" s="632"/>
      <c r="K761" s="3183">
        <f t="shared" si="129"/>
        <v>1</v>
      </c>
      <c r="L761" s="632"/>
      <c r="M761" s="3183">
        <f t="shared" si="130"/>
        <v>1</v>
      </c>
      <c r="N761" s="632"/>
      <c r="O761" s="3183">
        <f t="shared" si="131"/>
        <v>1</v>
      </c>
      <c r="P761" s="632"/>
      <c r="Q761" s="3183">
        <f t="shared" si="132"/>
        <v>1</v>
      </c>
      <c r="R761" s="3183">
        <f t="shared" si="133"/>
        <v>162430</v>
      </c>
      <c r="S761" s="902">
        <f t="shared" si="134"/>
        <v>530</v>
      </c>
    </row>
    <row r="762" spans="1:19">
      <c r="A762" s="3180">
        <f>面积!B1417</f>
        <v>-1744</v>
      </c>
      <c r="B762" s="3181">
        <f>面积!C1417</f>
        <v>32.61</v>
      </c>
      <c r="C762" s="3183">
        <f t="shared" si="125"/>
        <v>1</v>
      </c>
      <c r="D762" s="632"/>
      <c r="E762" s="3183">
        <f t="shared" si="126"/>
        <v>1</v>
      </c>
      <c r="F762" s="632"/>
      <c r="G762" s="3183">
        <f t="shared" si="127"/>
        <v>1</v>
      </c>
      <c r="H762" s="632"/>
      <c r="I762" s="3183">
        <f t="shared" si="128"/>
        <v>1</v>
      </c>
      <c r="J762" s="632"/>
      <c r="K762" s="3183">
        <f t="shared" si="129"/>
        <v>1</v>
      </c>
      <c r="L762" s="632"/>
      <c r="M762" s="3183">
        <f t="shared" si="130"/>
        <v>1</v>
      </c>
      <c r="N762" s="632"/>
      <c r="O762" s="3183">
        <f t="shared" si="131"/>
        <v>1</v>
      </c>
      <c r="P762" s="632"/>
      <c r="Q762" s="3183">
        <f t="shared" si="132"/>
        <v>1</v>
      </c>
      <c r="R762" s="3183">
        <f t="shared" si="133"/>
        <v>162430</v>
      </c>
      <c r="S762" s="902">
        <f t="shared" si="134"/>
        <v>530</v>
      </c>
    </row>
    <row r="763" spans="1:19">
      <c r="A763" s="3180">
        <f>面积!B1418</f>
        <v>-1745</v>
      </c>
      <c r="B763" s="3181">
        <f>面积!C1418</f>
        <v>32.61</v>
      </c>
      <c r="C763" s="3183">
        <f t="shared" si="125"/>
        <v>1</v>
      </c>
      <c r="D763" s="632"/>
      <c r="E763" s="3183">
        <f t="shared" si="126"/>
        <v>1</v>
      </c>
      <c r="F763" s="632"/>
      <c r="G763" s="3183">
        <f t="shared" si="127"/>
        <v>1</v>
      </c>
      <c r="H763" s="632"/>
      <c r="I763" s="3183">
        <f t="shared" si="128"/>
        <v>1</v>
      </c>
      <c r="J763" s="632"/>
      <c r="K763" s="3183">
        <f t="shared" si="129"/>
        <v>1</v>
      </c>
      <c r="L763" s="632"/>
      <c r="M763" s="3183">
        <f t="shared" si="130"/>
        <v>1</v>
      </c>
      <c r="N763" s="632"/>
      <c r="O763" s="3183">
        <f t="shared" si="131"/>
        <v>1</v>
      </c>
      <c r="P763" s="632"/>
      <c r="Q763" s="3183">
        <f t="shared" si="132"/>
        <v>1</v>
      </c>
      <c r="R763" s="3183">
        <f t="shared" si="133"/>
        <v>162430</v>
      </c>
      <c r="S763" s="902">
        <f t="shared" si="134"/>
        <v>530</v>
      </c>
    </row>
    <row r="764" spans="1:19">
      <c r="A764" s="3180">
        <f>面积!B1419</f>
        <v>-1746</v>
      </c>
      <c r="B764" s="3181">
        <f>面积!C1419</f>
        <v>32.61</v>
      </c>
      <c r="C764" s="3183">
        <f t="shared" si="125"/>
        <v>1</v>
      </c>
      <c r="D764" s="632"/>
      <c r="E764" s="3183">
        <f t="shared" si="126"/>
        <v>1</v>
      </c>
      <c r="F764" s="632"/>
      <c r="G764" s="3183">
        <f t="shared" si="127"/>
        <v>1</v>
      </c>
      <c r="H764" s="632"/>
      <c r="I764" s="3183">
        <f t="shared" si="128"/>
        <v>1</v>
      </c>
      <c r="J764" s="632"/>
      <c r="K764" s="3183">
        <f t="shared" si="129"/>
        <v>1</v>
      </c>
      <c r="L764" s="632"/>
      <c r="M764" s="3183">
        <f t="shared" si="130"/>
        <v>1</v>
      </c>
      <c r="N764" s="632"/>
      <c r="O764" s="3183">
        <f t="shared" si="131"/>
        <v>1</v>
      </c>
      <c r="P764" s="632"/>
      <c r="Q764" s="3183">
        <f t="shared" si="132"/>
        <v>1</v>
      </c>
      <c r="R764" s="3183">
        <f t="shared" si="133"/>
        <v>162430</v>
      </c>
      <c r="S764" s="902">
        <f t="shared" si="134"/>
        <v>530</v>
      </c>
    </row>
    <row r="765" spans="1:19">
      <c r="A765" s="3180">
        <f>面积!B1420</f>
        <v>-1747</v>
      </c>
      <c r="B765" s="3181">
        <f>面积!C1420</f>
        <v>32.61</v>
      </c>
      <c r="C765" s="3183">
        <f t="shared" si="125"/>
        <v>1</v>
      </c>
      <c r="D765" s="632"/>
      <c r="E765" s="3183">
        <f t="shared" si="126"/>
        <v>1</v>
      </c>
      <c r="F765" s="632"/>
      <c r="G765" s="3183">
        <f t="shared" si="127"/>
        <v>1</v>
      </c>
      <c r="H765" s="632"/>
      <c r="I765" s="3183">
        <f t="shared" si="128"/>
        <v>1</v>
      </c>
      <c r="J765" s="632"/>
      <c r="K765" s="3183">
        <f t="shared" si="129"/>
        <v>1</v>
      </c>
      <c r="L765" s="632"/>
      <c r="M765" s="3183">
        <f t="shared" si="130"/>
        <v>1</v>
      </c>
      <c r="N765" s="632"/>
      <c r="O765" s="3183">
        <f t="shared" si="131"/>
        <v>1</v>
      </c>
      <c r="P765" s="632"/>
      <c r="Q765" s="3183">
        <f t="shared" si="132"/>
        <v>1</v>
      </c>
      <c r="R765" s="3183">
        <f t="shared" si="133"/>
        <v>162430</v>
      </c>
      <c r="S765" s="902">
        <f t="shared" si="134"/>
        <v>530</v>
      </c>
    </row>
    <row r="766" spans="1:19">
      <c r="A766" s="3180">
        <f>面积!B1421</f>
        <v>-1748</v>
      </c>
      <c r="B766" s="3181">
        <f>面积!C1421</f>
        <v>32.61</v>
      </c>
      <c r="C766" s="3183">
        <f t="shared" si="125"/>
        <v>1</v>
      </c>
      <c r="D766" s="632"/>
      <c r="E766" s="3183">
        <f t="shared" si="126"/>
        <v>1</v>
      </c>
      <c r="F766" s="632"/>
      <c r="G766" s="3183">
        <f t="shared" si="127"/>
        <v>1</v>
      </c>
      <c r="H766" s="632"/>
      <c r="I766" s="3183">
        <f t="shared" si="128"/>
        <v>1</v>
      </c>
      <c r="J766" s="632"/>
      <c r="K766" s="3183">
        <f t="shared" si="129"/>
        <v>1</v>
      </c>
      <c r="L766" s="632"/>
      <c r="M766" s="3183">
        <f t="shared" si="130"/>
        <v>1</v>
      </c>
      <c r="N766" s="632"/>
      <c r="O766" s="3183">
        <f t="shared" si="131"/>
        <v>1</v>
      </c>
      <c r="P766" s="632"/>
      <c r="Q766" s="3183">
        <f t="shared" si="132"/>
        <v>1</v>
      </c>
      <c r="R766" s="3183">
        <f t="shared" si="133"/>
        <v>162430</v>
      </c>
      <c r="S766" s="902">
        <f t="shared" si="134"/>
        <v>530</v>
      </c>
    </row>
    <row r="767" spans="1:19">
      <c r="A767" s="3180">
        <f>面积!B1422</f>
        <v>-1749</v>
      </c>
      <c r="B767" s="3181">
        <f>面积!C1422</f>
        <v>32.61</v>
      </c>
      <c r="C767" s="3183">
        <f t="shared" si="125"/>
        <v>1</v>
      </c>
      <c r="D767" s="632"/>
      <c r="E767" s="3183">
        <f t="shared" si="126"/>
        <v>1</v>
      </c>
      <c r="F767" s="632"/>
      <c r="G767" s="3183">
        <f t="shared" si="127"/>
        <v>1</v>
      </c>
      <c r="H767" s="632"/>
      <c r="I767" s="3183">
        <f t="shared" si="128"/>
        <v>1</v>
      </c>
      <c r="J767" s="632"/>
      <c r="K767" s="3183">
        <f t="shared" si="129"/>
        <v>1</v>
      </c>
      <c r="L767" s="632"/>
      <c r="M767" s="3183">
        <f t="shared" si="130"/>
        <v>1</v>
      </c>
      <c r="N767" s="632"/>
      <c r="O767" s="3183">
        <f t="shared" si="131"/>
        <v>1</v>
      </c>
      <c r="P767" s="632"/>
      <c r="Q767" s="3183">
        <f t="shared" si="132"/>
        <v>1</v>
      </c>
      <c r="R767" s="3183">
        <f t="shared" si="133"/>
        <v>162430</v>
      </c>
      <c r="S767" s="902">
        <f t="shared" si="134"/>
        <v>530</v>
      </c>
    </row>
    <row r="768" spans="1:19">
      <c r="A768" s="3180">
        <f>面积!B1423</f>
        <v>-1750</v>
      </c>
      <c r="B768" s="3181">
        <f>面积!C1423</f>
        <v>32.61</v>
      </c>
      <c r="C768" s="3183">
        <f t="shared" si="125"/>
        <v>1</v>
      </c>
      <c r="D768" s="632"/>
      <c r="E768" s="3183">
        <f t="shared" si="126"/>
        <v>1</v>
      </c>
      <c r="F768" s="632"/>
      <c r="G768" s="3183">
        <f t="shared" si="127"/>
        <v>1</v>
      </c>
      <c r="H768" s="632"/>
      <c r="I768" s="3183">
        <f t="shared" si="128"/>
        <v>1</v>
      </c>
      <c r="J768" s="632"/>
      <c r="K768" s="3183">
        <f t="shared" si="129"/>
        <v>1</v>
      </c>
      <c r="L768" s="632"/>
      <c r="M768" s="3183">
        <f t="shared" si="130"/>
        <v>1</v>
      </c>
      <c r="N768" s="632"/>
      <c r="O768" s="3183">
        <f t="shared" si="131"/>
        <v>1</v>
      </c>
      <c r="P768" s="632"/>
      <c r="Q768" s="3183">
        <f t="shared" si="132"/>
        <v>1</v>
      </c>
      <c r="R768" s="3183">
        <f t="shared" si="133"/>
        <v>162430</v>
      </c>
      <c r="S768" s="902">
        <f t="shared" si="134"/>
        <v>530</v>
      </c>
    </row>
    <row r="769" spans="1:19">
      <c r="A769" s="3180">
        <f>面积!B1424</f>
        <v>-1751</v>
      </c>
      <c r="B769" s="3181">
        <f>面积!C1424</f>
        <v>32.61</v>
      </c>
      <c r="C769" s="3183">
        <f t="shared" si="125"/>
        <v>1</v>
      </c>
      <c r="D769" s="632"/>
      <c r="E769" s="3183">
        <f t="shared" si="126"/>
        <v>1</v>
      </c>
      <c r="F769" s="632"/>
      <c r="G769" s="3183">
        <f t="shared" si="127"/>
        <v>1</v>
      </c>
      <c r="H769" s="632"/>
      <c r="I769" s="3183">
        <f t="shared" si="128"/>
        <v>1</v>
      </c>
      <c r="J769" s="632"/>
      <c r="K769" s="3183">
        <f t="shared" si="129"/>
        <v>1</v>
      </c>
      <c r="L769" s="632"/>
      <c r="M769" s="3183">
        <f t="shared" si="130"/>
        <v>1</v>
      </c>
      <c r="N769" s="632"/>
      <c r="O769" s="3183">
        <f t="shared" si="131"/>
        <v>1</v>
      </c>
      <c r="P769" s="632"/>
      <c r="Q769" s="3183">
        <f t="shared" si="132"/>
        <v>1</v>
      </c>
      <c r="R769" s="3183">
        <f t="shared" si="133"/>
        <v>162430</v>
      </c>
      <c r="S769" s="902">
        <f t="shared" si="134"/>
        <v>530</v>
      </c>
    </row>
    <row r="770" spans="1:19">
      <c r="A770" s="3180">
        <f>面积!B1425</f>
        <v>-1752</v>
      </c>
      <c r="B770" s="3181">
        <f>面积!C1425</f>
        <v>32.61</v>
      </c>
      <c r="C770" s="3183">
        <f t="shared" si="125"/>
        <v>1</v>
      </c>
      <c r="D770" s="632"/>
      <c r="E770" s="3183">
        <f t="shared" si="126"/>
        <v>1</v>
      </c>
      <c r="F770" s="632"/>
      <c r="G770" s="3183">
        <f t="shared" si="127"/>
        <v>1</v>
      </c>
      <c r="H770" s="632"/>
      <c r="I770" s="3183">
        <f t="shared" si="128"/>
        <v>1</v>
      </c>
      <c r="J770" s="632"/>
      <c r="K770" s="3183">
        <f t="shared" si="129"/>
        <v>1</v>
      </c>
      <c r="L770" s="632"/>
      <c r="M770" s="3183">
        <f t="shared" si="130"/>
        <v>1</v>
      </c>
      <c r="N770" s="632"/>
      <c r="O770" s="3183">
        <f t="shared" si="131"/>
        <v>1</v>
      </c>
      <c r="P770" s="632"/>
      <c r="Q770" s="3183">
        <f t="shared" si="132"/>
        <v>1</v>
      </c>
      <c r="R770" s="3183">
        <f t="shared" si="133"/>
        <v>162430</v>
      </c>
      <c r="S770" s="902">
        <f t="shared" si="134"/>
        <v>530</v>
      </c>
    </row>
    <row r="771" spans="1:19">
      <c r="A771" s="3180">
        <f>面积!B1426</f>
        <v>-1753</v>
      </c>
      <c r="B771" s="3181">
        <f>面积!C1426</f>
        <v>32.61</v>
      </c>
      <c r="C771" s="3183">
        <f t="shared" si="125"/>
        <v>1</v>
      </c>
      <c r="D771" s="632"/>
      <c r="E771" s="3183">
        <f t="shared" si="126"/>
        <v>1</v>
      </c>
      <c r="F771" s="632"/>
      <c r="G771" s="3183">
        <f t="shared" si="127"/>
        <v>1</v>
      </c>
      <c r="H771" s="632"/>
      <c r="I771" s="3183">
        <f t="shared" si="128"/>
        <v>1</v>
      </c>
      <c r="J771" s="632"/>
      <c r="K771" s="3183">
        <f t="shared" si="129"/>
        <v>1</v>
      </c>
      <c r="L771" s="632"/>
      <c r="M771" s="3183">
        <f t="shared" si="130"/>
        <v>1</v>
      </c>
      <c r="N771" s="632"/>
      <c r="O771" s="3183">
        <f t="shared" si="131"/>
        <v>1</v>
      </c>
      <c r="P771" s="632"/>
      <c r="Q771" s="3183">
        <f t="shared" si="132"/>
        <v>1</v>
      </c>
      <c r="R771" s="3183">
        <f t="shared" si="133"/>
        <v>162430</v>
      </c>
      <c r="S771" s="902">
        <f t="shared" si="134"/>
        <v>530</v>
      </c>
    </row>
    <row r="772" spans="1:19">
      <c r="A772" s="3180">
        <f>面积!B1427</f>
        <v>-1754</v>
      </c>
      <c r="B772" s="3181">
        <f>面积!C1427</f>
        <v>32.61</v>
      </c>
      <c r="C772" s="3183">
        <f t="shared" si="125"/>
        <v>1</v>
      </c>
      <c r="D772" s="632"/>
      <c r="E772" s="3183">
        <f t="shared" si="126"/>
        <v>1</v>
      </c>
      <c r="F772" s="632"/>
      <c r="G772" s="3183">
        <f t="shared" si="127"/>
        <v>1</v>
      </c>
      <c r="H772" s="632"/>
      <c r="I772" s="3183">
        <f t="shared" si="128"/>
        <v>1</v>
      </c>
      <c r="J772" s="632"/>
      <c r="K772" s="3183">
        <f t="shared" si="129"/>
        <v>1</v>
      </c>
      <c r="L772" s="632"/>
      <c r="M772" s="3183">
        <f t="shared" si="130"/>
        <v>1</v>
      </c>
      <c r="N772" s="632"/>
      <c r="O772" s="3183">
        <f t="shared" si="131"/>
        <v>1</v>
      </c>
      <c r="P772" s="632"/>
      <c r="Q772" s="3183">
        <f t="shared" si="132"/>
        <v>1</v>
      </c>
      <c r="R772" s="3183">
        <f t="shared" si="133"/>
        <v>162430</v>
      </c>
      <c r="S772" s="902">
        <f t="shared" si="134"/>
        <v>530</v>
      </c>
    </row>
    <row r="773" spans="1:19">
      <c r="A773" s="3180">
        <f>面积!B1428</f>
        <v>-1755</v>
      </c>
      <c r="B773" s="3181">
        <f>面积!C1428</f>
        <v>32.61</v>
      </c>
      <c r="C773" s="3183">
        <f t="shared" si="125"/>
        <v>1</v>
      </c>
      <c r="D773" s="632"/>
      <c r="E773" s="3183">
        <f t="shared" si="126"/>
        <v>1</v>
      </c>
      <c r="F773" s="632"/>
      <c r="G773" s="3183">
        <f t="shared" si="127"/>
        <v>1</v>
      </c>
      <c r="H773" s="632"/>
      <c r="I773" s="3183">
        <f t="shared" si="128"/>
        <v>1</v>
      </c>
      <c r="J773" s="632"/>
      <c r="K773" s="3183">
        <f t="shared" si="129"/>
        <v>1</v>
      </c>
      <c r="L773" s="632"/>
      <c r="M773" s="3183">
        <f t="shared" si="130"/>
        <v>1</v>
      </c>
      <c r="N773" s="632"/>
      <c r="O773" s="3183">
        <f t="shared" si="131"/>
        <v>1</v>
      </c>
      <c r="P773" s="632"/>
      <c r="Q773" s="3183">
        <f t="shared" si="132"/>
        <v>1</v>
      </c>
      <c r="R773" s="3183">
        <f t="shared" si="133"/>
        <v>162430</v>
      </c>
      <c r="S773" s="902">
        <f t="shared" si="134"/>
        <v>530</v>
      </c>
    </row>
    <row r="774" spans="1:19">
      <c r="A774" s="3180">
        <f>面积!B1429</f>
        <v>-1756</v>
      </c>
      <c r="B774" s="3181">
        <f>面积!C1429</f>
        <v>32.61</v>
      </c>
      <c r="C774" s="3183">
        <f t="shared" si="125"/>
        <v>1</v>
      </c>
      <c r="D774" s="632"/>
      <c r="E774" s="3183">
        <f t="shared" si="126"/>
        <v>1</v>
      </c>
      <c r="F774" s="632"/>
      <c r="G774" s="3183">
        <f t="shared" si="127"/>
        <v>1</v>
      </c>
      <c r="H774" s="632"/>
      <c r="I774" s="3183">
        <f t="shared" si="128"/>
        <v>1</v>
      </c>
      <c r="J774" s="632"/>
      <c r="K774" s="3183">
        <f t="shared" si="129"/>
        <v>1</v>
      </c>
      <c r="L774" s="632"/>
      <c r="M774" s="3183">
        <f t="shared" si="130"/>
        <v>1</v>
      </c>
      <c r="N774" s="632"/>
      <c r="O774" s="3183">
        <f t="shared" si="131"/>
        <v>1</v>
      </c>
      <c r="P774" s="632"/>
      <c r="Q774" s="3183">
        <f t="shared" si="132"/>
        <v>1</v>
      </c>
      <c r="R774" s="3183">
        <f t="shared" si="133"/>
        <v>162430</v>
      </c>
      <c r="S774" s="902">
        <f t="shared" si="134"/>
        <v>530</v>
      </c>
    </row>
    <row r="775" spans="1:19">
      <c r="A775" s="3180">
        <f>面积!B1430</f>
        <v>-1757</v>
      </c>
      <c r="B775" s="3181">
        <f>面积!C1430</f>
        <v>32.61</v>
      </c>
      <c r="C775" s="3183">
        <f t="shared" si="125"/>
        <v>1</v>
      </c>
      <c r="D775" s="632"/>
      <c r="E775" s="3183">
        <f t="shared" si="126"/>
        <v>1</v>
      </c>
      <c r="F775" s="632"/>
      <c r="G775" s="3183">
        <f t="shared" si="127"/>
        <v>1</v>
      </c>
      <c r="H775" s="632"/>
      <c r="I775" s="3183">
        <f t="shared" si="128"/>
        <v>1</v>
      </c>
      <c r="J775" s="632"/>
      <c r="K775" s="3183">
        <f t="shared" si="129"/>
        <v>1</v>
      </c>
      <c r="L775" s="632"/>
      <c r="M775" s="3183">
        <f t="shared" si="130"/>
        <v>1</v>
      </c>
      <c r="N775" s="632"/>
      <c r="O775" s="3183">
        <f t="shared" si="131"/>
        <v>1</v>
      </c>
      <c r="P775" s="632"/>
      <c r="Q775" s="3183">
        <f t="shared" si="132"/>
        <v>1</v>
      </c>
      <c r="R775" s="3183">
        <f t="shared" si="133"/>
        <v>162430</v>
      </c>
      <c r="S775" s="902">
        <f t="shared" si="134"/>
        <v>530</v>
      </c>
    </row>
    <row r="776" spans="1:19">
      <c r="A776" s="3180">
        <f>面积!B1431</f>
        <v>-1758</v>
      </c>
      <c r="B776" s="3181">
        <f>面积!C1431</f>
        <v>52.86</v>
      </c>
      <c r="C776" s="3183">
        <f t="shared" si="125"/>
        <v>1.2</v>
      </c>
      <c r="D776" s="632"/>
      <c r="E776" s="3183">
        <f t="shared" si="126"/>
        <v>1</v>
      </c>
      <c r="F776" s="632"/>
      <c r="G776" s="3183">
        <f t="shared" si="127"/>
        <v>1</v>
      </c>
      <c r="H776" s="632"/>
      <c r="I776" s="3183">
        <f t="shared" si="128"/>
        <v>1</v>
      </c>
      <c r="J776" s="632"/>
      <c r="K776" s="3183">
        <f t="shared" si="129"/>
        <v>1</v>
      </c>
      <c r="L776" s="632"/>
      <c r="M776" s="3183">
        <f t="shared" si="130"/>
        <v>1</v>
      </c>
      <c r="N776" s="632"/>
      <c r="O776" s="3183">
        <f t="shared" si="131"/>
        <v>1</v>
      </c>
      <c r="P776" s="632"/>
      <c r="Q776" s="3183">
        <f t="shared" si="132"/>
        <v>1</v>
      </c>
      <c r="R776" s="3183">
        <f t="shared" si="133"/>
        <v>194916</v>
      </c>
      <c r="S776" s="902">
        <f t="shared" si="134"/>
        <v>1030</v>
      </c>
    </row>
    <row r="777" spans="1:19">
      <c r="A777" s="3180">
        <f>面积!B1432</f>
        <v>-1759</v>
      </c>
      <c r="B777" s="3181">
        <f>面积!C1432</f>
        <v>32.61</v>
      </c>
      <c r="C777" s="3183">
        <f t="shared" si="125"/>
        <v>1</v>
      </c>
      <c r="D777" s="632"/>
      <c r="E777" s="3183">
        <f t="shared" si="126"/>
        <v>1</v>
      </c>
      <c r="F777" s="632"/>
      <c r="G777" s="3183">
        <f t="shared" si="127"/>
        <v>1</v>
      </c>
      <c r="H777" s="632"/>
      <c r="I777" s="3183">
        <f t="shared" si="128"/>
        <v>1</v>
      </c>
      <c r="J777" s="632"/>
      <c r="K777" s="3183">
        <f t="shared" si="129"/>
        <v>1</v>
      </c>
      <c r="L777" s="632"/>
      <c r="M777" s="3183">
        <f t="shared" si="130"/>
        <v>1</v>
      </c>
      <c r="N777" s="632"/>
      <c r="O777" s="3183">
        <f t="shared" si="131"/>
        <v>1</v>
      </c>
      <c r="P777" s="632"/>
      <c r="Q777" s="3183">
        <f t="shared" si="132"/>
        <v>1</v>
      </c>
      <c r="R777" s="3183">
        <f t="shared" si="133"/>
        <v>162430</v>
      </c>
      <c r="S777" s="902">
        <f t="shared" si="134"/>
        <v>530</v>
      </c>
    </row>
    <row r="778" spans="1:19">
      <c r="A778" s="3180">
        <f>面积!B1433</f>
        <v>-1760</v>
      </c>
      <c r="B778" s="3181">
        <f>面积!C1433</f>
        <v>32.61</v>
      </c>
      <c r="C778" s="3183">
        <f t="shared" si="125"/>
        <v>1</v>
      </c>
      <c r="D778" s="632"/>
      <c r="E778" s="3183">
        <f t="shared" si="126"/>
        <v>1</v>
      </c>
      <c r="F778" s="632"/>
      <c r="G778" s="3183">
        <f t="shared" si="127"/>
        <v>1</v>
      </c>
      <c r="H778" s="632"/>
      <c r="I778" s="3183">
        <f t="shared" si="128"/>
        <v>1</v>
      </c>
      <c r="J778" s="632"/>
      <c r="K778" s="3183">
        <f t="shared" si="129"/>
        <v>1</v>
      </c>
      <c r="L778" s="632"/>
      <c r="M778" s="3183">
        <f t="shared" si="130"/>
        <v>1</v>
      </c>
      <c r="N778" s="632"/>
      <c r="O778" s="3183">
        <f t="shared" si="131"/>
        <v>1</v>
      </c>
      <c r="P778" s="632"/>
      <c r="Q778" s="3183">
        <f t="shared" si="132"/>
        <v>1</v>
      </c>
      <c r="R778" s="3183">
        <f t="shared" si="133"/>
        <v>162430</v>
      </c>
      <c r="S778" s="902">
        <f t="shared" si="134"/>
        <v>530</v>
      </c>
    </row>
    <row r="779" spans="1:19">
      <c r="A779" s="3180">
        <f>面积!B1434</f>
        <v>-1761</v>
      </c>
      <c r="B779" s="3181">
        <f>面积!C1434</f>
        <v>32.61</v>
      </c>
      <c r="C779" s="3183">
        <f t="shared" si="125"/>
        <v>1</v>
      </c>
      <c r="D779" s="632"/>
      <c r="E779" s="3183">
        <f t="shared" si="126"/>
        <v>1</v>
      </c>
      <c r="F779" s="632"/>
      <c r="G779" s="3183">
        <f t="shared" si="127"/>
        <v>1</v>
      </c>
      <c r="H779" s="632"/>
      <c r="I779" s="3183">
        <f t="shared" si="128"/>
        <v>1</v>
      </c>
      <c r="J779" s="632"/>
      <c r="K779" s="3183">
        <f t="shared" si="129"/>
        <v>1</v>
      </c>
      <c r="L779" s="632"/>
      <c r="M779" s="3183">
        <f t="shared" si="130"/>
        <v>1</v>
      </c>
      <c r="N779" s="632"/>
      <c r="O779" s="3183">
        <f t="shared" si="131"/>
        <v>1</v>
      </c>
      <c r="P779" s="632"/>
      <c r="Q779" s="3183">
        <f t="shared" si="132"/>
        <v>1</v>
      </c>
      <c r="R779" s="3183">
        <f t="shared" si="133"/>
        <v>162430</v>
      </c>
      <c r="S779" s="902">
        <f t="shared" si="134"/>
        <v>530</v>
      </c>
    </row>
    <row r="780" spans="1:19">
      <c r="A780" s="3180">
        <f>面积!B1435</f>
        <v>-1762</v>
      </c>
      <c r="B780" s="3181">
        <f>面积!C1435</f>
        <v>32.61</v>
      </c>
      <c r="C780" s="3183">
        <f t="shared" si="125"/>
        <v>1</v>
      </c>
      <c r="D780" s="632"/>
      <c r="E780" s="3183">
        <f t="shared" si="126"/>
        <v>1</v>
      </c>
      <c r="F780" s="632"/>
      <c r="G780" s="3183">
        <f t="shared" si="127"/>
        <v>1</v>
      </c>
      <c r="H780" s="632"/>
      <c r="I780" s="3183">
        <f t="shared" si="128"/>
        <v>1</v>
      </c>
      <c r="J780" s="632"/>
      <c r="K780" s="3183">
        <f t="shared" si="129"/>
        <v>1</v>
      </c>
      <c r="L780" s="632"/>
      <c r="M780" s="3183">
        <f t="shared" si="130"/>
        <v>1</v>
      </c>
      <c r="N780" s="632"/>
      <c r="O780" s="3183">
        <f t="shared" si="131"/>
        <v>1</v>
      </c>
      <c r="P780" s="632"/>
      <c r="Q780" s="3183">
        <f t="shared" si="132"/>
        <v>1</v>
      </c>
      <c r="R780" s="3183">
        <f t="shared" si="133"/>
        <v>162430</v>
      </c>
      <c r="S780" s="902">
        <f t="shared" si="134"/>
        <v>530</v>
      </c>
    </row>
    <row r="781" spans="1:19">
      <c r="A781" s="3180">
        <f>面积!B1436</f>
        <v>-1763</v>
      </c>
      <c r="B781" s="3181">
        <f>面积!C1436</f>
        <v>32.61</v>
      </c>
      <c r="C781" s="3183">
        <f t="shared" ref="C781:C826" si="135">IF(B781="",1,(LOOKUP(B781,$3:$3,$4:$4)-LOOKUP($B$24,$3:$3,$4:$4)+100)/100)</f>
        <v>1</v>
      </c>
      <c r="D781" s="632"/>
      <c r="E781" s="3183">
        <f t="shared" ref="E781:E826" si="136">(SUMIF($5:$5,D781,$6:$6)-SUMIF($5:$5,$D$24,$6:$6)+100)/100</f>
        <v>1</v>
      </c>
      <c r="F781" s="632"/>
      <c r="G781" s="3183">
        <f t="shared" ref="G781:G826" si="137">(SUMIF($7:$7,F781,$8:$8)-SUMIF($7:$7,$F$24,$8:$8)+100)/100</f>
        <v>1</v>
      </c>
      <c r="H781" s="632"/>
      <c r="I781" s="3183">
        <f t="shared" ref="I781:I826" si="138">(SUMIF($9:$9,H781,$10:$10)-SUMIF($9:$9,$H$24,$10:$10)+100)/100</f>
        <v>1</v>
      </c>
      <c r="J781" s="632"/>
      <c r="K781" s="3183">
        <f t="shared" ref="K781:K826" si="139">(SUMIF($11:$11,J781,$12:$12)-SUMIF($11:$11,$J$24,$12:$12)+100)/100</f>
        <v>1</v>
      </c>
      <c r="L781" s="632"/>
      <c r="M781" s="3183">
        <f t="shared" ref="M781:M826" si="140">(SUMIF($13:$13,L781,$14:$14)-SUMIF($13:$13,$L$24,$14:$14)+100)/100</f>
        <v>1</v>
      </c>
      <c r="N781" s="632"/>
      <c r="O781" s="3183">
        <f t="shared" ref="O781:O826" si="141">(SUMIF($15:$15,N781,$16:$16)-SUMIF($15:$15,$N$24,$16:$16)+100)/100</f>
        <v>1</v>
      </c>
      <c r="P781" s="632"/>
      <c r="Q781" s="3183">
        <f t="shared" ref="Q781:Q826" si="142">(SUMIF($17:$17,P781,$18:$18)-SUMIF($17:$17,$P$24,$18:$18)+100)/100</f>
        <v>1</v>
      </c>
      <c r="R781" s="3183">
        <f t="shared" ref="R781:R826" si="143">IF(B781="",0,ROUND($R$24*C781*E781*G781*I781*K781*M781*O781*Q781,0))</f>
        <v>162430</v>
      </c>
      <c r="S781" s="902">
        <f t="shared" ref="S781:S826" si="144">ROUND(R781*B781/10000,0)</f>
        <v>530</v>
      </c>
    </row>
    <row r="782" spans="1:19">
      <c r="A782" s="3180">
        <f>面积!B1437</f>
        <v>-1764</v>
      </c>
      <c r="B782" s="3181">
        <f>面积!C1437</f>
        <v>32.61</v>
      </c>
      <c r="C782" s="3183">
        <f t="shared" si="135"/>
        <v>1</v>
      </c>
      <c r="D782" s="632"/>
      <c r="E782" s="3183">
        <f t="shared" si="136"/>
        <v>1</v>
      </c>
      <c r="F782" s="632"/>
      <c r="G782" s="3183">
        <f t="shared" si="137"/>
        <v>1</v>
      </c>
      <c r="H782" s="632"/>
      <c r="I782" s="3183">
        <f t="shared" si="138"/>
        <v>1</v>
      </c>
      <c r="J782" s="632"/>
      <c r="K782" s="3183">
        <f t="shared" si="139"/>
        <v>1</v>
      </c>
      <c r="L782" s="632"/>
      <c r="M782" s="3183">
        <f t="shared" si="140"/>
        <v>1</v>
      </c>
      <c r="N782" s="632"/>
      <c r="O782" s="3183">
        <f t="shared" si="141"/>
        <v>1</v>
      </c>
      <c r="P782" s="632"/>
      <c r="Q782" s="3183">
        <f t="shared" si="142"/>
        <v>1</v>
      </c>
      <c r="R782" s="3183">
        <f t="shared" si="143"/>
        <v>162430</v>
      </c>
      <c r="S782" s="902">
        <f t="shared" si="144"/>
        <v>530</v>
      </c>
    </row>
    <row r="783" spans="1:19">
      <c r="A783" s="3180">
        <f>面积!B1438</f>
        <v>-1765</v>
      </c>
      <c r="B783" s="3181">
        <f>面积!C1438</f>
        <v>32.61</v>
      </c>
      <c r="C783" s="3183">
        <f t="shared" si="135"/>
        <v>1</v>
      </c>
      <c r="D783" s="632"/>
      <c r="E783" s="3183">
        <f t="shared" si="136"/>
        <v>1</v>
      </c>
      <c r="F783" s="632"/>
      <c r="G783" s="3183">
        <f t="shared" si="137"/>
        <v>1</v>
      </c>
      <c r="H783" s="632"/>
      <c r="I783" s="3183">
        <f t="shared" si="138"/>
        <v>1</v>
      </c>
      <c r="J783" s="632"/>
      <c r="K783" s="3183">
        <f t="shared" si="139"/>
        <v>1</v>
      </c>
      <c r="L783" s="632"/>
      <c r="M783" s="3183">
        <f t="shared" si="140"/>
        <v>1</v>
      </c>
      <c r="N783" s="632"/>
      <c r="O783" s="3183">
        <f t="shared" si="141"/>
        <v>1</v>
      </c>
      <c r="P783" s="632"/>
      <c r="Q783" s="3183">
        <f t="shared" si="142"/>
        <v>1</v>
      </c>
      <c r="R783" s="3183">
        <f t="shared" si="143"/>
        <v>162430</v>
      </c>
      <c r="S783" s="902">
        <f t="shared" si="144"/>
        <v>530</v>
      </c>
    </row>
    <row r="784" spans="1:19">
      <c r="A784" s="3180">
        <f>面积!B1439</f>
        <v>-1766</v>
      </c>
      <c r="B784" s="3181">
        <f>面积!C1439</f>
        <v>32.61</v>
      </c>
      <c r="C784" s="3183">
        <f t="shared" si="135"/>
        <v>1</v>
      </c>
      <c r="D784" s="632"/>
      <c r="E784" s="3183">
        <f t="shared" si="136"/>
        <v>1</v>
      </c>
      <c r="F784" s="632"/>
      <c r="G784" s="3183">
        <f t="shared" si="137"/>
        <v>1</v>
      </c>
      <c r="H784" s="632"/>
      <c r="I784" s="3183">
        <f t="shared" si="138"/>
        <v>1</v>
      </c>
      <c r="J784" s="632"/>
      <c r="K784" s="3183">
        <f t="shared" si="139"/>
        <v>1</v>
      </c>
      <c r="L784" s="632"/>
      <c r="M784" s="3183">
        <f t="shared" si="140"/>
        <v>1</v>
      </c>
      <c r="N784" s="632"/>
      <c r="O784" s="3183">
        <f t="shared" si="141"/>
        <v>1</v>
      </c>
      <c r="P784" s="632"/>
      <c r="Q784" s="3183">
        <f t="shared" si="142"/>
        <v>1</v>
      </c>
      <c r="R784" s="3183">
        <f t="shared" si="143"/>
        <v>162430</v>
      </c>
      <c r="S784" s="902">
        <f t="shared" si="144"/>
        <v>530</v>
      </c>
    </row>
    <row r="785" spans="1:19">
      <c r="A785" s="3180">
        <f>面积!B1440</f>
        <v>-1767</v>
      </c>
      <c r="B785" s="3181">
        <f>面积!C1440</f>
        <v>32.61</v>
      </c>
      <c r="C785" s="3183">
        <f t="shared" si="135"/>
        <v>1</v>
      </c>
      <c r="D785" s="632"/>
      <c r="E785" s="3183">
        <f t="shared" si="136"/>
        <v>1</v>
      </c>
      <c r="F785" s="632"/>
      <c r="G785" s="3183">
        <f t="shared" si="137"/>
        <v>1</v>
      </c>
      <c r="H785" s="632"/>
      <c r="I785" s="3183">
        <f t="shared" si="138"/>
        <v>1</v>
      </c>
      <c r="J785" s="632"/>
      <c r="K785" s="3183">
        <f t="shared" si="139"/>
        <v>1</v>
      </c>
      <c r="L785" s="632"/>
      <c r="M785" s="3183">
        <f t="shared" si="140"/>
        <v>1</v>
      </c>
      <c r="N785" s="632"/>
      <c r="O785" s="3183">
        <f t="shared" si="141"/>
        <v>1</v>
      </c>
      <c r="P785" s="632"/>
      <c r="Q785" s="3183">
        <f t="shared" si="142"/>
        <v>1</v>
      </c>
      <c r="R785" s="3183">
        <f t="shared" si="143"/>
        <v>162430</v>
      </c>
      <c r="S785" s="902">
        <f t="shared" si="144"/>
        <v>530</v>
      </c>
    </row>
    <row r="786" spans="1:19">
      <c r="A786" s="3180">
        <f>面积!B1441</f>
        <v>-1768</v>
      </c>
      <c r="B786" s="3181">
        <f>面积!C1441</f>
        <v>32.61</v>
      </c>
      <c r="C786" s="3183">
        <f t="shared" si="135"/>
        <v>1</v>
      </c>
      <c r="D786" s="632"/>
      <c r="E786" s="3183">
        <f t="shared" si="136"/>
        <v>1</v>
      </c>
      <c r="F786" s="632"/>
      <c r="G786" s="3183">
        <f t="shared" si="137"/>
        <v>1</v>
      </c>
      <c r="H786" s="632"/>
      <c r="I786" s="3183">
        <f t="shared" si="138"/>
        <v>1</v>
      </c>
      <c r="J786" s="632"/>
      <c r="K786" s="3183">
        <f t="shared" si="139"/>
        <v>1</v>
      </c>
      <c r="L786" s="632"/>
      <c r="M786" s="3183">
        <f t="shared" si="140"/>
        <v>1</v>
      </c>
      <c r="N786" s="632"/>
      <c r="O786" s="3183">
        <f t="shared" si="141"/>
        <v>1</v>
      </c>
      <c r="P786" s="632"/>
      <c r="Q786" s="3183">
        <f t="shared" si="142"/>
        <v>1</v>
      </c>
      <c r="R786" s="3183">
        <f t="shared" si="143"/>
        <v>162430</v>
      </c>
      <c r="S786" s="902">
        <f t="shared" si="144"/>
        <v>530</v>
      </c>
    </row>
    <row r="787" spans="1:19">
      <c r="A787" s="3180">
        <f>面积!B1442</f>
        <v>-1769</v>
      </c>
      <c r="B787" s="3181">
        <f>面积!C1442</f>
        <v>32.61</v>
      </c>
      <c r="C787" s="3183">
        <f t="shared" si="135"/>
        <v>1</v>
      </c>
      <c r="D787" s="632"/>
      <c r="E787" s="3183">
        <f t="shared" si="136"/>
        <v>1</v>
      </c>
      <c r="F787" s="632"/>
      <c r="G787" s="3183">
        <f t="shared" si="137"/>
        <v>1</v>
      </c>
      <c r="H787" s="632"/>
      <c r="I787" s="3183">
        <f t="shared" si="138"/>
        <v>1</v>
      </c>
      <c r="J787" s="632"/>
      <c r="K787" s="3183">
        <f t="shared" si="139"/>
        <v>1</v>
      </c>
      <c r="L787" s="632"/>
      <c r="M787" s="3183">
        <f t="shared" si="140"/>
        <v>1</v>
      </c>
      <c r="N787" s="632"/>
      <c r="O787" s="3183">
        <f t="shared" si="141"/>
        <v>1</v>
      </c>
      <c r="P787" s="632"/>
      <c r="Q787" s="3183">
        <f t="shared" si="142"/>
        <v>1</v>
      </c>
      <c r="R787" s="3183">
        <f t="shared" si="143"/>
        <v>162430</v>
      </c>
      <c r="S787" s="902">
        <f t="shared" si="144"/>
        <v>530</v>
      </c>
    </row>
    <row r="788" spans="1:19">
      <c r="A788" s="3180">
        <f>面积!B1443</f>
        <v>-1770</v>
      </c>
      <c r="B788" s="3181">
        <f>面积!C1443</f>
        <v>32.61</v>
      </c>
      <c r="C788" s="3183">
        <f t="shared" si="135"/>
        <v>1</v>
      </c>
      <c r="D788" s="632"/>
      <c r="E788" s="3183">
        <f t="shared" si="136"/>
        <v>1</v>
      </c>
      <c r="F788" s="632"/>
      <c r="G788" s="3183">
        <f t="shared" si="137"/>
        <v>1</v>
      </c>
      <c r="H788" s="632"/>
      <c r="I788" s="3183">
        <f t="shared" si="138"/>
        <v>1</v>
      </c>
      <c r="J788" s="632"/>
      <c r="K788" s="3183">
        <f t="shared" si="139"/>
        <v>1</v>
      </c>
      <c r="L788" s="632"/>
      <c r="M788" s="3183">
        <f t="shared" si="140"/>
        <v>1</v>
      </c>
      <c r="N788" s="632"/>
      <c r="O788" s="3183">
        <f t="shared" si="141"/>
        <v>1</v>
      </c>
      <c r="P788" s="632"/>
      <c r="Q788" s="3183">
        <f t="shared" si="142"/>
        <v>1</v>
      </c>
      <c r="R788" s="3183">
        <f t="shared" si="143"/>
        <v>162430</v>
      </c>
      <c r="S788" s="902">
        <f t="shared" si="144"/>
        <v>530</v>
      </c>
    </row>
    <row r="789" spans="1:19">
      <c r="A789" s="3180">
        <f>面积!B1444</f>
        <v>-1771</v>
      </c>
      <c r="B789" s="3181">
        <f>面积!C1444</f>
        <v>32.61</v>
      </c>
      <c r="C789" s="3183">
        <f t="shared" si="135"/>
        <v>1</v>
      </c>
      <c r="D789" s="632"/>
      <c r="E789" s="3183">
        <f t="shared" si="136"/>
        <v>1</v>
      </c>
      <c r="F789" s="632"/>
      <c r="G789" s="3183">
        <f t="shared" si="137"/>
        <v>1</v>
      </c>
      <c r="H789" s="632"/>
      <c r="I789" s="3183">
        <f t="shared" si="138"/>
        <v>1</v>
      </c>
      <c r="J789" s="632"/>
      <c r="K789" s="3183">
        <f t="shared" si="139"/>
        <v>1</v>
      </c>
      <c r="L789" s="632"/>
      <c r="M789" s="3183">
        <f t="shared" si="140"/>
        <v>1</v>
      </c>
      <c r="N789" s="632"/>
      <c r="O789" s="3183">
        <f t="shared" si="141"/>
        <v>1</v>
      </c>
      <c r="P789" s="632"/>
      <c r="Q789" s="3183">
        <f t="shared" si="142"/>
        <v>1</v>
      </c>
      <c r="R789" s="3183">
        <f t="shared" si="143"/>
        <v>162430</v>
      </c>
      <c r="S789" s="902">
        <f t="shared" si="144"/>
        <v>530</v>
      </c>
    </row>
    <row r="790" spans="1:19">
      <c r="A790" s="3180">
        <f>面积!B1445</f>
        <v>-1772</v>
      </c>
      <c r="B790" s="3181">
        <f>面积!C1445</f>
        <v>32.61</v>
      </c>
      <c r="C790" s="3183">
        <f t="shared" si="135"/>
        <v>1</v>
      </c>
      <c r="D790" s="632"/>
      <c r="E790" s="3183">
        <f t="shared" si="136"/>
        <v>1</v>
      </c>
      <c r="F790" s="632"/>
      <c r="G790" s="3183">
        <f t="shared" si="137"/>
        <v>1</v>
      </c>
      <c r="H790" s="632"/>
      <c r="I790" s="3183">
        <f t="shared" si="138"/>
        <v>1</v>
      </c>
      <c r="J790" s="632"/>
      <c r="K790" s="3183">
        <f t="shared" si="139"/>
        <v>1</v>
      </c>
      <c r="L790" s="632"/>
      <c r="M790" s="3183">
        <f t="shared" si="140"/>
        <v>1</v>
      </c>
      <c r="N790" s="632"/>
      <c r="O790" s="3183">
        <f t="shared" si="141"/>
        <v>1</v>
      </c>
      <c r="P790" s="632"/>
      <c r="Q790" s="3183">
        <f t="shared" si="142"/>
        <v>1</v>
      </c>
      <c r="R790" s="3183">
        <f t="shared" si="143"/>
        <v>162430</v>
      </c>
      <c r="S790" s="902">
        <f t="shared" si="144"/>
        <v>530</v>
      </c>
    </row>
    <row r="791" spans="1:19">
      <c r="A791" s="3180">
        <f>面积!B1446</f>
        <v>-1773</v>
      </c>
      <c r="B791" s="3181">
        <f>面积!C1446</f>
        <v>32.61</v>
      </c>
      <c r="C791" s="3183">
        <f t="shared" si="135"/>
        <v>1</v>
      </c>
      <c r="D791" s="632"/>
      <c r="E791" s="3183">
        <f t="shared" si="136"/>
        <v>1</v>
      </c>
      <c r="F791" s="632"/>
      <c r="G791" s="3183">
        <f t="shared" si="137"/>
        <v>1</v>
      </c>
      <c r="H791" s="632"/>
      <c r="I791" s="3183">
        <f t="shared" si="138"/>
        <v>1</v>
      </c>
      <c r="J791" s="632"/>
      <c r="K791" s="3183">
        <f t="shared" si="139"/>
        <v>1</v>
      </c>
      <c r="L791" s="632"/>
      <c r="M791" s="3183">
        <f t="shared" si="140"/>
        <v>1</v>
      </c>
      <c r="N791" s="632"/>
      <c r="O791" s="3183">
        <f t="shared" si="141"/>
        <v>1</v>
      </c>
      <c r="P791" s="632"/>
      <c r="Q791" s="3183">
        <f t="shared" si="142"/>
        <v>1</v>
      </c>
      <c r="R791" s="3183">
        <f t="shared" si="143"/>
        <v>162430</v>
      </c>
      <c r="S791" s="902">
        <f t="shared" si="144"/>
        <v>530</v>
      </c>
    </row>
    <row r="792" spans="1:19">
      <c r="A792" s="3180">
        <f>面积!B1447</f>
        <v>-1774</v>
      </c>
      <c r="B792" s="3181">
        <f>面积!C1447</f>
        <v>32.61</v>
      </c>
      <c r="C792" s="3183">
        <f t="shared" si="135"/>
        <v>1</v>
      </c>
      <c r="D792" s="632"/>
      <c r="E792" s="3183">
        <f t="shared" si="136"/>
        <v>1</v>
      </c>
      <c r="F792" s="632"/>
      <c r="G792" s="3183">
        <f t="shared" si="137"/>
        <v>1</v>
      </c>
      <c r="H792" s="632"/>
      <c r="I792" s="3183">
        <f t="shared" si="138"/>
        <v>1</v>
      </c>
      <c r="J792" s="632"/>
      <c r="K792" s="3183">
        <f t="shared" si="139"/>
        <v>1</v>
      </c>
      <c r="L792" s="632"/>
      <c r="M792" s="3183">
        <f t="shared" si="140"/>
        <v>1</v>
      </c>
      <c r="N792" s="632"/>
      <c r="O792" s="3183">
        <f t="shared" si="141"/>
        <v>1</v>
      </c>
      <c r="P792" s="632"/>
      <c r="Q792" s="3183">
        <f t="shared" si="142"/>
        <v>1</v>
      </c>
      <c r="R792" s="3183">
        <f t="shared" si="143"/>
        <v>162430</v>
      </c>
      <c r="S792" s="902">
        <f t="shared" si="144"/>
        <v>530</v>
      </c>
    </row>
    <row r="793" spans="1:19">
      <c r="A793" s="3180">
        <f>面积!B1448</f>
        <v>-1775</v>
      </c>
      <c r="B793" s="3181">
        <f>面积!C1448</f>
        <v>32.61</v>
      </c>
      <c r="C793" s="3183">
        <f t="shared" si="135"/>
        <v>1</v>
      </c>
      <c r="D793" s="632"/>
      <c r="E793" s="3183">
        <f t="shared" si="136"/>
        <v>1</v>
      </c>
      <c r="F793" s="632"/>
      <c r="G793" s="3183">
        <f t="shared" si="137"/>
        <v>1</v>
      </c>
      <c r="H793" s="632"/>
      <c r="I793" s="3183">
        <f t="shared" si="138"/>
        <v>1</v>
      </c>
      <c r="J793" s="632"/>
      <c r="K793" s="3183">
        <f t="shared" si="139"/>
        <v>1</v>
      </c>
      <c r="L793" s="632"/>
      <c r="M793" s="3183">
        <f t="shared" si="140"/>
        <v>1</v>
      </c>
      <c r="N793" s="632"/>
      <c r="O793" s="3183">
        <f t="shared" si="141"/>
        <v>1</v>
      </c>
      <c r="P793" s="632"/>
      <c r="Q793" s="3183">
        <f t="shared" si="142"/>
        <v>1</v>
      </c>
      <c r="R793" s="3183">
        <f t="shared" si="143"/>
        <v>162430</v>
      </c>
      <c r="S793" s="902">
        <f t="shared" si="144"/>
        <v>530</v>
      </c>
    </row>
    <row r="794" spans="1:19">
      <c r="A794" s="3180">
        <f>面积!B1449</f>
        <v>-1776</v>
      </c>
      <c r="B794" s="3181">
        <f>面积!C1449</f>
        <v>32.61</v>
      </c>
      <c r="C794" s="3183">
        <f t="shared" si="135"/>
        <v>1</v>
      </c>
      <c r="D794" s="632"/>
      <c r="E794" s="3183">
        <f t="shared" si="136"/>
        <v>1</v>
      </c>
      <c r="F794" s="632"/>
      <c r="G794" s="3183">
        <f t="shared" si="137"/>
        <v>1</v>
      </c>
      <c r="H794" s="632"/>
      <c r="I794" s="3183">
        <f t="shared" si="138"/>
        <v>1</v>
      </c>
      <c r="J794" s="632"/>
      <c r="K794" s="3183">
        <f t="shared" si="139"/>
        <v>1</v>
      </c>
      <c r="L794" s="632"/>
      <c r="M794" s="3183">
        <f t="shared" si="140"/>
        <v>1</v>
      </c>
      <c r="N794" s="632"/>
      <c r="O794" s="3183">
        <f t="shared" si="141"/>
        <v>1</v>
      </c>
      <c r="P794" s="632"/>
      <c r="Q794" s="3183">
        <f t="shared" si="142"/>
        <v>1</v>
      </c>
      <c r="R794" s="3183">
        <f t="shared" si="143"/>
        <v>162430</v>
      </c>
      <c r="S794" s="902">
        <f t="shared" si="144"/>
        <v>530</v>
      </c>
    </row>
    <row r="795" spans="1:19">
      <c r="A795" s="3180">
        <f>面积!B1450</f>
        <v>-1777</v>
      </c>
      <c r="B795" s="3181">
        <f>面积!C1450</f>
        <v>32.61</v>
      </c>
      <c r="C795" s="3183">
        <f t="shared" si="135"/>
        <v>1</v>
      </c>
      <c r="D795" s="632"/>
      <c r="E795" s="3183">
        <f t="shared" si="136"/>
        <v>1</v>
      </c>
      <c r="F795" s="632"/>
      <c r="G795" s="3183">
        <f t="shared" si="137"/>
        <v>1</v>
      </c>
      <c r="H795" s="632"/>
      <c r="I795" s="3183">
        <f t="shared" si="138"/>
        <v>1</v>
      </c>
      <c r="J795" s="632"/>
      <c r="K795" s="3183">
        <f t="shared" si="139"/>
        <v>1</v>
      </c>
      <c r="L795" s="632"/>
      <c r="M795" s="3183">
        <f t="shared" si="140"/>
        <v>1</v>
      </c>
      <c r="N795" s="632"/>
      <c r="O795" s="3183">
        <f t="shared" si="141"/>
        <v>1</v>
      </c>
      <c r="P795" s="632"/>
      <c r="Q795" s="3183">
        <f t="shared" si="142"/>
        <v>1</v>
      </c>
      <c r="R795" s="3183">
        <f t="shared" si="143"/>
        <v>162430</v>
      </c>
      <c r="S795" s="902">
        <f t="shared" si="144"/>
        <v>530</v>
      </c>
    </row>
    <row r="796" spans="1:19">
      <c r="A796" s="3180">
        <f>面积!B1451</f>
        <v>-1778</v>
      </c>
      <c r="B796" s="3181">
        <f>面积!C1451</f>
        <v>32.61</v>
      </c>
      <c r="C796" s="3183">
        <f t="shared" si="135"/>
        <v>1</v>
      </c>
      <c r="D796" s="632"/>
      <c r="E796" s="3183">
        <f t="shared" si="136"/>
        <v>1</v>
      </c>
      <c r="F796" s="632"/>
      <c r="G796" s="3183">
        <f t="shared" si="137"/>
        <v>1</v>
      </c>
      <c r="H796" s="632"/>
      <c r="I796" s="3183">
        <f t="shared" si="138"/>
        <v>1</v>
      </c>
      <c r="J796" s="632"/>
      <c r="K796" s="3183">
        <f t="shared" si="139"/>
        <v>1</v>
      </c>
      <c r="L796" s="632"/>
      <c r="M796" s="3183">
        <f t="shared" si="140"/>
        <v>1</v>
      </c>
      <c r="N796" s="632"/>
      <c r="O796" s="3183">
        <f t="shared" si="141"/>
        <v>1</v>
      </c>
      <c r="P796" s="632"/>
      <c r="Q796" s="3183">
        <f t="shared" si="142"/>
        <v>1</v>
      </c>
      <c r="R796" s="3183">
        <f t="shared" si="143"/>
        <v>162430</v>
      </c>
      <c r="S796" s="902">
        <f t="shared" si="144"/>
        <v>530</v>
      </c>
    </row>
    <row r="797" spans="1:19">
      <c r="A797" s="3180">
        <f>面积!B1452</f>
        <v>-1779</v>
      </c>
      <c r="B797" s="3181">
        <f>面积!C1452</f>
        <v>32.61</v>
      </c>
      <c r="C797" s="3183">
        <f t="shared" si="135"/>
        <v>1</v>
      </c>
      <c r="D797" s="632"/>
      <c r="E797" s="3183">
        <f t="shared" si="136"/>
        <v>1</v>
      </c>
      <c r="F797" s="632"/>
      <c r="G797" s="3183">
        <f t="shared" si="137"/>
        <v>1</v>
      </c>
      <c r="H797" s="632"/>
      <c r="I797" s="3183">
        <f t="shared" si="138"/>
        <v>1</v>
      </c>
      <c r="J797" s="632"/>
      <c r="K797" s="3183">
        <f t="shared" si="139"/>
        <v>1</v>
      </c>
      <c r="L797" s="632"/>
      <c r="M797" s="3183">
        <f t="shared" si="140"/>
        <v>1</v>
      </c>
      <c r="N797" s="632"/>
      <c r="O797" s="3183">
        <f t="shared" si="141"/>
        <v>1</v>
      </c>
      <c r="P797" s="632"/>
      <c r="Q797" s="3183">
        <f t="shared" si="142"/>
        <v>1</v>
      </c>
      <c r="R797" s="3183">
        <f t="shared" si="143"/>
        <v>162430</v>
      </c>
      <c r="S797" s="902">
        <f t="shared" si="144"/>
        <v>530</v>
      </c>
    </row>
    <row r="798" spans="1:19">
      <c r="A798" s="3180">
        <f>面积!B1453</f>
        <v>-1780</v>
      </c>
      <c r="B798" s="3181">
        <f>面积!C1453</f>
        <v>32.61</v>
      </c>
      <c r="C798" s="3183">
        <f t="shared" si="135"/>
        <v>1</v>
      </c>
      <c r="D798" s="632"/>
      <c r="E798" s="3183">
        <f t="shared" si="136"/>
        <v>1</v>
      </c>
      <c r="F798" s="632"/>
      <c r="G798" s="3183">
        <f t="shared" si="137"/>
        <v>1</v>
      </c>
      <c r="H798" s="632"/>
      <c r="I798" s="3183">
        <f t="shared" si="138"/>
        <v>1</v>
      </c>
      <c r="J798" s="632"/>
      <c r="K798" s="3183">
        <f t="shared" si="139"/>
        <v>1</v>
      </c>
      <c r="L798" s="632"/>
      <c r="M798" s="3183">
        <f t="shared" si="140"/>
        <v>1</v>
      </c>
      <c r="N798" s="632"/>
      <c r="O798" s="3183">
        <f t="shared" si="141"/>
        <v>1</v>
      </c>
      <c r="P798" s="632"/>
      <c r="Q798" s="3183">
        <f t="shared" si="142"/>
        <v>1</v>
      </c>
      <c r="R798" s="3183">
        <f t="shared" si="143"/>
        <v>162430</v>
      </c>
      <c r="S798" s="902">
        <f t="shared" si="144"/>
        <v>530</v>
      </c>
    </row>
    <row r="799" spans="1:19">
      <c r="A799" s="3180">
        <f>面积!B1454</f>
        <v>-1781</v>
      </c>
      <c r="B799" s="3181">
        <f>面积!C1454</f>
        <v>32.61</v>
      </c>
      <c r="C799" s="3183">
        <f t="shared" si="135"/>
        <v>1</v>
      </c>
      <c r="D799" s="632"/>
      <c r="E799" s="3183">
        <f t="shared" si="136"/>
        <v>1</v>
      </c>
      <c r="F799" s="632"/>
      <c r="G799" s="3183">
        <f t="shared" si="137"/>
        <v>1</v>
      </c>
      <c r="H799" s="632"/>
      <c r="I799" s="3183">
        <f t="shared" si="138"/>
        <v>1</v>
      </c>
      <c r="J799" s="632"/>
      <c r="K799" s="3183">
        <f t="shared" si="139"/>
        <v>1</v>
      </c>
      <c r="L799" s="632"/>
      <c r="M799" s="3183">
        <f t="shared" si="140"/>
        <v>1</v>
      </c>
      <c r="N799" s="632"/>
      <c r="O799" s="3183">
        <f t="shared" si="141"/>
        <v>1</v>
      </c>
      <c r="P799" s="632"/>
      <c r="Q799" s="3183">
        <f t="shared" si="142"/>
        <v>1</v>
      </c>
      <c r="R799" s="3183">
        <f t="shared" si="143"/>
        <v>162430</v>
      </c>
      <c r="S799" s="902">
        <f t="shared" si="144"/>
        <v>530</v>
      </c>
    </row>
    <row r="800" spans="1:19">
      <c r="A800" s="3180">
        <f>面积!B1455</f>
        <v>-1782</v>
      </c>
      <c r="B800" s="3181">
        <f>面积!C1455</f>
        <v>32.61</v>
      </c>
      <c r="C800" s="3183">
        <f t="shared" si="135"/>
        <v>1</v>
      </c>
      <c r="D800" s="632"/>
      <c r="E800" s="3183">
        <f t="shared" si="136"/>
        <v>1</v>
      </c>
      <c r="F800" s="632"/>
      <c r="G800" s="3183">
        <f t="shared" si="137"/>
        <v>1</v>
      </c>
      <c r="H800" s="632"/>
      <c r="I800" s="3183">
        <f t="shared" si="138"/>
        <v>1</v>
      </c>
      <c r="J800" s="632"/>
      <c r="K800" s="3183">
        <f t="shared" si="139"/>
        <v>1</v>
      </c>
      <c r="L800" s="632"/>
      <c r="M800" s="3183">
        <f t="shared" si="140"/>
        <v>1</v>
      </c>
      <c r="N800" s="632"/>
      <c r="O800" s="3183">
        <f t="shared" si="141"/>
        <v>1</v>
      </c>
      <c r="P800" s="632"/>
      <c r="Q800" s="3183">
        <f t="shared" si="142"/>
        <v>1</v>
      </c>
      <c r="R800" s="3183">
        <f t="shared" si="143"/>
        <v>162430</v>
      </c>
      <c r="S800" s="902">
        <f t="shared" si="144"/>
        <v>530</v>
      </c>
    </row>
    <row r="801" spans="1:19">
      <c r="A801" s="3180">
        <f>面积!B1456</f>
        <v>-1783</v>
      </c>
      <c r="B801" s="3181">
        <f>面积!C1456</f>
        <v>32.61</v>
      </c>
      <c r="C801" s="3183">
        <f t="shared" si="135"/>
        <v>1</v>
      </c>
      <c r="D801" s="632"/>
      <c r="E801" s="3183">
        <f t="shared" si="136"/>
        <v>1</v>
      </c>
      <c r="F801" s="632"/>
      <c r="G801" s="3183">
        <f t="shared" si="137"/>
        <v>1</v>
      </c>
      <c r="H801" s="632"/>
      <c r="I801" s="3183">
        <f t="shared" si="138"/>
        <v>1</v>
      </c>
      <c r="J801" s="632"/>
      <c r="K801" s="3183">
        <f t="shared" si="139"/>
        <v>1</v>
      </c>
      <c r="L801" s="632"/>
      <c r="M801" s="3183">
        <f t="shared" si="140"/>
        <v>1</v>
      </c>
      <c r="N801" s="632"/>
      <c r="O801" s="3183">
        <f t="shared" si="141"/>
        <v>1</v>
      </c>
      <c r="P801" s="632"/>
      <c r="Q801" s="3183">
        <f t="shared" si="142"/>
        <v>1</v>
      </c>
      <c r="R801" s="3183">
        <f t="shared" si="143"/>
        <v>162430</v>
      </c>
      <c r="S801" s="902">
        <f t="shared" si="144"/>
        <v>530</v>
      </c>
    </row>
    <row r="802" spans="1:19">
      <c r="A802" s="3180">
        <f>面积!B1457</f>
        <v>-1784</v>
      </c>
      <c r="B802" s="3181">
        <f>面积!C1457</f>
        <v>32.61</v>
      </c>
      <c r="C802" s="3183">
        <f t="shared" si="135"/>
        <v>1</v>
      </c>
      <c r="D802" s="632"/>
      <c r="E802" s="3183">
        <f t="shared" si="136"/>
        <v>1</v>
      </c>
      <c r="F802" s="632"/>
      <c r="G802" s="3183">
        <f t="shared" si="137"/>
        <v>1</v>
      </c>
      <c r="H802" s="632"/>
      <c r="I802" s="3183">
        <f t="shared" si="138"/>
        <v>1</v>
      </c>
      <c r="J802" s="632"/>
      <c r="K802" s="3183">
        <f t="shared" si="139"/>
        <v>1</v>
      </c>
      <c r="L802" s="632"/>
      <c r="M802" s="3183">
        <f t="shared" si="140"/>
        <v>1</v>
      </c>
      <c r="N802" s="632"/>
      <c r="O802" s="3183">
        <f t="shared" si="141"/>
        <v>1</v>
      </c>
      <c r="P802" s="632"/>
      <c r="Q802" s="3183">
        <f t="shared" si="142"/>
        <v>1</v>
      </c>
      <c r="R802" s="3183">
        <f t="shared" si="143"/>
        <v>162430</v>
      </c>
      <c r="S802" s="902">
        <f t="shared" si="144"/>
        <v>530</v>
      </c>
    </row>
    <row r="803" spans="1:19">
      <c r="A803" s="3180">
        <f>面积!B1458</f>
        <v>-1785</v>
      </c>
      <c r="B803" s="3181">
        <f>面积!C1458</f>
        <v>32.61</v>
      </c>
      <c r="C803" s="3183">
        <f t="shared" si="135"/>
        <v>1</v>
      </c>
      <c r="D803" s="632"/>
      <c r="E803" s="3183">
        <f t="shared" si="136"/>
        <v>1</v>
      </c>
      <c r="F803" s="632"/>
      <c r="G803" s="3183">
        <f t="shared" si="137"/>
        <v>1</v>
      </c>
      <c r="H803" s="632"/>
      <c r="I803" s="3183">
        <f t="shared" si="138"/>
        <v>1</v>
      </c>
      <c r="J803" s="632"/>
      <c r="K803" s="3183">
        <f t="shared" si="139"/>
        <v>1</v>
      </c>
      <c r="L803" s="632"/>
      <c r="M803" s="3183">
        <f t="shared" si="140"/>
        <v>1</v>
      </c>
      <c r="N803" s="632"/>
      <c r="O803" s="3183">
        <f t="shared" si="141"/>
        <v>1</v>
      </c>
      <c r="P803" s="632"/>
      <c r="Q803" s="3183">
        <f t="shared" si="142"/>
        <v>1</v>
      </c>
      <c r="R803" s="3183">
        <f t="shared" si="143"/>
        <v>162430</v>
      </c>
      <c r="S803" s="902">
        <f t="shared" si="144"/>
        <v>530</v>
      </c>
    </row>
    <row r="804" spans="1:19">
      <c r="A804" s="3180">
        <f>面积!B1459</f>
        <v>-1786</v>
      </c>
      <c r="B804" s="3181">
        <f>面积!C1459</f>
        <v>32.61</v>
      </c>
      <c r="C804" s="3183">
        <f t="shared" si="135"/>
        <v>1</v>
      </c>
      <c r="D804" s="632"/>
      <c r="E804" s="3183">
        <f t="shared" si="136"/>
        <v>1</v>
      </c>
      <c r="F804" s="632"/>
      <c r="G804" s="3183">
        <f t="shared" si="137"/>
        <v>1</v>
      </c>
      <c r="H804" s="632"/>
      <c r="I804" s="3183">
        <f t="shared" si="138"/>
        <v>1</v>
      </c>
      <c r="J804" s="632"/>
      <c r="K804" s="3183">
        <f t="shared" si="139"/>
        <v>1</v>
      </c>
      <c r="L804" s="632"/>
      <c r="M804" s="3183">
        <f t="shared" si="140"/>
        <v>1</v>
      </c>
      <c r="N804" s="632"/>
      <c r="O804" s="3183">
        <f t="shared" si="141"/>
        <v>1</v>
      </c>
      <c r="P804" s="632"/>
      <c r="Q804" s="3183">
        <f t="shared" si="142"/>
        <v>1</v>
      </c>
      <c r="R804" s="3183">
        <f t="shared" si="143"/>
        <v>162430</v>
      </c>
      <c r="S804" s="902">
        <f t="shared" si="144"/>
        <v>530</v>
      </c>
    </row>
    <row r="805" spans="1:19">
      <c r="A805" s="3180">
        <f>面积!B1460</f>
        <v>-1787</v>
      </c>
      <c r="B805" s="3181">
        <f>面积!C1460</f>
        <v>32.61</v>
      </c>
      <c r="C805" s="3183">
        <f t="shared" si="135"/>
        <v>1</v>
      </c>
      <c r="D805" s="632"/>
      <c r="E805" s="3183">
        <f t="shared" si="136"/>
        <v>1</v>
      </c>
      <c r="F805" s="632"/>
      <c r="G805" s="3183">
        <f t="shared" si="137"/>
        <v>1</v>
      </c>
      <c r="H805" s="632"/>
      <c r="I805" s="3183">
        <f t="shared" si="138"/>
        <v>1</v>
      </c>
      <c r="J805" s="632"/>
      <c r="K805" s="3183">
        <f t="shared" si="139"/>
        <v>1</v>
      </c>
      <c r="L805" s="632"/>
      <c r="M805" s="3183">
        <f t="shared" si="140"/>
        <v>1</v>
      </c>
      <c r="N805" s="632"/>
      <c r="O805" s="3183">
        <f t="shared" si="141"/>
        <v>1</v>
      </c>
      <c r="P805" s="632"/>
      <c r="Q805" s="3183">
        <f t="shared" si="142"/>
        <v>1</v>
      </c>
      <c r="R805" s="3183">
        <f t="shared" si="143"/>
        <v>162430</v>
      </c>
      <c r="S805" s="902">
        <f t="shared" si="144"/>
        <v>530</v>
      </c>
    </row>
    <row r="806" spans="1:19">
      <c r="A806" s="3180">
        <f>面积!B1461</f>
        <v>-1788</v>
      </c>
      <c r="B806" s="3181">
        <f>面积!C1461</f>
        <v>32.61</v>
      </c>
      <c r="C806" s="3183">
        <f t="shared" si="135"/>
        <v>1</v>
      </c>
      <c r="D806" s="632"/>
      <c r="E806" s="3183">
        <f t="shared" si="136"/>
        <v>1</v>
      </c>
      <c r="F806" s="632"/>
      <c r="G806" s="3183">
        <f t="shared" si="137"/>
        <v>1</v>
      </c>
      <c r="H806" s="632"/>
      <c r="I806" s="3183">
        <f t="shared" si="138"/>
        <v>1</v>
      </c>
      <c r="J806" s="632"/>
      <c r="K806" s="3183">
        <f t="shared" si="139"/>
        <v>1</v>
      </c>
      <c r="L806" s="632"/>
      <c r="M806" s="3183">
        <f t="shared" si="140"/>
        <v>1</v>
      </c>
      <c r="N806" s="632"/>
      <c r="O806" s="3183">
        <f t="shared" si="141"/>
        <v>1</v>
      </c>
      <c r="P806" s="632"/>
      <c r="Q806" s="3183">
        <f t="shared" si="142"/>
        <v>1</v>
      </c>
      <c r="R806" s="3183">
        <f t="shared" si="143"/>
        <v>162430</v>
      </c>
      <c r="S806" s="902">
        <f t="shared" si="144"/>
        <v>530</v>
      </c>
    </row>
    <row r="807" spans="1:19">
      <c r="A807" s="3180">
        <f>面积!B1462</f>
        <v>-1789</v>
      </c>
      <c r="B807" s="3181">
        <f>面积!C1462</f>
        <v>32.61</v>
      </c>
      <c r="C807" s="3183">
        <f t="shared" si="135"/>
        <v>1</v>
      </c>
      <c r="D807" s="632"/>
      <c r="E807" s="3183">
        <f t="shared" si="136"/>
        <v>1</v>
      </c>
      <c r="F807" s="632"/>
      <c r="G807" s="3183">
        <f t="shared" si="137"/>
        <v>1</v>
      </c>
      <c r="H807" s="632"/>
      <c r="I807" s="3183">
        <f t="shared" si="138"/>
        <v>1</v>
      </c>
      <c r="J807" s="632"/>
      <c r="K807" s="3183">
        <f t="shared" si="139"/>
        <v>1</v>
      </c>
      <c r="L807" s="632"/>
      <c r="M807" s="3183">
        <f t="shared" si="140"/>
        <v>1</v>
      </c>
      <c r="N807" s="632"/>
      <c r="O807" s="3183">
        <f t="shared" si="141"/>
        <v>1</v>
      </c>
      <c r="P807" s="632"/>
      <c r="Q807" s="3183">
        <f t="shared" si="142"/>
        <v>1</v>
      </c>
      <c r="R807" s="3183">
        <f t="shared" si="143"/>
        <v>162430</v>
      </c>
      <c r="S807" s="902">
        <f t="shared" si="144"/>
        <v>530</v>
      </c>
    </row>
    <row r="808" spans="1:19">
      <c r="A808" s="3180">
        <f>面积!B1463</f>
        <v>-1790</v>
      </c>
      <c r="B808" s="3181">
        <f>面积!C1463</f>
        <v>32.61</v>
      </c>
      <c r="C808" s="3183">
        <f t="shared" si="135"/>
        <v>1</v>
      </c>
      <c r="D808" s="632"/>
      <c r="E808" s="3183">
        <f t="shared" si="136"/>
        <v>1</v>
      </c>
      <c r="F808" s="632"/>
      <c r="G808" s="3183">
        <f t="shared" si="137"/>
        <v>1</v>
      </c>
      <c r="H808" s="632"/>
      <c r="I808" s="3183">
        <f t="shared" si="138"/>
        <v>1</v>
      </c>
      <c r="J808" s="632"/>
      <c r="K808" s="3183">
        <f t="shared" si="139"/>
        <v>1</v>
      </c>
      <c r="L808" s="632"/>
      <c r="M808" s="3183">
        <f t="shared" si="140"/>
        <v>1</v>
      </c>
      <c r="N808" s="632"/>
      <c r="O808" s="3183">
        <f t="shared" si="141"/>
        <v>1</v>
      </c>
      <c r="P808" s="632"/>
      <c r="Q808" s="3183">
        <f t="shared" si="142"/>
        <v>1</v>
      </c>
      <c r="R808" s="3183">
        <f t="shared" si="143"/>
        <v>162430</v>
      </c>
      <c r="S808" s="902">
        <f t="shared" si="144"/>
        <v>530</v>
      </c>
    </row>
    <row r="809" spans="1:19">
      <c r="A809" s="3180">
        <f>面积!B1464</f>
        <v>-1791</v>
      </c>
      <c r="B809" s="3181">
        <f>面积!C1464</f>
        <v>32.61</v>
      </c>
      <c r="C809" s="3183">
        <f t="shared" si="135"/>
        <v>1</v>
      </c>
      <c r="D809" s="632"/>
      <c r="E809" s="3183">
        <f t="shared" si="136"/>
        <v>1</v>
      </c>
      <c r="F809" s="632"/>
      <c r="G809" s="3183">
        <f t="shared" si="137"/>
        <v>1</v>
      </c>
      <c r="H809" s="632"/>
      <c r="I809" s="3183">
        <f t="shared" si="138"/>
        <v>1</v>
      </c>
      <c r="J809" s="632"/>
      <c r="K809" s="3183">
        <f t="shared" si="139"/>
        <v>1</v>
      </c>
      <c r="L809" s="632"/>
      <c r="M809" s="3183">
        <f t="shared" si="140"/>
        <v>1</v>
      </c>
      <c r="N809" s="632"/>
      <c r="O809" s="3183">
        <f t="shared" si="141"/>
        <v>1</v>
      </c>
      <c r="P809" s="632"/>
      <c r="Q809" s="3183">
        <f t="shared" si="142"/>
        <v>1</v>
      </c>
      <c r="R809" s="3183">
        <f t="shared" si="143"/>
        <v>162430</v>
      </c>
      <c r="S809" s="902">
        <f t="shared" si="144"/>
        <v>530</v>
      </c>
    </row>
    <row r="810" spans="1:19">
      <c r="A810" s="3180">
        <f>面积!B1465</f>
        <v>-1792</v>
      </c>
      <c r="B810" s="3181">
        <f>面积!C1465</f>
        <v>32.61</v>
      </c>
      <c r="C810" s="3183">
        <f t="shared" si="135"/>
        <v>1</v>
      </c>
      <c r="D810" s="632"/>
      <c r="E810" s="3183">
        <f t="shared" si="136"/>
        <v>1</v>
      </c>
      <c r="F810" s="632"/>
      <c r="G810" s="3183">
        <f t="shared" si="137"/>
        <v>1</v>
      </c>
      <c r="H810" s="632"/>
      <c r="I810" s="3183">
        <f t="shared" si="138"/>
        <v>1</v>
      </c>
      <c r="J810" s="632"/>
      <c r="K810" s="3183">
        <f t="shared" si="139"/>
        <v>1</v>
      </c>
      <c r="L810" s="632"/>
      <c r="M810" s="3183">
        <f t="shared" si="140"/>
        <v>1</v>
      </c>
      <c r="N810" s="632"/>
      <c r="O810" s="3183">
        <f t="shared" si="141"/>
        <v>1</v>
      </c>
      <c r="P810" s="632"/>
      <c r="Q810" s="3183">
        <f t="shared" si="142"/>
        <v>1</v>
      </c>
      <c r="R810" s="3183">
        <f t="shared" si="143"/>
        <v>162430</v>
      </c>
      <c r="S810" s="902">
        <f t="shared" si="144"/>
        <v>530</v>
      </c>
    </row>
    <row r="811" spans="1:19">
      <c r="A811" s="3180">
        <f>面积!B1466</f>
        <v>-1793</v>
      </c>
      <c r="B811" s="3181">
        <f>面积!C1466</f>
        <v>32.61</v>
      </c>
      <c r="C811" s="3183">
        <f t="shared" si="135"/>
        <v>1</v>
      </c>
      <c r="D811" s="632"/>
      <c r="E811" s="3183">
        <f t="shared" si="136"/>
        <v>1</v>
      </c>
      <c r="F811" s="632"/>
      <c r="G811" s="3183">
        <f t="shared" si="137"/>
        <v>1</v>
      </c>
      <c r="H811" s="632"/>
      <c r="I811" s="3183">
        <f t="shared" si="138"/>
        <v>1</v>
      </c>
      <c r="J811" s="632"/>
      <c r="K811" s="3183">
        <f t="shared" si="139"/>
        <v>1</v>
      </c>
      <c r="L811" s="632"/>
      <c r="M811" s="3183">
        <f t="shared" si="140"/>
        <v>1</v>
      </c>
      <c r="N811" s="632"/>
      <c r="O811" s="3183">
        <f t="shared" si="141"/>
        <v>1</v>
      </c>
      <c r="P811" s="632"/>
      <c r="Q811" s="3183">
        <f t="shared" si="142"/>
        <v>1</v>
      </c>
      <c r="R811" s="3183">
        <f t="shared" si="143"/>
        <v>162430</v>
      </c>
      <c r="S811" s="902">
        <f t="shared" si="144"/>
        <v>530</v>
      </c>
    </row>
    <row r="812" spans="1:19">
      <c r="A812" s="3180">
        <f>面积!B1467</f>
        <v>-1794</v>
      </c>
      <c r="B812" s="3181">
        <f>面积!C1467</f>
        <v>32.61</v>
      </c>
      <c r="C812" s="3183">
        <f t="shared" si="135"/>
        <v>1</v>
      </c>
      <c r="D812" s="632"/>
      <c r="E812" s="3183">
        <f t="shared" si="136"/>
        <v>1</v>
      </c>
      <c r="F812" s="632"/>
      <c r="G812" s="3183">
        <f t="shared" si="137"/>
        <v>1</v>
      </c>
      <c r="H812" s="632"/>
      <c r="I812" s="3183">
        <f t="shared" si="138"/>
        <v>1</v>
      </c>
      <c r="J812" s="632"/>
      <c r="K812" s="3183">
        <f t="shared" si="139"/>
        <v>1</v>
      </c>
      <c r="L812" s="632"/>
      <c r="M812" s="3183">
        <f t="shared" si="140"/>
        <v>1</v>
      </c>
      <c r="N812" s="632"/>
      <c r="O812" s="3183">
        <f t="shared" si="141"/>
        <v>1</v>
      </c>
      <c r="P812" s="632"/>
      <c r="Q812" s="3183">
        <f t="shared" si="142"/>
        <v>1</v>
      </c>
      <c r="R812" s="3183">
        <f t="shared" si="143"/>
        <v>162430</v>
      </c>
      <c r="S812" s="902">
        <f t="shared" si="144"/>
        <v>530</v>
      </c>
    </row>
    <row r="813" spans="1:19">
      <c r="A813" s="3180">
        <f>面积!B1468</f>
        <v>-1795</v>
      </c>
      <c r="B813" s="3181">
        <f>面积!C1468</f>
        <v>32.61</v>
      </c>
      <c r="C813" s="3183">
        <f t="shared" si="135"/>
        <v>1</v>
      </c>
      <c r="D813" s="632"/>
      <c r="E813" s="3183">
        <f t="shared" si="136"/>
        <v>1</v>
      </c>
      <c r="F813" s="632"/>
      <c r="G813" s="3183">
        <f t="shared" si="137"/>
        <v>1</v>
      </c>
      <c r="H813" s="632"/>
      <c r="I813" s="3183">
        <f t="shared" si="138"/>
        <v>1</v>
      </c>
      <c r="J813" s="632"/>
      <c r="K813" s="3183">
        <f t="shared" si="139"/>
        <v>1</v>
      </c>
      <c r="L813" s="632"/>
      <c r="M813" s="3183">
        <f t="shared" si="140"/>
        <v>1</v>
      </c>
      <c r="N813" s="632"/>
      <c r="O813" s="3183">
        <f t="shared" si="141"/>
        <v>1</v>
      </c>
      <c r="P813" s="632"/>
      <c r="Q813" s="3183">
        <f t="shared" si="142"/>
        <v>1</v>
      </c>
      <c r="R813" s="3183">
        <f t="shared" si="143"/>
        <v>162430</v>
      </c>
      <c r="S813" s="902">
        <f t="shared" si="144"/>
        <v>530</v>
      </c>
    </row>
    <row r="814" spans="1:19">
      <c r="A814" s="3180">
        <f>面积!B1469</f>
        <v>-1796</v>
      </c>
      <c r="B814" s="3181">
        <f>面积!C1469</f>
        <v>32.61</v>
      </c>
      <c r="C814" s="3183">
        <f t="shared" si="135"/>
        <v>1</v>
      </c>
      <c r="D814" s="632"/>
      <c r="E814" s="3183">
        <f t="shared" si="136"/>
        <v>1</v>
      </c>
      <c r="F814" s="632"/>
      <c r="G814" s="3183">
        <f t="shared" si="137"/>
        <v>1</v>
      </c>
      <c r="H814" s="632"/>
      <c r="I814" s="3183">
        <f t="shared" si="138"/>
        <v>1</v>
      </c>
      <c r="J814" s="632"/>
      <c r="K814" s="3183">
        <f t="shared" si="139"/>
        <v>1</v>
      </c>
      <c r="L814" s="632"/>
      <c r="M814" s="3183">
        <f t="shared" si="140"/>
        <v>1</v>
      </c>
      <c r="N814" s="632"/>
      <c r="O814" s="3183">
        <f t="shared" si="141"/>
        <v>1</v>
      </c>
      <c r="P814" s="632"/>
      <c r="Q814" s="3183">
        <f t="shared" si="142"/>
        <v>1</v>
      </c>
      <c r="R814" s="3183">
        <f t="shared" si="143"/>
        <v>162430</v>
      </c>
      <c r="S814" s="902">
        <f t="shared" si="144"/>
        <v>530</v>
      </c>
    </row>
    <row r="815" spans="1:19">
      <c r="A815" s="3180">
        <f>面积!B1470</f>
        <v>-1797</v>
      </c>
      <c r="B815" s="3181">
        <f>面积!C1470</f>
        <v>32.61</v>
      </c>
      <c r="C815" s="3183">
        <f t="shared" si="135"/>
        <v>1</v>
      </c>
      <c r="D815" s="632"/>
      <c r="E815" s="3183">
        <f t="shared" si="136"/>
        <v>1</v>
      </c>
      <c r="F815" s="632"/>
      <c r="G815" s="3183">
        <f t="shared" si="137"/>
        <v>1</v>
      </c>
      <c r="H815" s="632"/>
      <c r="I815" s="3183">
        <f t="shared" si="138"/>
        <v>1</v>
      </c>
      <c r="J815" s="632"/>
      <c r="K815" s="3183">
        <f t="shared" si="139"/>
        <v>1</v>
      </c>
      <c r="L815" s="632"/>
      <c r="M815" s="3183">
        <f t="shared" si="140"/>
        <v>1</v>
      </c>
      <c r="N815" s="632"/>
      <c r="O815" s="3183">
        <f t="shared" si="141"/>
        <v>1</v>
      </c>
      <c r="P815" s="632"/>
      <c r="Q815" s="3183">
        <f t="shared" si="142"/>
        <v>1</v>
      </c>
      <c r="R815" s="3183">
        <f t="shared" si="143"/>
        <v>162430</v>
      </c>
      <c r="S815" s="902">
        <f t="shared" si="144"/>
        <v>530</v>
      </c>
    </row>
    <row r="816" spans="1:19">
      <c r="A816" s="3180">
        <f>面积!B1471</f>
        <v>-1798</v>
      </c>
      <c r="B816" s="3181">
        <f>面积!C1471</f>
        <v>32.61</v>
      </c>
      <c r="C816" s="3183">
        <f t="shared" si="135"/>
        <v>1</v>
      </c>
      <c r="D816" s="632"/>
      <c r="E816" s="3183">
        <f t="shared" si="136"/>
        <v>1</v>
      </c>
      <c r="F816" s="632"/>
      <c r="G816" s="3183">
        <f t="shared" si="137"/>
        <v>1</v>
      </c>
      <c r="H816" s="632"/>
      <c r="I816" s="3183">
        <f t="shared" si="138"/>
        <v>1</v>
      </c>
      <c r="J816" s="632"/>
      <c r="K816" s="3183">
        <f t="shared" si="139"/>
        <v>1</v>
      </c>
      <c r="L816" s="632"/>
      <c r="M816" s="3183">
        <f t="shared" si="140"/>
        <v>1</v>
      </c>
      <c r="N816" s="632"/>
      <c r="O816" s="3183">
        <f t="shared" si="141"/>
        <v>1</v>
      </c>
      <c r="P816" s="632"/>
      <c r="Q816" s="3183">
        <f t="shared" si="142"/>
        <v>1</v>
      </c>
      <c r="R816" s="3183">
        <f t="shared" si="143"/>
        <v>162430</v>
      </c>
      <c r="S816" s="902">
        <f t="shared" si="144"/>
        <v>530</v>
      </c>
    </row>
    <row r="817" spans="1:19">
      <c r="A817" s="3180">
        <f>面积!B1472</f>
        <v>-1799</v>
      </c>
      <c r="B817" s="3181">
        <f>面积!C1472</f>
        <v>32.61</v>
      </c>
      <c r="C817" s="3183">
        <f t="shared" si="135"/>
        <v>1</v>
      </c>
      <c r="D817" s="632"/>
      <c r="E817" s="3183">
        <f t="shared" si="136"/>
        <v>1</v>
      </c>
      <c r="F817" s="632"/>
      <c r="G817" s="3183">
        <f t="shared" si="137"/>
        <v>1</v>
      </c>
      <c r="H817" s="632"/>
      <c r="I817" s="3183">
        <f t="shared" si="138"/>
        <v>1</v>
      </c>
      <c r="J817" s="632"/>
      <c r="K817" s="3183">
        <f t="shared" si="139"/>
        <v>1</v>
      </c>
      <c r="L817" s="632"/>
      <c r="M817" s="3183">
        <f t="shared" si="140"/>
        <v>1</v>
      </c>
      <c r="N817" s="632"/>
      <c r="O817" s="3183">
        <f t="shared" si="141"/>
        <v>1</v>
      </c>
      <c r="P817" s="632"/>
      <c r="Q817" s="3183">
        <f t="shared" si="142"/>
        <v>1</v>
      </c>
      <c r="R817" s="3183">
        <f t="shared" si="143"/>
        <v>162430</v>
      </c>
      <c r="S817" s="902">
        <f t="shared" si="144"/>
        <v>530</v>
      </c>
    </row>
    <row r="818" spans="1:19">
      <c r="A818" s="3180">
        <f>面积!B1473</f>
        <v>-1800</v>
      </c>
      <c r="B818" s="3181">
        <f>面积!C1473</f>
        <v>32.61</v>
      </c>
      <c r="C818" s="3183">
        <f t="shared" si="135"/>
        <v>1</v>
      </c>
      <c r="D818" s="632"/>
      <c r="E818" s="3183">
        <f t="shared" si="136"/>
        <v>1</v>
      </c>
      <c r="F818" s="632"/>
      <c r="G818" s="3183">
        <f t="shared" si="137"/>
        <v>1</v>
      </c>
      <c r="H818" s="632"/>
      <c r="I818" s="3183">
        <f t="shared" si="138"/>
        <v>1</v>
      </c>
      <c r="J818" s="632"/>
      <c r="K818" s="3183">
        <f t="shared" si="139"/>
        <v>1</v>
      </c>
      <c r="L818" s="632"/>
      <c r="M818" s="3183">
        <f t="shared" si="140"/>
        <v>1</v>
      </c>
      <c r="N818" s="632"/>
      <c r="O818" s="3183">
        <f t="shared" si="141"/>
        <v>1</v>
      </c>
      <c r="P818" s="632"/>
      <c r="Q818" s="3183">
        <f t="shared" si="142"/>
        <v>1</v>
      </c>
      <c r="R818" s="3183">
        <f t="shared" si="143"/>
        <v>162430</v>
      </c>
      <c r="S818" s="902">
        <f t="shared" si="144"/>
        <v>530</v>
      </c>
    </row>
    <row r="819" spans="1:19">
      <c r="A819" s="3180">
        <f>面积!B1474</f>
        <v>-1801</v>
      </c>
      <c r="B819" s="3181">
        <f>面积!C1474</f>
        <v>32.61</v>
      </c>
      <c r="C819" s="3183">
        <f t="shared" si="135"/>
        <v>1</v>
      </c>
      <c r="D819" s="632"/>
      <c r="E819" s="3183">
        <f t="shared" si="136"/>
        <v>1</v>
      </c>
      <c r="F819" s="632"/>
      <c r="G819" s="3183">
        <f t="shared" si="137"/>
        <v>1</v>
      </c>
      <c r="H819" s="632"/>
      <c r="I819" s="3183">
        <f t="shared" si="138"/>
        <v>1</v>
      </c>
      <c r="J819" s="632"/>
      <c r="K819" s="3183">
        <f t="shared" si="139"/>
        <v>1</v>
      </c>
      <c r="L819" s="632"/>
      <c r="M819" s="3183">
        <f t="shared" si="140"/>
        <v>1</v>
      </c>
      <c r="N819" s="632"/>
      <c r="O819" s="3183">
        <f t="shared" si="141"/>
        <v>1</v>
      </c>
      <c r="P819" s="632"/>
      <c r="Q819" s="3183">
        <f t="shared" si="142"/>
        <v>1</v>
      </c>
      <c r="R819" s="3183">
        <f t="shared" si="143"/>
        <v>162430</v>
      </c>
      <c r="S819" s="902">
        <f t="shared" si="144"/>
        <v>530</v>
      </c>
    </row>
    <row r="820" spans="1:19">
      <c r="A820" s="3180"/>
      <c r="B820" s="3181"/>
      <c r="C820" s="3183">
        <f t="shared" si="135"/>
        <v>1</v>
      </c>
      <c r="D820" s="632"/>
      <c r="E820" s="3183">
        <f t="shared" si="136"/>
        <v>1</v>
      </c>
      <c r="F820" s="632"/>
      <c r="G820" s="3183">
        <f t="shared" si="137"/>
        <v>1</v>
      </c>
      <c r="H820" s="632"/>
      <c r="I820" s="3183">
        <f t="shared" si="138"/>
        <v>1</v>
      </c>
      <c r="J820" s="632"/>
      <c r="K820" s="3183">
        <f t="shared" si="139"/>
        <v>1</v>
      </c>
      <c r="L820" s="632"/>
      <c r="M820" s="3183">
        <f t="shared" si="140"/>
        <v>1</v>
      </c>
      <c r="N820" s="632"/>
      <c r="O820" s="3183">
        <f t="shared" si="141"/>
        <v>1</v>
      </c>
      <c r="P820" s="632"/>
      <c r="Q820" s="3183">
        <f t="shared" si="142"/>
        <v>1</v>
      </c>
      <c r="R820" s="3183">
        <f t="shared" si="143"/>
        <v>0</v>
      </c>
      <c r="S820" s="902">
        <f t="shared" si="144"/>
        <v>0</v>
      </c>
    </row>
    <row r="821" spans="1:19">
      <c r="A821" s="3180"/>
      <c r="B821" s="3181"/>
      <c r="C821" s="3183">
        <f t="shared" si="135"/>
        <v>1</v>
      </c>
      <c r="D821" s="632"/>
      <c r="E821" s="3183">
        <f t="shared" si="136"/>
        <v>1</v>
      </c>
      <c r="F821" s="632"/>
      <c r="G821" s="3183">
        <f t="shared" si="137"/>
        <v>1</v>
      </c>
      <c r="H821" s="632"/>
      <c r="I821" s="3183">
        <f t="shared" si="138"/>
        <v>1</v>
      </c>
      <c r="J821" s="632"/>
      <c r="K821" s="3183">
        <f t="shared" si="139"/>
        <v>1</v>
      </c>
      <c r="L821" s="632"/>
      <c r="M821" s="3183">
        <f t="shared" si="140"/>
        <v>1</v>
      </c>
      <c r="N821" s="632"/>
      <c r="O821" s="3183">
        <f t="shared" si="141"/>
        <v>1</v>
      </c>
      <c r="P821" s="632"/>
      <c r="Q821" s="3183">
        <f t="shared" si="142"/>
        <v>1</v>
      </c>
      <c r="R821" s="3183">
        <f t="shared" si="143"/>
        <v>0</v>
      </c>
      <c r="S821" s="902">
        <f t="shared" si="144"/>
        <v>0</v>
      </c>
    </row>
    <row r="822" spans="1:19">
      <c r="A822" s="3180"/>
      <c r="B822" s="3181"/>
      <c r="C822" s="3183">
        <f t="shared" si="135"/>
        <v>1</v>
      </c>
      <c r="D822" s="632"/>
      <c r="E822" s="3183">
        <f t="shared" si="136"/>
        <v>1</v>
      </c>
      <c r="F822" s="632"/>
      <c r="G822" s="3183">
        <f t="shared" si="137"/>
        <v>1</v>
      </c>
      <c r="H822" s="632"/>
      <c r="I822" s="3183">
        <f t="shared" si="138"/>
        <v>1</v>
      </c>
      <c r="J822" s="632"/>
      <c r="K822" s="3183">
        <f t="shared" si="139"/>
        <v>1</v>
      </c>
      <c r="L822" s="632"/>
      <c r="M822" s="3183">
        <f t="shared" si="140"/>
        <v>1</v>
      </c>
      <c r="N822" s="632"/>
      <c r="O822" s="3183">
        <f t="shared" si="141"/>
        <v>1</v>
      </c>
      <c r="P822" s="632"/>
      <c r="Q822" s="3183">
        <f t="shared" si="142"/>
        <v>1</v>
      </c>
      <c r="R822" s="3183">
        <f t="shared" si="143"/>
        <v>0</v>
      </c>
      <c r="S822" s="902">
        <f t="shared" si="144"/>
        <v>0</v>
      </c>
    </row>
    <row r="823" spans="1:19">
      <c r="A823" s="3180"/>
      <c r="B823" s="3181"/>
      <c r="C823" s="3183">
        <f t="shared" si="135"/>
        <v>1</v>
      </c>
      <c r="D823" s="632"/>
      <c r="E823" s="3183">
        <f t="shared" si="136"/>
        <v>1</v>
      </c>
      <c r="F823" s="632"/>
      <c r="G823" s="3183">
        <f t="shared" si="137"/>
        <v>1</v>
      </c>
      <c r="H823" s="632"/>
      <c r="I823" s="3183">
        <f t="shared" si="138"/>
        <v>1</v>
      </c>
      <c r="J823" s="632"/>
      <c r="K823" s="3183">
        <f t="shared" si="139"/>
        <v>1</v>
      </c>
      <c r="L823" s="632"/>
      <c r="M823" s="3183">
        <f t="shared" si="140"/>
        <v>1</v>
      </c>
      <c r="N823" s="632"/>
      <c r="O823" s="3183">
        <f t="shared" si="141"/>
        <v>1</v>
      </c>
      <c r="P823" s="632"/>
      <c r="Q823" s="3183">
        <f t="shared" si="142"/>
        <v>1</v>
      </c>
      <c r="R823" s="3183">
        <f t="shared" si="143"/>
        <v>0</v>
      </c>
      <c r="S823" s="902">
        <f t="shared" si="144"/>
        <v>0</v>
      </c>
    </row>
    <row r="824" spans="1:19">
      <c r="A824" s="3180"/>
      <c r="B824" s="3181"/>
      <c r="C824" s="3183">
        <f t="shared" si="135"/>
        <v>1</v>
      </c>
      <c r="D824" s="632"/>
      <c r="E824" s="3183">
        <f t="shared" si="136"/>
        <v>1</v>
      </c>
      <c r="F824" s="632"/>
      <c r="G824" s="3183">
        <f t="shared" si="137"/>
        <v>1</v>
      </c>
      <c r="H824" s="632"/>
      <c r="I824" s="3183">
        <f t="shared" si="138"/>
        <v>1</v>
      </c>
      <c r="J824" s="632"/>
      <c r="K824" s="3183">
        <f t="shared" si="139"/>
        <v>1</v>
      </c>
      <c r="L824" s="632"/>
      <c r="M824" s="3183">
        <f t="shared" si="140"/>
        <v>1</v>
      </c>
      <c r="N824" s="632"/>
      <c r="O824" s="3183">
        <f t="shared" si="141"/>
        <v>1</v>
      </c>
      <c r="P824" s="632"/>
      <c r="Q824" s="3183">
        <f t="shared" si="142"/>
        <v>1</v>
      </c>
      <c r="R824" s="3183">
        <f t="shared" si="143"/>
        <v>0</v>
      </c>
      <c r="S824" s="902">
        <f t="shared" si="144"/>
        <v>0</v>
      </c>
    </row>
    <row r="825" spans="1:19">
      <c r="A825" s="3180"/>
      <c r="B825" s="3181"/>
      <c r="C825" s="3183">
        <f t="shared" si="135"/>
        <v>1</v>
      </c>
      <c r="D825" s="632"/>
      <c r="E825" s="3183">
        <f t="shared" si="136"/>
        <v>1</v>
      </c>
      <c r="F825" s="632"/>
      <c r="G825" s="3183">
        <f t="shared" si="137"/>
        <v>1</v>
      </c>
      <c r="H825" s="632"/>
      <c r="I825" s="3183">
        <f t="shared" si="138"/>
        <v>1</v>
      </c>
      <c r="J825" s="632"/>
      <c r="K825" s="3183">
        <f t="shared" si="139"/>
        <v>1</v>
      </c>
      <c r="L825" s="632"/>
      <c r="M825" s="3183">
        <f t="shared" si="140"/>
        <v>1</v>
      </c>
      <c r="N825" s="632"/>
      <c r="O825" s="3183">
        <f t="shared" si="141"/>
        <v>1</v>
      </c>
      <c r="P825" s="632"/>
      <c r="Q825" s="3183">
        <f t="shared" si="142"/>
        <v>1</v>
      </c>
      <c r="R825" s="3183">
        <f t="shared" si="143"/>
        <v>0</v>
      </c>
      <c r="S825" s="902">
        <f t="shared" si="144"/>
        <v>0</v>
      </c>
    </row>
    <row r="826" spans="1:19">
      <c r="A826" s="3180"/>
      <c r="B826" s="3181"/>
      <c r="C826" s="3183">
        <f t="shared" si="135"/>
        <v>1</v>
      </c>
      <c r="D826" s="632"/>
      <c r="E826" s="3183">
        <f t="shared" si="136"/>
        <v>1</v>
      </c>
      <c r="F826" s="632"/>
      <c r="G826" s="3183">
        <f t="shared" si="137"/>
        <v>1</v>
      </c>
      <c r="H826" s="632"/>
      <c r="I826" s="3183">
        <f t="shared" si="138"/>
        <v>1</v>
      </c>
      <c r="J826" s="632"/>
      <c r="K826" s="3183">
        <f t="shared" si="139"/>
        <v>1</v>
      </c>
      <c r="L826" s="632"/>
      <c r="M826" s="3183">
        <f t="shared" si="140"/>
        <v>1</v>
      </c>
      <c r="N826" s="632"/>
      <c r="O826" s="3183">
        <f t="shared" si="141"/>
        <v>1</v>
      </c>
      <c r="P826" s="632"/>
      <c r="Q826" s="3183">
        <f t="shared" si="142"/>
        <v>1</v>
      </c>
      <c r="R826" s="3183">
        <f t="shared" si="143"/>
        <v>0</v>
      </c>
      <c r="S826" s="902">
        <f t="shared" si="144"/>
        <v>0</v>
      </c>
    </row>
    <row r="827" spans="1:19">
      <c r="A827" s="3180"/>
      <c r="B827" s="3181"/>
    </row>
    <row r="828" spans="1:19">
      <c r="A828" s="3180"/>
      <c r="B828" s="3181"/>
    </row>
    <row r="829" spans="1:19">
      <c r="A829" s="3180"/>
      <c r="B829" s="3181"/>
    </row>
    <row r="830" spans="1:19">
      <c r="A830" s="3180"/>
      <c r="B830" s="3181"/>
    </row>
    <row r="831" spans="1:19">
      <c r="A831" s="3180"/>
      <c r="B831" s="3181"/>
    </row>
    <row r="832" spans="1:19">
      <c r="A832" s="3180"/>
      <c r="B832" s="3181"/>
    </row>
    <row r="833" spans="1:2">
      <c r="A833" s="3180"/>
      <c r="B833" s="3181"/>
    </row>
    <row r="834" spans="1:2">
      <c r="A834" s="3180"/>
      <c r="B834" s="3181"/>
    </row>
    <row r="835" spans="1:2">
      <c r="A835" s="3180"/>
      <c r="B835" s="3181"/>
    </row>
    <row r="836" spans="1:2">
      <c r="A836" s="3180"/>
      <c r="B836" s="3181"/>
    </row>
  </sheetData>
  <sheetProtection password="CEE9" sheet="1" objects="1" scenarios="1" formatCells="0" formatColumns="0" formatRows="0"/>
  <mergeCells count="2">
    <mergeCell ref="C22:Q22"/>
    <mergeCell ref="C1:S1"/>
  </mergeCells>
  <phoneticPr fontId="24" type="noConversion"/>
  <conditionalFormatting sqref="C24:C826 E24:E826 G24:G826 I24:I826 K24:K826 M24:M826 O24:O826 Q24:Q826">
    <cfRule type="cellIs" dxfId="6"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39" customWidth="1"/>
    <col min="2" max="2" width="12.5" style="639" customWidth="1"/>
    <col min="3" max="3" width="12.125" style="639" customWidth="1"/>
    <col min="4" max="4" width="14.125" style="639" customWidth="1"/>
    <col min="5" max="5" width="12.5" style="639" customWidth="1"/>
    <col min="6" max="16384" width="9" style="639"/>
  </cols>
  <sheetData>
    <row r="1" spans="1:16" ht="21">
      <c r="A1" s="1721" t="s">
        <v>2081</v>
      </c>
      <c r="B1" s="4"/>
      <c r="C1" s="4"/>
      <c r="D1" s="4"/>
      <c r="E1" s="4"/>
      <c r="F1" s="2537"/>
      <c r="G1" s="2537"/>
      <c r="H1" s="2537"/>
      <c r="I1" s="2537"/>
      <c r="J1" s="2537"/>
      <c r="K1" s="2537"/>
      <c r="L1" s="2537"/>
      <c r="M1" s="2537"/>
      <c r="N1" s="2537"/>
      <c r="O1" s="2537"/>
      <c r="P1" s="2537"/>
    </row>
    <row r="2" spans="1:16" ht="15.75">
      <c r="A2" s="1980" t="s">
        <v>2073</v>
      </c>
      <c r="B2" s="2381" t="e">
        <f ca="1">SUMIF(B6:B13,"&lt;&gt;#ref!",B6:B13)</f>
        <v>#DIV/0!</v>
      </c>
      <c r="C2" s="1980" t="s">
        <v>2074</v>
      </c>
      <c r="D2" s="1980" t="s">
        <v>2075</v>
      </c>
      <c r="E2" s="2391">
        <f ca="1">SUMIF(E6:E13,"&lt;&gt;#ref!",E6:E13)</f>
        <v>0</v>
      </c>
      <c r="F2" s="2537"/>
      <c r="G2" s="2537"/>
      <c r="H2" s="2537"/>
      <c r="I2" s="2537"/>
      <c r="J2" s="2537"/>
      <c r="K2" s="2537"/>
      <c r="L2" s="2537"/>
      <c r="M2" s="2537"/>
      <c r="N2" s="2537"/>
      <c r="O2" s="2537"/>
      <c r="P2" s="2537"/>
    </row>
    <row r="3" spans="1:16" ht="15.75">
      <c r="A3" s="1980" t="s">
        <v>2076</v>
      </c>
      <c r="B3" s="2381" t="e">
        <f ca="1">ROUND(B2*10000/E2,0)</f>
        <v>#DIV/0!</v>
      </c>
      <c r="C3" s="1980"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7" t="s">
        <v>2077</v>
      </c>
      <c r="B5" s="2389" t="s">
        <v>2078</v>
      </c>
      <c r="C5" s="1981"/>
      <c r="D5" s="2537"/>
      <c r="E5" s="2390" t="s">
        <v>2079</v>
      </c>
      <c r="F5" s="2537"/>
      <c r="G5" s="2537"/>
      <c r="H5" s="2537"/>
      <c r="I5" s="2537"/>
      <c r="J5" s="2537"/>
      <c r="K5" s="2537"/>
      <c r="L5" s="2537"/>
      <c r="M5" s="2537"/>
      <c r="N5" s="2537"/>
      <c r="O5" s="2537"/>
      <c r="P5" s="2537"/>
    </row>
    <row r="6" spans="1:16" ht="15.75">
      <c r="A6" s="2388" t="s">
        <v>2080</v>
      </c>
      <c r="B6" s="2381" t="e">
        <f ca="1">SUMIF(INDIRECT("'"&amp;A6&amp;"'"&amp;"!A:A"),"总价",INDIRECT("'"&amp;A6&amp;"'"&amp;"!B:B"))</f>
        <v>#DIV/0!</v>
      </c>
      <c r="C6" s="1980" t="s">
        <v>2074</v>
      </c>
      <c r="D6" s="2537"/>
      <c r="E6" s="2391">
        <f ca="1">SUMIF(INDIRECT("'"&amp;A6&amp;"'"&amp;"!C:C"),"建筑面积",INDIRECT("'"&amp;A6&amp;"'"&amp;"!D:D"))</f>
        <v>0</v>
      </c>
      <c r="F6" s="2537"/>
      <c r="G6" s="2537"/>
      <c r="H6" s="2537"/>
      <c r="I6" s="2537"/>
      <c r="J6" s="2537"/>
      <c r="K6" s="2537"/>
      <c r="L6" s="2537"/>
      <c r="M6" s="2537"/>
      <c r="N6" s="2537"/>
      <c r="O6" s="2537"/>
      <c r="P6" s="2537"/>
    </row>
    <row r="7" spans="1:16" ht="15.75">
      <c r="A7" s="2388"/>
      <c r="B7" s="2381" t="e">
        <f ca="1">SUMIF(INDIRECT("'"&amp;A7&amp;"'"&amp;"!A:A"),"总价",INDIRECT("'"&amp;A7&amp;"'"&amp;"!B:B"))</f>
        <v>#REF!</v>
      </c>
      <c r="C7" s="1980" t="s">
        <v>2074</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75">
      <c r="A8" s="2388"/>
      <c r="B8" s="2381" t="e">
        <f t="shared" ref="B8:B13" ca="1" si="1">SUMIF(INDIRECT("'"&amp;A8&amp;"'"&amp;"!A:A"),"总价",INDIRECT("'"&amp;A8&amp;"'"&amp;"!B:B"))</f>
        <v>#REF!</v>
      </c>
      <c r="C8" s="1980" t="s">
        <v>2074</v>
      </c>
      <c r="D8" s="2537"/>
      <c r="E8" s="2391" t="e">
        <f t="shared" ca="1" si="0"/>
        <v>#REF!</v>
      </c>
      <c r="F8" s="2537"/>
      <c r="G8" s="2537"/>
      <c r="H8" s="2537"/>
      <c r="I8" s="2537"/>
      <c r="J8" s="2537"/>
      <c r="K8" s="2537"/>
      <c r="L8" s="2537"/>
      <c r="M8" s="2537"/>
      <c r="N8" s="2537"/>
      <c r="O8" s="2537"/>
      <c r="P8" s="2537"/>
    </row>
    <row r="9" spans="1:16" ht="15.75">
      <c r="A9" s="2388"/>
      <c r="B9" s="2381" t="e">
        <f t="shared" ca="1" si="1"/>
        <v>#REF!</v>
      </c>
      <c r="C9" s="1980" t="s">
        <v>2074</v>
      </c>
      <c r="D9" s="2537"/>
      <c r="E9" s="2391" t="e">
        <f t="shared" ca="1" si="0"/>
        <v>#REF!</v>
      </c>
      <c r="F9" s="2537"/>
      <c r="G9" s="2537"/>
      <c r="H9" s="2537"/>
      <c r="I9" s="2537"/>
      <c r="J9" s="2537"/>
      <c r="K9" s="2537"/>
      <c r="L9" s="2537"/>
      <c r="M9" s="2537"/>
      <c r="N9" s="2537"/>
      <c r="O9" s="2537"/>
      <c r="P9" s="2537"/>
    </row>
    <row r="10" spans="1:16" ht="15.75">
      <c r="A10" s="2388"/>
      <c r="B10" s="2381" t="e">
        <f t="shared" ca="1" si="1"/>
        <v>#REF!</v>
      </c>
      <c r="C10" s="1980" t="s">
        <v>2074</v>
      </c>
      <c r="D10" s="2537"/>
      <c r="E10" s="2391" t="e">
        <f t="shared" ca="1" si="0"/>
        <v>#REF!</v>
      </c>
      <c r="F10" s="2537"/>
      <c r="G10" s="2537"/>
      <c r="H10" s="2537"/>
      <c r="I10" s="2537"/>
      <c r="J10" s="2537"/>
      <c r="K10" s="2537"/>
      <c r="L10" s="2537"/>
      <c r="M10" s="2537"/>
      <c r="N10" s="2537"/>
      <c r="O10" s="2537"/>
      <c r="P10" s="2537"/>
    </row>
    <row r="11" spans="1:16" ht="15.75">
      <c r="A11" s="2388"/>
      <c r="B11" s="2381" t="e">
        <f t="shared" ca="1" si="1"/>
        <v>#REF!</v>
      </c>
      <c r="C11" s="1980" t="s">
        <v>2074</v>
      </c>
      <c r="D11" s="2537"/>
      <c r="E11" s="2391" t="e">
        <f t="shared" ca="1" si="0"/>
        <v>#REF!</v>
      </c>
      <c r="F11" s="2537"/>
      <c r="G11" s="2537"/>
      <c r="H11" s="2537"/>
      <c r="I11" s="2537"/>
      <c r="J11" s="2537"/>
      <c r="K11" s="2537"/>
      <c r="L11" s="2537"/>
      <c r="M11" s="2537"/>
      <c r="N11" s="2537"/>
      <c r="O11" s="2537"/>
      <c r="P11" s="2537"/>
    </row>
    <row r="12" spans="1:16" ht="15.75">
      <c r="A12" s="2388"/>
      <c r="B12" s="2381" t="e">
        <f t="shared" ca="1" si="1"/>
        <v>#REF!</v>
      </c>
      <c r="C12" s="1980" t="s">
        <v>2074</v>
      </c>
      <c r="D12" s="2537"/>
      <c r="E12" s="2391" t="e">
        <f t="shared" ca="1" si="0"/>
        <v>#REF!</v>
      </c>
      <c r="F12" s="2537"/>
      <c r="G12" s="2537"/>
      <c r="H12" s="2537"/>
      <c r="I12" s="2537"/>
      <c r="J12" s="2537"/>
      <c r="K12" s="2537"/>
      <c r="L12" s="2537"/>
      <c r="M12" s="2537"/>
      <c r="N12" s="2537"/>
      <c r="O12" s="2537"/>
      <c r="P12" s="2537"/>
    </row>
    <row r="13" spans="1:16" ht="15.75">
      <c r="A13" s="2388"/>
      <c r="B13" s="2381" t="e">
        <f t="shared" ca="1" si="1"/>
        <v>#REF!</v>
      </c>
      <c r="C13" s="1980" t="s">
        <v>2074</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 zoomScaleNormal="80" zoomScaleSheetLayoutView="100" workbookViewId="0">
      <selection activeCell="Q80" sqref="Q80"/>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5" customWidth="1"/>
    <col min="33" max="36" width="9.375" style="1891" customWidth="1"/>
    <col min="37" max="38" width="9.375" style="1841" customWidth="1"/>
    <col min="39" max="16384" width="12" style="1841"/>
  </cols>
  <sheetData>
    <row r="1" spans="1:36" ht="28.5">
      <c r="A1" s="186" t="s">
        <v>1926</v>
      </c>
      <c r="B1" s="187"/>
      <c r="C1" s="191" t="s">
        <v>1927</v>
      </c>
      <c r="D1" s="331">
        <f>SUM(D33:D34,D37:D42)</f>
        <v>0</v>
      </c>
      <c r="E1" s="1838"/>
      <c r="F1" s="1838"/>
      <c r="G1" s="1838"/>
      <c r="H1" s="1838"/>
      <c r="I1" s="1838"/>
      <c r="J1" s="1838"/>
      <c r="K1" s="1053"/>
      <c r="L1" s="1839" t="s">
        <v>1928</v>
      </c>
      <c r="M1" s="807">
        <f>SUMPRODUCT((区片价!B5:B9=I2)*(区片价!C3:G3=E2)*(区片价!C5:G9))</f>
        <v>0</v>
      </c>
      <c r="N1" s="810">
        <f>SUMPRODUCT((因素修正幅度!B5:B9=I2)*(因素修正幅度!C3:G3=E2)*(因素修正幅度!C5:G9))</f>
        <v>0</v>
      </c>
      <c r="O1" s="1840"/>
      <c r="P1" s="1840"/>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1" t="s">
        <v>1934</v>
      </c>
      <c r="B2" s="194" t="e">
        <f>C30</f>
        <v>#DIV/0!</v>
      </c>
      <c r="C2" s="1842" t="s">
        <v>1935</v>
      </c>
      <c r="D2" s="160" t="s">
        <v>1936</v>
      </c>
      <c r="E2" s="3113"/>
      <c r="F2" s="160" t="s">
        <v>1937</v>
      </c>
      <c r="G2" s="161">
        <f>IF(E2="商业",项目基本情况!B37,IF(E2="办公",项目基本情况!C37,IF(E2="住宅",项目基本情况!D37,IF(E2="工业",项目基本情况!E37,项目基本情况!F37))))</f>
        <v>0</v>
      </c>
      <c r="H2" s="160" t="s">
        <v>1938</v>
      </c>
      <c r="I2" s="161">
        <f>IF(E2="商业",项目基本情况!B38,IF(E2="办公",项目基本情况!C38,IF(E2="住宅",项目基本情况!D38,IF(E2="工业",项目基本情况!E38,项目基本情况!F38))))</f>
        <v>0</v>
      </c>
      <c r="J2" s="1838"/>
      <c r="K2" s="1053"/>
      <c r="L2" s="1843" t="s">
        <v>1939</v>
      </c>
      <c r="M2" s="808">
        <f>SUMPRODUCT((区片价!B10:B29=I2)*(区片价!C3:G3=E2)*(区片价!C10:G29))</f>
        <v>0</v>
      </c>
      <c r="N2" s="810">
        <f>SUMPRODUCT((因素修正幅度!B10:B29=I2)*(因素修正幅度!C3:G3=E2)*(因素修正幅度!C10:G29))</f>
        <v>0</v>
      </c>
      <c r="O2" s="1053"/>
      <c r="P2" s="1053"/>
      <c r="Q2" s="1053"/>
      <c r="R2" s="1126">
        <v>1</v>
      </c>
      <c r="S2" s="3056">
        <f>ROUND(SUMPRODUCT((B106:B110=R2)*(C105:N105=G2)*(C106:N110)),4)</f>
        <v>0</v>
      </c>
      <c r="T2" s="3056" t="e">
        <f t="shared" ref="T2:T16" si="0">ROUND($C$5*$C$22*$C$23*$C$24*S2*$C$28,0)</f>
        <v>#DIV/0!</v>
      </c>
      <c r="U2" s="1127"/>
      <c r="V2" s="3056" t="e">
        <f>ROUND(T2*U2/10000,0)</f>
        <v>#DIV/0!</v>
      </c>
      <c r="W2" s="1130"/>
      <c r="X2" s="1130"/>
      <c r="Y2" s="1130"/>
      <c r="Z2" s="1130"/>
      <c r="AA2" s="1130"/>
      <c r="AB2" s="1130"/>
      <c r="AC2" s="1131"/>
      <c r="AD2" s="1132"/>
      <c r="AE2" s="1132"/>
      <c r="AF2" s="1132"/>
      <c r="AG2" s="1132"/>
      <c r="AH2" s="1132"/>
      <c r="AI2" s="1132"/>
      <c r="AJ2" s="1133"/>
    </row>
    <row r="3" spans="1:36" ht="15.75">
      <c r="A3" s="193" t="s">
        <v>1940</v>
      </c>
      <c r="B3" s="194" t="e">
        <f>ROUND(B2*10000/D1,0)</f>
        <v>#DIV/0!</v>
      </c>
      <c r="C3" s="1842" t="s">
        <v>1941</v>
      </c>
      <c r="D3" s="160" t="s">
        <v>1942</v>
      </c>
      <c r="E3" s="3111"/>
      <c r="F3" s="1844"/>
      <c r="G3" s="705">
        <f>IF(F3="宗地容积率",'数据-汇总表'!I4,IF(F3="估价对象容积率",'数据-汇总表'!I6,'数据-汇总表'!I7))</f>
        <v>1.8</v>
      </c>
      <c r="H3" s="160" t="s">
        <v>1943</v>
      </c>
      <c r="I3" s="726"/>
      <c r="J3" s="1838" t="s">
        <v>1944</v>
      </c>
      <c r="K3" s="1053"/>
      <c r="L3" s="1843" t="s">
        <v>1945</v>
      </c>
      <c r="M3" s="808">
        <f>SUMPRODUCT((区片价!B30:B54=I2)*(区片价!C3:G3=E2)*(区片价!C30:G54))</f>
        <v>0</v>
      </c>
      <c r="N3" s="810">
        <f>SUMPRODUCT((因素修正幅度!B30:B54=I2)*(因素修正幅度!C3:G3=E2)*(因素修正幅度!C30:G54))</f>
        <v>0</v>
      </c>
      <c r="O3" s="1053"/>
      <c r="P3" s="1053"/>
      <c r="Q3" s="1053"/>
      <c r="R3" s="1126">
        <v>2</v>
      </c>
      <c r="S3" s="3056">
        <f>ROUND(SUMPRODUCT((B106:B110=R3)*(C105:N105=G2)*(C106:N110)),4)</f>
        <v>0</v>
      </c>
      <c r="T3" s="3056" t="e">
        <f t="shared" si="0"/>
        <v>#DIV/0!</v>
      </c>
      <c r="U3" s="1127"/>
      <c r="V3" s="3056" t="e">
        <f t="shared" ref="V3:V16" si="1">ROUND(T3*U3/10000,0)</f>
        <v>#DIV/0!</v>
      </c>
      <c r="W3" s="1130"/>
      <c r="X3" s="1130"/>
      <c r="Y3" s="1130"/>
      <c r="Z3" s="1130"/>
      <c r="AA3" s="1130"/>
      <c r="AB3" s="1130"/>
      <c r="AC3" s="1131"/>
      <c r="AD3" s="1132"/>
      <c r="AE3" s="1132"/>
      <c r="AF3" s="1132"/>
      <c r="AG3" s="1132"/>
      <c r="AH3" s="1132"/>
      <c r="AI3" s="1132"/>
      <c r="AJ3" s="1133"/>
    </row>
    <row r="4" spans="1:36" ht="15.75">
      <c r="A4" s="3530"/>
      <c r="B4" s="3531"/>
      <c r="C4" s="3531"/>
      <c r="D4" s="3532"/>
      <c r="E4" s="3532"/>
      <c r="F4" s="3532"/>
      <c r="G4" s="3532"/>
      <c r="H4" s="3532"/>
      <c r="I4" s="3532"/>
      <c r="J4" s="3533"/>
      <c r="K4" s="1053"/>
      <c r="L4" s="1843" t="s">
        <v>1946</v>
      </c>
      <c r="M4" s="808">
        <f>SUMPRODUCT((区片价!B55:B86=I2)*(区片价!C3:G3=E2)*(区片价!C55:G86))</f>
        <v>0</v>
      </c>
      <c r="N4" s="810">
        <f>SUMPRODUCT((因素修正幅度!B55:B86=I2)*(因素修正幅度!C3:G3=E2)*(因素修正幅度!C55:G86))</f>
        <v>0</v>
      </c>
      <c r="O4" s="1053"/>
      <c r="P4" s="1053"/>
      <c r="Q4" s="1053"/>
      <c r="R4" s="1126">
        <v>3</v>
      </c>
      <c r="S4" s="3056">
        <f>ROUND(SUMPRODUCT((B106:B110=R4)*(C105:N105=G2)*(C106:N110)),4)</f>
        <v>0</v>
      </c>
      <c r="T4" s="3056" t="e">
        <f t="shared" si="0"/>
        <v>#DIV/0!</v>
      </c>
      <c r="U4" s="1127"/>
      <c r="V4" s="3056" t="e">
        <f t="shared" si="1"/>
        <v>#DIV/0!</v>
      </c>
      <c r="W4" s="1130"/>
      <c r="X4" s="1130"/>
      <c r="Y4" s="1130"/>
      <c r="Z4" s="1130"/>
      <c r="AA4" s="1130"/>
      <c r="AB4" s="1130"/>
      <c r="AC4" s="1131"/>
      <c r="AD4" s="1132"/>
      <c r="AE4" s="1132"/>
      <c r="AF4" s="1132"/>
      <c r="AG4" s="1132"/>
      <c r="AH4" s="1132"/>
      <c r="AI4" s="1132"/>
      <c r="AJ4" s="1133"/>
    </row>
    <row r="5" spans="1:36" s="1854" customFormat="1" ht="15.75" thickBot="1">
      <c r="A5" s="1845" t="s">
        <v>362</v>
      </c>
      <c r="B5" s="1846" t="s">
        <v>1947</v>
      </c>
      <c r="C5" s="706" t="e">
        <f>ROUND(IF(E2="商业",C6*C7*C17+C20,(IF(E2="住宅",C6*C13*C17+C20,IF(E2="办公",C6*C12*C17+C20,C6+C20)))),0)</f>
        <v>#DIV/0!</v>
      </c>
      <c r="D5" s="1249" t="e">
        <f>ROUND(C6*C17+C20,0)</f>
        <v>#DIV/0!</v>
      </c>
      <c r="E5" s="1249"/>
      <c r="F5" s="1847"/>
      <c r="G5" s="1848"/>
      <c r="H5" s="1848"/>
      <c r="I5" s="1848"/>
      <c r="J5" s="1849"/>
      <c r="K5" s="1850"/>
      <c r="L5" s="1843" t="s">
        <v>1948</v>
      </c>
      <c r="M5" s="808">
        <f>SUMPRODUCT((区片价!B87:B126=I2)*(区片价!C3:G3=E2)*(区片价!C87:G126))</f>
        <v>0</v>
      </c>
      <c r="N5" s="810">
        <f>SUMPRODUCT((因素修正幅度!B87:B126=I2)*(因素修正幅度!C3:G3=E2)*(因素修正幅度!C87:G126))</f>
        <v>0</v>
      </c>
      <c r="O5" s="1053"/>
      <c r="P5" s="1053"/>
      <c r="Q5" s="1053"/>
      <c r="R5" s="1126">
        <v>4</v>
      </c>
      <c r="S5" s="3056">
        <f>ROUND(SUMPRODUCT((B106:B110=R5)*(C105:N105=G2)*(C106:N110)),4)</f>
        <v>0</v>
      </c>
      <c r="T5" s="3056" t="e">
        <f t="shared" si="0"/>
        <v>#DIV/0!</v>
      </c>
      <c r="U5" s="1127"/>
      <c r="V5" s="3056" t="e">
        <f t="shared" si="1"/>
        <v>#DIV/0!</v>
      </c>
      <c r="W5" s="1130"/>
      <c r="X5" s="1130"/>
      <c r="Y5" s="1130"/>
      <c r="Z5" s="1130"/>
      <c r="AA5" s="1130"/>
      <c r="AB5" s="1130"/>
      <c r="AC5" s="1851"/>
      <c r="AD5" s="1852"/>
      <c r="AE5" s="1852"/>
      <c r="AF5" s="1852"/>
      <c r="AG5" s="1852"/>
      <c r="AH5" s="1852"/>
      <c r="AI5" s="1852"/>
      <c r="AJ5" s="1853"/>
    </row>
    <row r="6" spans="1:36" ht="15.75" thickBot="1">
      <c r="A6" s="1855" t="s">
        <v>1949</v>
      </c>
      <c r="B6" s="1856" t="s">
        <v>1950</v>
      </c>
      <c r="C6" s="707">
        <f>SUMIF(L1:L12,G2,M1:M12)</f>
        <v>0</v>
      </c>
      <c r="D6" s="1857"/>
      <c r="E6" s="1858"/>
      <c r="F6" s="1858"/>
      <c r="G6" s="1859"/>
      <c r="H6" s="1859"/>
      <c r="I6" s="1859"/>
      <c r="J6" s="1860"/>
      <c r="K6" s="1289"/>
      <c r="L6" s="1843" t="s">
        <v>1951</v>
      </c>
      <c r="M6" s="808">
        <f>SUMPRODUCT((区片价!B127:B189=I2)*(区片价!C3:G3=E2)*(区片价!C127:G189))</f>
        <v>0</v>
      </c>
      <c r="N6" s="810">
        <f>SUMPRODUCT((因素修正幅度!B127:B189=I2)*(因素修正幅度!C3:G3=E2)*(因素修正幅度!C127:G189))</f>
        <v>0</v>
      </c>
      <c r="O6" s="1053"/>
      <c r="P6" s="1053"/>
      <c r="Q6" s="1053"/>
      <c r="R6" s="1126">
        <v>5</v>
      </c>
      <c r="S6" s="3056">
        <f>ROUND(SUMPRODUCT((B106:B110=R6)*(C105:N105=G2)*(C106:N110)),4)</f>
        <v>0</v>
      </c>
      <c r="T6" s="3056" t="e">
        <f t="shared" si="0"/>
        <v>#DIV/0!</v>
      </c>
      <c r="U6" s="1127"/>
      <c r="V6" s="3056" t="e">
        <f t="shared" si="1"/>
        <v>#DIV/0!</v>
      </c>
      <c r="W6" s="1130"/>
      <c r="X6" s="1130"/>
      <c r="Y6" s="1130"/>
      <c r="Z6" s="1130"/>
      <c r="AA6" s="1130"/>
      <c r="AB6" s="1130"/>
      <c r="AC6" s="1851"/>
      <c r="AD6" s="1852"/>
      <c r="AE6" s="1852"/>
      <c r="AF6" s="1852"/>
      <c r="AG6" s="1852"/>
      <c r="AH6" s="1852"/>
      <c r="AI6" s="1852"/>
      <c r="AJ6" s="1853"/>
    </row>
    <row r="7" spans="1:36" ht="24.75" thickBot="1">
      <c r="A7" s="3005" t="s">
        <v>3234</v>
      </c>
      <c r="B7" s="1861" t="s">
        <v>1952</v>
      </c>
      <c r="C7" s="708" t="e">
        <f>IF(C8="不临65条商业街",1,ROUND(1+(1.6*E8+1.2*E9+0.8*E10+0.4*E11)*C9,4))</f>
        <v>#DIV/0!</v>
      </c>
      <c r="D7" s="1862" t="s">
        <v>1953</v>
      </c>
      <c r="E7" s="727"/>
      <c r="F7" s="1863"/>
      <c r="G7" s="1864"/>
      <c r="H7" s="1864"/>
      <c r="I7" s="1864"/>
      <c r="J7" s="1865"/>
      <c r="K7" s="1289"/>
      <c r="L7" s="1843" t="s">
        <v>1954</v>
      </c>
      <c r="M7" s="808">
        <f>SUMPRODUCT((区片价!B190:B233=I2)*(区片价!C3:G3=E2)*(区片价!C190:G233))</f>
        <v>0</v>
      </c>
      <c r="N7" s="810">
        <f>SUMPRODUCT((因素修正幅度!B190:B233=I2)*(因素修正幅度!C3:G3=E2)*(因素修正幅度!C190:G233))</f>
        <v>0</v>
      </c>
      <c r="O7" s="1053"/>
      <c r="P7" s="1053"/>
      <c r="Q7" s="1053"/>
      <c r="R7" s="1126">
        <v>6</v>
      </c>
      <c r="S7" s="3110"/>
      <c r="T7" s="3056" t="e">
        <f t="shared" si="0"/>
        <v>#DIV/0!</v>
      </c>
      <c r="U7" s="1127"/>
      <c r="V7" s="3056" t="e">
        <f t="shared" si="1"/>
        <v>#DIV/0!</v>
      </c>
      <c r="W7" s="1264" t="s">
        <v>1955</v>
      </c>
      <c r="X7" s="1128">
        <f>G2</f>
        <v>0</v>
      </c>
      <c r="Y7" s="1128" t="s">
        <v>1956</v>
      </c>
      <c r="Z7" s="1129">
        <f>G3</f>
        <v>1.8</v>
      </c>
      <c r="AA7" s="1130"/>
      <c r="AB7" s="1130"/>
      <c r="AC7" s="1131"/>
      <c r="AD7" s="1132"/>
      <c r="AE7" s="1132"/>
      <c r="AF7" s="1132"/>
      <c r="AG7" s="1132"/>
      <c r="AH7" s="1132"/>
      <c r="AI7" s="1132"/>
      <c r="AJ7" s="1133"/>
    </row>
    <row r="8" spans="1:36" ht="15">
      <c r="A8" s="3002"/>
      <c r="B8" s="160" t="s">
        <v>1957</v>
      </c>
      <c r="C8" s="1866"/>
      <c r="D8" s="709" t="s">
        <v>112</v>
      </c>
      <c r="E8" s="710" t="e">
        <f>ROUND(C11/E7,4)</f>
        <v>#DIV/0!</v>
      </c>
      <c r="F8" s="1867" t="s">
        <v>1958</v>
      </c>
      <c r="G8" s="1868"/>
      <c r="H8" s="1868"/>
      <c r="I8" s="1868"/>
      <c r="J8" s="1869"/>
      <c r="K8" s="1053"/>
      <c r="L8" s="1843" t="s">
        <v>1959</v>
      </c>
      <c r="M8" s="808">
        <f>SUMPRODUCT((区片价!B234:B276=I2)*(区片价!C3:G3=E2)*(区片价!C234:G276))</f>
        <v>0</v>
      </c>
      <c r="N8" s="810">
        <f>SUMPRODUCT((因素修正幅度!B234:B276=I2)*(因素修正幅度!C3:G3=E2)*(因素修正幅度!C234:G276))</f>
        <v>0</v>
      </c>
      <c r="O8" s="1053"/>
      <c r="P8" s="1053"/>
      <c r="Q8" s="1053"/>
      <c r="R8" s="1126">
        <v>7</v>
      </c>
      <c r="S8" s="1127"/>
      <c r="T8" s="3056" t="e">
        <f t="shared" si="0"/>
        <v>#DIV/0!</v>
      </c>
      <c r="U8" s="1127"/>
      <c r="V8" s="3056" t="e">
        <f t="shared" si="1"/>
        <v>#DIV/0!</v>
      </c>
      <c r="W8" s="3527" t="s">
        <v>1960</v>
      </c>
      <c r="X8" s="3528"/>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2"/>
      <c r="B9" s="160" t="s">
        <v>1973</v>
      </c>
      <c r="C9" s="711">
        <f>SUMIF(修正!C71:C138,C8,修正!E71:E138)</f>
        <v>0</v>
      </c>
      <c r="D9" s="161" t="s">
        <v>113</v>
      </c>
      <c r="E9" s="161" t="e">
        <f>ROUND(C11/E7,4)</f>
        <v>#DIV/0!</v>
      </c>
      <c r="F9" s="1867" t="s">
        <v>1974</v>
      </c>
      <c r="G9" s="1868"/>
      <c r="H9" s="1868"/>
      <c r="I9" s="1868"/>
      <c r="J9" s="1869"/>
      <c r="K9" s="1053"/>
      <c r="L9" s="1843" t="s">
        <v>1975</v>
      </c>
      <c r="M9" s="808">
        <f>SUMPRODUCT((区片价!B277:B326=I2)*(区片价!C3:G3=E2)*(区片价!C277:G326))</f>
        <v>0</v>
      </c>
      <c r="N9" s="810">
        <f>SUMPRODUCT((因素修正幅度!B277:B326=I2)*(因素修正幅度!C3:G3=E2)*(因素修正幅度!C277:G326))</f>
        <v>0</v>
      </c>
      <c r="O9" s="1053"/>
      <c r="P9" s="1053"/>
      <c r="Q9" s="1053"/>
      <c r="R9" s="1126">
        <v>8</v>
      </c>
      <c r="S9" s="1127"/>
      <c r="T9" s="3056" t="e">
        <f t="shared" si="0"/>
        <v>#DIV/0!</v>
      </c>
      <c r="U9" s="1127"/>
      <c r="V9" s="3056" t="e">
        <f t="shared" si="1"/>
        <v>#DIV/0!</v>
      </c>
      <c r="W9" s="3529"/>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1976</v>
      </c>
      <c r="C10" s="161">
        <f>SUMIF(修正!C71:C138,C8,修正!F71:F138)</f>
        <v>0</v>
      </c>
      <c r="D10" s="161" t="s">
        <v>114</v>
      </c>
      <c r="E10" s="161" t="e">
        <f>ROUND(C11/E7,4)</f>
        <v>#DIV/0!</v>
      </c>
      <c r="F10" s="1867" t="s">
        <v>1977</v>
      </c>
      <c r="G10" s="1868"/>
      <c r="H10" s="1868"/>
      <c r="I10" s="1868"/>
      <c r="J10" s="1869"/>
      <c r="K10" s="1053"/>
      <c r="L10" s="1843" t="s">
        <v>1978</v>
      </c>
      <c r="M10" s="808">
        <f>SUMPRODUCT((区片价!B327:B357=I2)*(区片价!C3:G3=E2)*(区片价!C327:G357))</f>
        <v>0</v>
      </c>
      <c r="N10" s="810">
        <f>SUMPRODUCT((因素修正幅度!B327:B357=I2)*(因素修正幅度!C3:G3=E2)*(因素修正幅度!C327:G357))</f>
        <v>0</v>
      </c>
      <c r="O10" s="1053"/>
      <c r="P10" s="1053"/>
      <c r="Q10" s="1053"/>
      <c r="R10" s="1126">
        <v>9</v>
      </c>
      <c r="S10" s="1127"/>
      <c r="T10" s="3056" t="e">
        <f t="shared" si="0"/>
        <v>#DIV/0!</v>
      </c>
      <c r="U10" s="1127"/>
      <c r="V10" s="3056" t="e">
        <f t="shared" si="1"/>
        <v>#DIV/0!</v>
      </c>
      <c r="W10" s="3529"/>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70" t="s">
        <v>1979</v>
      </c>
      <c r="C11" s="712">
        <f>C10/4</f>
        <v>0</v>
      </c>
      <c r="D11" s="712" t="s">
        <v>115</v>
      </c>
      <c r="E11" s="712" t="e">
        <f>ROUND(C11/E7,4)</f>
        <v>#DIV/0!</v>
      </c>
      <c r="F11" s="1871" t="s">
        <v>1980</v>
      </c>
      <c r="G11" s="1872"/>
      <c r="H11" s="1872"/>
      <c r="I11" s="1872"/>
      <c r="J11" s="1873"/>
      <c r="K11" s="1053"/>
      <c r="L11" s="1843" t="s">
        <v>1981</v>
      </c>
      <c r="M11" s="808">
        <f>SUMPRODUCT((区片价!B358:B377=I2)*(区片价!C3:G3=E2)*(区片价!C358:G377))</f>
        <v>0</v>
      </c>
      <c r="N11" s="810">
        <f>SUMPRODUCT((因素修正幅度!B358:B377=I2)*(因素修正幅度!C3:G3=E2)*(因素修正幅度!C358:G377))</f>
        <v>0</v>
      </c>
      <c r="O11" s="1053"/>
      <c r="P11" s="1053"/>
      <c r="Q11" s="1053"/>
      <c r="R11" s="1126">
        <v>10</v>
      </c>
      <c r="S11" s="1127"/>
      <c r="T11" s="3056" t="e">
        <f t="shared" si="0"/>
        <v>#DIV/0!</v>
      </c>
      <c r="U11" s="1127"/>
      <c r="V11" s="3056" t="e">
        <f t="shared" si="1"/>
        <v>#DIV/0!</v>
      </c>
      <c r="W11" s="1130"/>
      <c r="X11" s="1130"/>
      <c r="Y11" s="1130"/>
      <c r="Z11" s="1130"/>
      <c r="AA11" s="1130"/>
      <c r="AB11" s="1130"/>
      <c r="AC11" s="1131"/>
      <c r="AD11" s="2546"/>
      <c r="AE11" s="2546"/>
      <c r="AF11" s="2546"/>
      <c r="AG11" s="2546"/>
      <c r="AH11" s="2546"/>
      <c r="AI11" s="2546"/>
      <c r="AJ11" s="2547"/>
    </row>
    <row r="12" spans="1:36" ht="25.5" thickBot="1">
      <c r="A12" s="3005" t="s">
        <v>3235</v>
      </c>
      <c r="B12" s="3006" t="s">
        <v>3236</v>
      </c>
      <c r="C12" s="3007"/>
      <c r="D12" s="3008" t="s">
        <v>3237</v>
      </c>
      <c r="E12" s="3009" t="s">
        <v>3238</v>
      </c>
      <c r="F12" s="3010"/>
      <c r="G12" s="3011"/>
      <c r="H12" s="3011"/>
      <c r="I12" s="3011"/>
      <c r="J12" s="3012"/>
      <c r="K12" s="1053"/>
      <c r="L12" s="1792" t="s">
        <v>1984</v>
      </c>
      <c r="M12" s="809">
        <f>SUMPRODUCT((区片价!B378:B384=I2)*(区片价!C3:G3=E2)*(区片价!C378:G384))</f>
        <v>0</v>
      </c>
      <c r="N12" s="810">
        <f>SUMPRODUCT((因素修正幅度!B378:B384=I2)*(因素修正幅度!C3:G3=E2)*(因素修正幅度!C378:G384))</f>
        <v>0</v>
      </c>
      <c r="O12" s="1053"/>
      <c r="P12" s="1053"/>
      <c r="Q12" s="1053"/>
      <c r="R12" s="1126">
        <v>11</v>
      </c>
      <c r="S12" s="1127"/>
      <c r="T12" s="3056" t="e">
        <f t="shared" si="0"/>
        <v>#DIV/0!</v>
      </c>
      <c r="U12" s="1127"/>
      <c r="V12" s="3056" t="e">
        <f t="shared" si="1"/>
        <v>#DIV/0!</v>
      </c>
      <c r="W12" s="1130"/>
      <c r="X12" s="1130"/>
      <c r="Y12" s="1130"/>
      <c r="Z12" s="1130"/>
      <c r="AA12" s="1130"/>
      <c r="AB12" s="1130"/>
      <c r="AC12" s="1131"/>
      <c r="AD12" s="2546"/>
      <c r="AE12" s="2546"/>
      <c r="AF12" s="2546"/>
      <c r="AG12" s="2546"/>
      <c r="AH12" s="2546"/>
      <c r="AI12" s="2546"/>
      <c r="AJ12" s="2547"/>
    </row>
    <row r="13" spans="1:36" ht="15.75" thickBot="1">
      <c r="A13" s="3005" t="s">
        <v>3239</v>
      </c>
      <c r="B13" s="1874" t="s">
        <v>1982</v>
      </c>
      <c r="C13" s="708">
        <f>ROUND(C16*D16*E16*F16*G16*H16*I16*J16,4)</f>
        <v>0</v>
      </c>
      <c r="D13" s="1875" t="s">
        <v>1983</v>
      </c>
      <c r="E13" s="1876"/>
      <c r="F13" s="1876"/>
      <c r="G13" s="1877"/>
      <c r="H13" s="1877"/>
      <c r="I13" s="1877"/>
      <c r="J13" s="1878"/>
      <c r="K13" s="1053"/>
      <c r="L13" s="3"/>
      <c r="M13" s="4"/>
      <c r="N13" s="3003"/>
      <c r="O13" s="1053"/>
      <c r="P13" s="1053"/>
      <c r="Q13" s="1053"/>
      <c r="R13" s="1126">
        <v>12</v>
      </c>
      <c r="S13" s="1127"/>
      <c r="T13" s="3056" t="e">
        <f t="shared" si="0"/>
        <v>#DIV/0!</v>
      </c>
      <c r="U13" s="1127"/>
      <c r="V13" s="3056" t="e">
        <f t="shared" si="1"/>
        <v>#DIV/0!</v>
      </c>
      <c r="W13" s="1130"/>
      <c r="X13" s="1130"/>
      <c r="Y13" s="1130"/>
      <c r="Z13" s="1130"/>
      <c r="AA13" s="1130"/>
      <c r="AB13" s="1130"/>
      <c r="AC13" s="1131"/>
      <c r="AD13" s="2546"/>
      <c r="AE13" s="2546"/>
      <c r="AF13" s="2546"/>
      <c r="AG13" s="2546"/>
      <c r="AH13" s="2546"/>
      <c r="AI13" s="2546"/>
      <c r="AJ13" s="2547"/>
    </row>
    <row r="14" spans="1:36" ht="15">
      <c r="A14" s="3001"/>
      <c r="B14" s="1879" t="s">
        <v>1985</v>
      </c>
      <c r="C14" s="1880" t="s">
        <v>1986</v>
      </c>
      <c r="D14" s="1258" t="s">
        <v>1987</v>
      </c>
      <c r="E14" s="27" t="s">
        <v>1988</v>
      </c>
      <c r="F14" s="3013" t="s">
        <v>3240</v>
      </c>
      <c r="G14" s="3013" t="s">
        <v>3240</v>
      </c>
      <c r="H14" s="3013" t="s">
        <v>3240</v>
      </c>
      <c r="I14" s="3013" t="s">
        <v>3240</v>
      </c>
      <c r="J14" s="3013" t="s">
        <v>3240</v>
      </c>
      <c r="K14" s="1053"/>
      <c r="L14" s="1053"/>
      <c r="M14" s="1053"/>
      <c r="N14" s="1053"/>
      <c r="O14" s="1053"/>
      <c r="P14" s="1053"/>
      <c r="Q14" s="1053"/>
      <c r="R14" s="1126">
        <v>13</v>
      </c>
      <c r="S14" s="1127"/>
      <c r="T14" s="3056" t="e">
        <f t="shared" si="0"/>
        <v>#DIV/0!</v>
      </c>
      <c r="U14" s="1127"/>
      <c r="V14" s="3056" t="e">
        <f t="shared" si="1"/>
        <v>#DIV/0!</v>
      </c>
      <c r="W14" s="1130"/>
      <c r="X14" s="1130"/>
      <c r="Y14" s="1130"/>
      <c r="Z14" s="1130"/>
      <c r="AA14" s="1130"/>
      <c r="AB14" s="1130"/>
      <c r="AC14" s="1131"/>
      <c r="AD14" s="2546"/>
      <c r="AE14" s="2546"/>
      <c r="AF14" s="2546"/>
      <c r="AG14" s="2546"/>
      <c r="AH14" s="2546"/>
      <c r="AI14" s="2546"/>
      <c r="AJ14" s="2547"/>
    </row>
    <row r="15" spans="1:36" ht="15">
      <c r="A15" s="3001"/>
      <c r="B15" s="1881"/>
      <c r="C15" s="1882"/>
      <c r="D15" s="1883"/>
      <c r="E15" s="1884"/>
      <c r="F15" s="1467" t="s">
        <v>3241</v>
      </c>
      <c r="G15" s="1924"/>
      <c r="H15" s="3014"/>
      <c r="I15" s="3015"/>
      <c r="J15" s="3016"/>
      <c r="K15" s="1053"/>
      <c r="L15" s="1053"/>
      <c r="M15" s="1053"/>
      <c r="N15" s="1053"/>
      <c r="O15" s="1053"/>
      <c r="P15" s="1053"/>
      <c r="Q15" s="1053"/>
      <c r="R15" s="1126">
        <v>14</v>
      </c>
      <c r="S15" s="1127"/>
      <c r="T15" s="3056" t="e">
        <f t="shared" si="0"/>
        <v>#DIV/0!</v>
      </c>
      <c r="U15" s="1127"/>
      <c r="V15" s="3056" t="e">
        <f t="shared" si="1"/>
        <v>#DIV/0!</v>
      </c>
      <c r="W15" s="1130"/>
      <c r="X15" s="1130"/>
      <c r="Y15" s="1130"/>
      <c r="Z15" s="1130"/>
      <c r="AA15" s="1130"/>
      <c r="AB15" s="1130"/>
      <c r="AC15" s="1131"/>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3"/>
      <c r="L16" s="1840"/>
      <c r="M16" s="1840"/>
      <c r="N16" s="1840"/>
      <c r="O16" s="1840"/>
      <c r="P16" s="1840"/>
      <c r="Q16" s="1053"/>
      <c r="R16" s="1126">
        <v>15</v>
      </c>
      <c r="S16" s="1127"/>
      <c r="T16" s="3056" t="e">
        <f t="shared" si="0"/>
        <v>#DIV/0!</v>
      </c>
      <c r="U16" s="1127"/>
      <c r="V16" s="3056" t="e">
        <f t="shared" si="1"/>
        <v>#DIV/0!</v>
      </c>
      <c r="W16" s="1130"/>
      <c r="X16" s="1130"/>
      <c r="Y16" s="1130"/>
      <c r="Z16" s="1130"/>
      <c r="AA16" s="1130"/>
      <c r="AB16" s="1130"/>
      <c r="AC16" s="1131"/>
      <c r="AD16" s="2546"/>
      <c r="AE16" s="2546"/>
      <c r="AF16" s="2546"/>
      <c r="AG16" s="2546"/>
      <c r="AH16" s="2546"/>
      <c r="AI16" s="2546"/>
      <c r="AJ16" s="2547"/>
    </row>
    <row r="17" spans="1:37">
      <c r="A17" s="3028" t="s">
        <v>3242</v>
      </c>
      <c r="B17" s="3020" t="s">
        <v>3243</v>
      </c>
      <c r="C17" s="3029">
        <f>ROUND(IF(OR(E2="工业",E2="公共服务"),1,IF(AND(E18=0,E19=0),1,IF(AND(E18=J24,E19=G19),0.8,IF(E19=0,1+E17*(-0.2),1+E17*G17*(-0.2))))),4)</f>
        <v>1</v>
      </c>
      <c r="D17" s="3021" t="s">
        <v>3244</v>
      </c>
      <c r="E17" s="3029" t="e">
        <f>ROUND(G18/I18,2)</f>
        <v>#DIV/0!</v>
      </c>
      <c r="F17" s="3021" t="s">
        <v>3247</v>
      </c>
      <c r="G17" s="3029" t="e">
        <f>ROUND(E19/G19,2)</f>
        <v>#DIV/0!</v>
      </c>
      <c r="H17" s="3029"/>
      <c r="I17" s="3029"/>
      <c r="J17" s="3030"/>
      <c r="K17" s="1053"/>
      <c r="L17" s="1840"/>
      <c r="M17" s="1840"/>
      <c r="N17" s="1840"/>
      <c r="O17" s="1840"/>
      <c r="P17" s="1840"/>
      <c r="Q17" s="1053"/>
      <c r="R17" s="1053"/>
      <c r="S17" s="1053"/>
      <c r="T17" s="1053"/>
      <c r="U17" s="1053"/>
      <c r="V17" s="1053"/>
      <c r="W17" s="1053"/>
      <c r="X17" s="1053"/>
      <c r="Y17" s="1053"/>
      <c r="Z17" s="1054"/>
      <c r="AA17" s="1054"/>
      <c r="AB17" s="1054"/>
      <c r="AC17" s="1054"/>
      <c r="AD17" s="1054"/>
      <c r="AE17" s="1053"/>
      <c r="AF17" s="1053"/>
      <c r="AG17" s="1840"/>
      <c r="AH17" s="1840"/>
      <c r="AI17" s="1840"/>
      <c r="AJ17" s="1840"/>
    </row>
    <row r="18" spans="1:37" s="1854" customFormat="1" ht="14.25">
      <c r="A18" s="3031"/>
      <c r="B18" s="2303"/>
      <c r="C18" s="3027"/>
      <c r="D18" s="3022" t="s">
        <v>3245</v>
      </c>
      <c r="E18" s="2350"/>
      <c r="F18" s="3023" t="s">
        <v>3248</v>
      </c>
      <c r="G18" s="3027">
        <f>ROUND(1-(1/(POWER(1+G24,E18))),4)</f>
        <v>0</v>
      </c>
      <c r="H18" s="3023" t="s">
        <v>3250</v>
      </c>
      <c r="I18" s="3027">
        <f>ROUND(1-(1/(POWER(1+G24,J24))),4)</f>
        <v>0</v>
      </c>
      <c r="J18" s="3032"/>
      <c r="K18" s="1053"/>
      <c r="L18" s="1840"/>
      <c r="M18" s="1840"/>
      <c r="N18" s="1840"/>
      <c r="O18" s="1840"/>
      <c r="P18" s="1840"/>
      <c r="Q18" s="1053"/>
      <c r="R18" s="1057"/>
      <c r="S18" s="1057"/>
      <c r="T18" s="1054"/>
      <c r="U18" s="1054"/>
      <c r="V18" s="1054"/>
      <c r="W18" s="1053"/>
      <c r="X18" s="1053"/>
      <c r="Y18" s="1053"/>
      <c r="Z18" s="1058"/>
      <c r="AA18" s="1058"/>
      <c r="AB18" s="1058"/>
      <c r="AC18" s="1058"/>
      <c r="AD18" s="1058"/>
      <c r="AE18" s="1054"/>
      <c r="AF18" s="1054"/>
      <c r="AG18" s="1976"/>
      <c r="AH18" s="1976"/>
      <c r="AI18" s="1976"/>
      <c r="AJ18" s="2545"/>
    </row>
    <row r="19" spans="1:37" s="1854" customFormat="1" ht="15" thickBot="1">
      <c r="A19" s="3033"/>
      <c r="B19" s="3034"/>
      <c r="C19" s="3035"/>
      <c r="D19" s="3035" t="s">
        <v>3246</v>
      </c>
      <c r="E19" s="3036"/>
      <c r="F19" s="3037" t="s">
        <v>3249</v>
      </c>
      <c r="G19" s="3036"/>
      <c r="H19" s="3035"/>
      <c r="I19" s="3035"/>
      <c r="J19" s="3038"/>
      <c r="K19" s="1053"/>
      <c r="L19" s="1840"/>
      <c r="M19" s="1840"/>
      <c r="N19" s="1840"/>
      <c r="O19" s="1840"/>
      <c r="P19" s="1840"/>
      <c r="Q19" s="1057"/>
      <c r="R19" s="1057"/>
      <c r="S19" s="1057"/>
      <c r="T19" s="1054"/>
      <c r="U19" s="1054"/>
      <c r="V19" s="1054"/>
      <c r="W19" s="1053"/>
      <c r="X19" s="1053"/>
      <c r="Y19" s="1053"/>
      <c r="Z19" s="1058"/>
      <c r="AA19" s="1058"/>
      <c r="AB19" s="1058"/>
      <c r="AC19" s="1058"/>
      <c r="AD19" s="1058"/>
      <c r="AE19" s="1058"/>
      <c r="AF19" s="1057"/>
      <c r="AG19" s="2548"/>
      <c r="AH19" s="1976"/>
      <c r="AI19" s="559"/>
      <c r="AJ19" s="559"/>
      <c r="AK19" s="1895"/>
    </row>
    <row r="20" spans="1:37" s="1854" customFormat="1" ht="14.25">
      <c r="A20" s="3534" t="s">
        <v>3251</v>
      </c>
      <c r="B20" s="157" t="s">
        <v>1994</v>
      </c>
      <c r="C20" s="3024" t="e">
        <f>ROUND(IF(F21="与级别开发程度一致",0,(G21-E21)/C21),0)</f>
        <v>#DIV/0!</v>
      </c>
      <c r="D20" s="3039" t="s">
        <v>1998</v>
      </c>
      <c r="E20" s="3040"/>
      <c r="F20" s="3540" t="s">
        <v>1995</v>
      </c>
      <c r="G20" s="3541"/>
      <c r="H20" s="3025"/>
      <c r="I20" s="3025"/>
      <c r="J20" s="3026"/>
      <c r="K20" s="1885"/>
      <c r="L20" s="1885"/>
      <c r="M20" s="1885"/>
      <c r="N20" s="1885"/>
      <c r="O20" s="1886"/>
      <c r="P20" s="1840"/>
      <c r="Q20" s="1057"/>
      <c r="R20" s="1057"/>
      <c r="S20" s="1057"/>
      <c r="T20" s="1054"/>
      <c r="U20" s="1054"/>
      <c r="V20" s="1054"/>
      <c r="W20" s="1053"/>
      <c r="X20" s="1053"/>
      <c r="Y20" s="1053"/>
      <c r="Z20" s="1058"/>
      <c r="AA20" s="1058"/>
      <c r="AB20" s="1058"/>
      <c r="AC20" s="1058"/>
      <c r="AD20" s="1058"/>
      <c r="AE20" s="1058"/>
      <c r="AF20" s="1058"/>
      <c r="AG20" s="2545"/>
      <c r="AH20" s="2545"/>
      <c r="AI20" s="2545"/>
      <c r="AJ20" s="2545"/>
    </row>
    <row r="21" spans="1:37" s="1854" customFormat="1" ht="15" thickBot="1">
      <c r="A21" s="3535"/>
      <c r="B21" s="1998" t="s">
        <v>1997</v>
      </c>
      <c r="C21" s="1999">
        <f>IF(E3="M4科研用地",SUMPRODUCT((修正!A2:A7=E3)*(修正!B1:M1=G2)*(修正!B2:M7)),SUMPRODUCT((修正!A2:A7=E2)*(修正!B1:M1=G2)*(修正!B2:M7)))</f>
        <v>0</v>
      </c>
      <c r="D21" s="177"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5"/>
      <c r="R21" s="1057"/>
      <c r="S21" s="1057"/>
      <c r="T21" s="1054"/>
      <c r="U21" s="1054"/>
      <c r="V21" s="1054"/>
      <c r="W21" s="1053"/>
      <c r="X21" s="1053"/>
      <c r="Y21" s="1053"/>
      <c r="Z21" s="1058"/>
      <c r="AA21" s="1058"/>
      <c r="AB21" s="1058"/>
      <c r="AC21" s="1058"/>
      <c r="AD21" s="1058"/>
      <c r="AE21" s="1058"/>
      <c r="AF21" s="1058"/>
      <c r="AG21" s="2545"/>
      <c r="AH21" s="2545"/>
      <c r="AI21" s="2545"/>
      <c r="AJ21" s="2545"/>
    </row>
    <row r="22" spans="1:37" s="1854" customFormat="1" ht="15.75" thickBot="1">
      <c r="A22" s="1992" t="s">
        <v>363</v>
      </c>
      <c r="B22" s="1993" t="s">
        <v>2000</v>
      </c>
      <c r="C22" s="1994">
        <f>SUMIF(修正!C20:C51,E3,修正!E20:E51)</f>
        <v>0</v>
      </c>
      <c r="D22" s="1995"/>
      <c r="E22" s="1996"/>
      <c r="F22" s="1996"/>
      <c r="G22" s="1996"/>
      <c r="H22" s="1996"/>
      <c r="I22" s="1996"/>
      <c r="J22" s="1997"/>
      <c r="K22" s="1058"/>
      <c r="L22" s="2545"/>
      <c r="M22" s="2545"/>
      <c r="N22" s="2545"/>
      <c r="O22" s="1056"/>
      <c r="P22" s="1056"/>
      <c r="Q22" s="2545"/>
      <c r="R22" s="1057"/>
      <c r="S22" s="1057"/>
      <c r="T22" s="1054"/>
      <c r="U22" s="1054"/>
      <c r="V22" s="1054"/>
      <c r="W22" s="1053"/>
      <c r="X22" s="1053"/>
      <c r="Y22" s="1053"/>
      <c r="Z22" s="1058"/>
      <c r="AA22" s="1058"/>
      <c r="AB22" s="1058"/>
      <c r="AC22" s="1058"/>
      <c r="AD22" s="1058"/>
      <c r="AE22" s="1058"/>
      <c r="AF22" s="1058"/>
      <c r="AG22" s="2545"/>
      <c r="AH22" s="2545"/>
      <c r="AI22" s="2545"/>
      <c r="AJ22" s="2545"/>
    </row>
    <row r="23" spans="1:37" ht="26.25" thickBot="1">
      <c r="A23" s="1888" t="s">
        <v>364</v>
      </c>
      <c r="B23" s="1889"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2" t="s">
        <v>2002</v>
      </c>
      <c r="E23" s="714">
        <v>44197</v>
      </c>
      <c r="F23" s="1892" t="s">
        <v>2003</v>
      </c>
      <c r="G23" s="715">
        <f>'数据-取费表'!B2</f>
        <v>45639</v>
      </c>
      <c r="H23" s="3041" t="s">
        <v>3253</v>
      </c>
      <c r="I23" s="3042" t="str">
        <f>IF(H23="季度增幅（自定义）",SUMIF(N25:N28,E2,O25:O28),"")</f>
        <v/>
      </c>
      <c r="J23" s="3134" t="s">
        <v>3252</v>
      </c>
      <c r="K23" s="1058"/>
      <c r="L23" s="1893" t="s">
        <v>2004</v>
      </c>
      <c r="M23" s="1238">
        <f>ROUND(SUMIF(地价!B2:G2,E2,地价!B16:G16),0)</f>
        <v>0</v>
      </c>
      <c r="N23" s="1894" t="s">
        <v>2005</v>
      </c>
      <c r="O23" s="716">
        <f>ROUNDDOWN(DATEDIF(E23,G23,"M")/3,0)</f>
        <v>15</v>
      </c>
      <c r="P23" s="1054"/>
      <c r="Q23" s="2545"/>
      <c r="R23" s="1057"/>
      <c r="S23" s="1057"/>
      <c r="T23" s="1054"/>
      <c r="U23" s="1054"/>
      <c r="V23" s="1054"/>
      <c r="W23" s="1053"/>
      <c r="X23" s="1053"/>
      <c r="Y23" s="1053"/>
      <c r="Z23" s="1058"/>
      <c r="AA23" s="1058"/>
      <c r="AB23" s="1058"/>
      <c r="AC23" s="1058"/>
      <c r="AD23" s="1058"/>
      <c r="AE23" s="1054"/>
      <c r="AF23" s="1054"/>
      <c r="AG23" s="1976"/>
      <c r="AH23" s="1976"/>
      <c r="AI23" s="1976"/>
      <c r="AJ23" s="1976"/>
      <c r="AK23" s="1891"/>
    </row>
    <row r="24" spans="1:37" s="1854" customFormat="1" ht="24.75" thickBot="1">
      <c r="A24" s="1896" t="s">
        <v>365</v>
      </c>
      <c r="B24" s="1897" t="s">
        <v>2006</v>
      </c>
      <c r="C24" s="717" t="e">
        <f>ROUND(POWER(1+G24,J24-I24)*(POWER(1+G24,I24)-1)/(POWER(1+G24,J24)-1),4)</f>
        <v>#DIV/0!</v>
      </c>
      <c r="D24" s="1898" t="s">
        <v>2007</v>
      </c>
      <c r="E24" s="1245">
        <f>存贷款利率!E27/100</f>
        <v>4.3499999999999997E-2</v>
      </c>
      <c r="F24" s="1898" t="s">
        <v>1999</v>
      </c>
      <c r="G24" s="721">
        <f>SUMIF(M30:Q30,E2,M33:Q33)</f>
        <v>0</v>
      </c>
      <c r="H24" s="1898" t="s">
        <v>2008</v>
      </c>
      <c r="I24" s="722" t="e">
        <f>SUMIF('数据-取费表'!C6:C15,E2,'数据-取费表'!F6:F15)/COUNTIF('数据-取费表'!C6:C15,E2)</f>
        <v>#DIV/0!</v>
      </c>
      <c r="J24" s="723">
        <f>IF(E2="住宅",70,IF(E2="商业",40,50))</f>
        <v>50</v>
      </c>
      <c r="K24" s="1058"/>
      <c r="L24" s="1899" t="s">
        <v>2009</v>
      </c>
      <c r="M24" s="1239">
        <f>ROUND(SUMPRODUCT((地价!A4:A16=YEAR(G23)&amp;"-"&amp;ROUNDUP(MONTH(G23)/3,0))*(地价!B2:G2=E2)*(地价!B4:G16)),0)</f>
        <v>0</v>
      </c>
      <c r="N24" s="1900" t="s">
        <v>2010</v>
      </c>
      <c r="O24" s="1901" t="s">
        <v>2011</v>
      </c>
      <c r="P24" s="1902" t="s">
        <v>2012</v>
      </c>
      <c r="Q24" s="1840"/>
      <c r="R24" s="1057"/>
      <c r="S24" s="1057"/>
      <c r="T24" s="1054"/>
      <c r="U24" s="1054"/>
      <c r="V24" s="1054"/>
      <c r="W24" s="1053"/>
      <c r="X24" s="1053"/>
      <c r="Y24" s="1053"/>
      <c r="Z24" s="1058"/>
      <c r="AA24" s="1058"/>
      <c r="AB24" s="1058"/>
      <c r="AC24" s="1058"/>
      <c r="AD24" s="1058"/>
      <c r="AE24" s="1058"/>
      <c r="AF24" s="1058"/>
      <c r="AG24" s="2545"/>
      <c r="AH24" s="2545"/>
      <c r="AI24" s="2545"/>
      <c r="AJ24" s="2545"/>
    </row>
    <row r="25" spans="1:37" ht="15">
      <c r="A25" s="1903" t="s">
        <v>366</v>
      </c>
      <c r="B25" s="1904" t="s">
        <v>3332</v>
      </c>
      <c r="C25" s="459">
        <f>IF(B25="容积率修正",IF(G3&lt;10,D26,J26),C27)</f>
        <v>0</v>
      </c>
      <c r="D25" s="1905"/>
      <c r="E25" s="1905"/>
      <c r="F25" s="1905"/>
      <c r="G25" s="1905"/>
      <c r="H25" s="1905"/>
      <c r="I25" s="1905"/>
      <c r="J25" s="1906"/>
      <c r="K25" s="1058"/>
      <c r="L25" s="2545"/>
      <c r="M25" s="2545"/>
      <c r="N25" s="1907" t="s">
        <v>2013</v>
      </c>
      <c r="O25" s="1090"/>
      <c r="P25" s="1091">
        <f>SUMPRODUCT((地价!A3:A40=YEAR(G23)&amp;"-"&amp;ROUNDUP(MONTH(G23)/3,0))*(地价!AD2:AH2=N25)*(地价!AD3:AH40))</f>
        <v>0</v>
      </c>
      <c r="Q25" s="2545"/>
      <c r="R25" s="1057"/>
      <c r="S25" s="1057"/>
      <c r="T25" s="1054"/>
      <c r="U25" s="1054"/>
      <c r="V25" s="1054"/>
      <c r="W25" s="1053"/>
      <c r="X25" s="1053"/>
      <c r="Y25" s="1053"/>
      <c r="Z25" s="1058"/>
      <c r="AA25" s="1058"/>
      <c r="AB25" s="1058"/>
      <c r="AC25" s="1058"/>
      <c r="AD25" s="1058"/>
      <c r="AE25" s="1054"/>
      <c r="AF25" s="1054"/>
      <c r="AG25" s="1976"/>
      <c r="AH25" s="1976"/>
      <c r="AI25" s="1976"/>
      <c r="AJ25" s="1976"/>
    </row>
    <row r="26" spans="1:37" ht="14.25">
      <c r="A26" s="1802" t="s">
        <v>2014</v>
      </c>
      <c r="B26" s="1908" t="s">
        <v>2015</v>
      </c>
      <c r="C26" s="1908" t="s">
        <v>3254</v>
      </c>
      <c r="D26" s="1260">
        <f>IF(E26=G26,F26,IF(G3&lt;10,ROUND(F26+(H26-F26)*(G3-E26)/(G26-E26),4),"——"))</f>
        <v>0</v>
      </c>
      <c r="E26" s="705">
        <f>ROUNDDOWN(G3,1)</f>
        <v>1.8</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1.8</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3255</v>
      </c>
      <c r="J26" s="372" t="str">
        <f>IF(G3&gt;=10,D115,"——")</f>
        <v>——</v>
      </c>
      <c r="K26" s="1058"/>
      <c r="L26" s="2545"/>
      <c r="M26" s="2545"/>
      <c r="N26" s="1907" t="s">
        <v>2016</v>
      </c>
      <c r="O26" s="1090"/>
      <c r="P26" s="1091">
        <f>SUMPRODUCT((地价!A3:A40=YEAR(G23)&amp;"-"&amp;ROUNDUP(MONTH(G23)/3,0))*(地价!AD2:AH2=N26)*(地价!AD3:AH40))</f>
        <v>0</v>
      </c>
      <c r="Q26" s="1840"/>
      <c r="R26" s="1057"/>
      <c r="S26" s="1057"/>
      <c r="T26" s="1054"/>
      <c r="U26" s="1054"/>
      <c r="V26" s="1054"/>
      <c r="W26" s="1053"/>
      <c r="X26" s="1053"/>
      <c r="Y26" s="1053"/>
      <c r="Z26" s="1058"/>
      <c r="AA26" s="1058"/>
      <c r="AB26" s="1058"/>
      <c r="AC26" s="1058"/>
      <c r="AD26" s="1058"/>
      <c r="AE26" s="1054"/>
      <c r="AF26" s="1054"/>
      <c r="AG26" s="1976"/>
      <c r="AH26" s="1976"/>
      <c r="AI26" s="1976"/>
      <c r="AJ26" s="1976"/>
    </row>
    <row r="27" spans="1:37" ht="15.75" thickBot="1">
      <c r="A27" s="1802" t="s">
        <v>2017</v>
      </c>
      <c r="B27" s="1909" t="s">
        <v>2018</v>
      </c>
      <c r="C27" s="788">
        <f>ROUND(IF(I3&lt;6,SUMPRODUCT((B106:B110=I3)*(C105:N105=G2)*(C106:N110)),SUMIF(C105:N105,G2,C112:N112)),4)</f>
        <v>0</v>
      </c>
      <c r="D27" s="1838"/>
      <c r="E27" s="1838"/>
      <c r="F27" s="1910"/>
      <c r="G27" s="1911"/>
      <c r="H27" s="1912"/>
      <c r="I27" s="1913"/>
      <c r="J27" s="1914"/>
      <c r="K27" s="1053"/>
      <c r="L27" s="1840"/>
      <c r="M27" s="1840"/>
      <c r="N27" s="1907" t="s">
        <v>2019</v>
      </c>
      <c r="O27" s="1090"/>
      <c r="P27" s="1091">
        <f>SUMPRODUCT((地价!A3:A40=YEAR(G23)&amp;"-"&amp;ROUNDUP(MONTH(G23)/3,0))*(地价!AD2:AH2=N27)*(地价!AD3:AH40))</f>
        <v>0</v>
      </c>
      <c r="Q27" s="1840"/>
      <c r="R27" s="1057"/>
      <c r="S27" s="1057"/>
      <c r="T27" s="1054"/>
      <c r="U27" s="1054"/>
      <c r="V27" s="1054"/>
      <c r="W27" s="1053"/>
      <c r="X27" s="1053"/>
      <c r="Y27" s="1053"/>
      <c r="Z27" s="1058"/>
      <c r="AA27" s="1058"/>
      <c r="AB27" s="1058"/>
      <c r="AC27" s="1058"/>
      <c r="AD27" s="1058"/>
      <c r="AE27" s="1054"/>
      <c r="AF27" s="1054"/>
      <c r="AG27" s="1976"/>
      <c r="AH27" s="1976"/>
      <c r="AI27" s="1976"/>
      <c r="AJ27" s="1976"/>
    </row>
    <row r="28" spans="1:37" ht="15.75" thickBot="1">
      <c r="A28" s="1896" t="s">
        <v>367</v>
      </c>
      <c r="B28" s="1889" t="s">
        <v>2020</v>
      </c>
      <c r="C28" s="713">
        <f>SUMIF(A47:A101,E2,B47:B101)</f>
        <v>0</v>
      </c>
      <c r="D28" s="1890"/>
      <c r="E28" s="1915"/>
      <c r="F28" s="1915"/>
      <c r="G28" s="1915"/>
      <c r="H28" s="1915"/>
      <c r="I28" s="1915"/>
      <c r="J28" s="1916"/>
      <c r="K28" s="1058"/>
      <c r="L28" s="2545"/>
      <c r="M28" s="2545"/>
      <c r="N28" s="1917"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6"/>
      <c r="AH28" s="1976"/>
      <c r="AI28" s="1976"/>
      <c r="AJ28" s="1976"/>
    </row>
    <row r="29" spans="1:37" ht="15.75" thickBot="1">
      <c r="A29" s="1896" t="s">
        <v>368</v>
      </c>
      <c r="B29" s="1918" t="s">
        <v>2022</v>
      </c>
      <c r="C29" s="718"/>
      <c r="D29" s="1864"/>
      <c r="E29" s="1864"/>
      <c r="F29" s="1919"/>
      <c r="G29" s="1864"/>
      <c r="H29" s="1864"/>
      <c r="I29" s="1864"/>
      <c r="J29" s="1865"/>
      <c r="K29" s="1053"/>
      <c r="L29" s="1840"/>
      <c r="M29" s="1840"/>
      <c r="N29" s="2542" t="s">
        <v>2023</v>
      </c>
      <c r="O29" s="2543"/>
      <c r="P29" s="2544">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0"/>
      <c r="AH29" s="1840"/>
      <c r="AI29" s="1840"/>
      <c r="AJ29" s="1840"/>
    </row>
    <row r="30" spans="1:37" ht="15">
      <c r="A30" s="1920"/>
      <c r="B30" s="1908" t="s">
        <v>2024</v>
      </c>
      <c r="C30" s="2141" t="e">
        <f>IF(B25="容积率修正",E33+SUM(E37:E42),SUM(V2:V16)+SUM(E37:E42))</f>
        <v>#DIV/0!</v>
      </c>
      <c r="D30" s="1921"/>
      <c r="E30" s="1838"/>
      <c r="F30" s="1922"/>
      <c r="G30" s="1838"/>
      <c r="H30" s="1838"/>
      <c r="I30" s="1838"/>
      <c r="J30" s="1923"/>
      <c r="K30" s="1053"/>
      <c r="L30" s="3048" t="s">
        <v>1936</v>
      </c>
      <c r="M30" s="3049" t="s">
        <v>1990</v>
      </c>
      <c r="N30" s="3049" t="s">
        <v>1991</v>
      </c>
      <c r="O30" s="3049" t="s">
        <v>1992</v>
      </c>
      <c r="P30" s="3049" t="s">
        <v>1993</v>
      </c>
      <c r="Q30" s="3052" t="s">
        <v>3259</v>
      </c>
      <c r="R30" s="1057"/>
      <c r="S30" s="1057"/>
      <c r="T30" s="1054"/>
      <c r="U30" s="1054"/>
      <c r="V30" s="1054"/>
      <c r="W30" s="1053"/>
      <c r="X30" s="1053"/>
      <c r="Y30" s="1053"/>
      <c r="Z30" s="1058"/>
      <c r="AA30" s="1058"/>
      <c r="AB30" s="1058"/>
      <c r="AC30" s="1058"/>
      <c r="AD30" s="1058"/>
      <c r="AE30" s="1053"/>
      <c r="AF30" s="1053"/>
      <c r="AG30" s="1840"/>
      <c r="AH30" s="1840"/>
      <c r="AI30" s="1840"/>
      <c r="AJ30" s="1840"/>
    </row>
    <row r="31" spans="1:37" ht="15.75" thickBot="1">
      <c r="A31" s="1920"/>
      <c r="B31" s="1924" t="s">
        <v>2025</v>
      </c>
      <c r="C31" s="719" t="e">
        <f>E34+SUM(I37:I42)</f>
        <v>#DIV/0!</v>
      </c>
      <c r="D31" s="1925"/>
      <c r="E31" s="1926"/>
      <c r="F31" s="1927"/>
      <c r="G31" s="1926"/>
      <c r="H31" s="1926"/>
      <c r="I31" s="1926"/>
      <c r="J31" s="1928"/>
      <c r="K31" s="1053"/>
      <c r="L31" s="3050" t="s">
        <v>1996</v>
      </c>
      <c r="M31" s="160">
        <v>0.25</v>
      </c>
      <c r="N31" s="160">
        <v>0.2</v>
      </c>
      <c r="O31" s="160">
        <v>0.15</v>
      </c>
      <c r="P31" s="160">
        <v>0.1</v>
      </c>
      <c r="Q31" s="3045">
        <v>0.15</v>
      </c>
      <c r="R31" s="1057"/>
      <c r="S31" s="1057"/>
      <c r="T31" s="1054"/>
      <c r="U31" s="1054"/>
      <c r="V31" s="1054"/>
      <c r="W31" s="1053"/>
      <c r="X31" s="1053"/>
      <c r="Y31" s="1053"/>
      <c r="Z31" s="1058"/>
      <c r="AA31" s="1058"/>
      <c r="AB31" s="1058"/>
      <c r="AC31" s="1058"/>
      <c r="AD31" s="1058"/>
      <c r="AE31" s="1053"/>
      <c r="AF31" s="1053"/>
      <c r="AG31" s="1840"/>
      <c r="AH31" s="1840"/>
      <c r="AI31" s="1840"/>
      <c r="AJ31" s="1840"/>
    </row>
    <row r="32" spans="1:37" ht="15.75" thickBot="1">
      <c r="A32" s="1929"/>
      <c r="B32" s="1930" t="s">
        <v>2026</v>
      </c>
      <c r="C32" s="1931" t="s">
        <v>2027</v>
      </c>
      <c r="D32" s="1931" t="s">
        <v>2028</v>
      </c>
      <c r="E32" s="1932" t="s">
        <v>2029</v>
      </c>
      <c r="F32" s="1933"/>
      <c r="G32" s="1877"/>
      <c r="H32" s="1877"/>
      <c r="I32" s="1877"/>
      <c r="J32" s="1878"/>
      <c r="K32" s="1053"/>
      <c r="L32" s="3051" t="s">
        <v>1999</v>
      </c>
      <c r="M32" s="2349">
        <f>ROUND($E$24*(1+M31),3)</f>
        <v>5.3999999999999999E-2</v>
      </c>
      <c r="N32" s="2349">
        <f>ROUND($E$24*(1+N31),3)</f>
        <v>5.1999999999999998E-2</v>
      </c>
      <c r="O32" s="2349">
        <f>ROUND($E$24*(1+O31),3)</f>
        <v>0.05</v>
      </c>
      <c r="P32" s="2349">
        <f>ROUND($E$24*(1+P31),3)</f>
        <v>4.8000000000000001E-2</v>
      </c>
      <c r="Q32" s="3053">
        <f>ROUND($E$24*(1+Q31),3)</f>
        <v>0.05</v>
      </c>
      <c r="R32" s="1057"/>
      <c r="S32" s="1057"/>
      <c r="T32" s="1054"/>
      <c r="U32" s="1054"/>
      <c r="V32" s="1054"/>
      <c r="W32" s="1053"/>
      <c r="X32" s="1053"/>
      <c r="Y32" s="1053"/>
      <c r="Z32" s="1058"/>
      <c r="AA32" s="1058"/>
      <c r="AB32" s="1058"/>
      <c r="AC32" s="1058"/>
      <c r="AD32" s="1058"/>
      <c r="AE32" s="1053"/>
      <c r="AF32" s="1053"/>
      <c r="AG32" s="1840"/>
      <c r="AH32" s="1840"/>
      <c r="AI32" s="1840"/>
      <c r="AJ32" s="1840"/>
    </row>
    <row r="33" spans="1:37" ht="14.25">
      <c r="A33" s="1934"/>
      <c r="B33" s="1935" t="s">
        <v>2030</v>
      </c>
      <c r="C33" s="165" t="e">
        <f>ROUND(C5*C22*C23*C24*C25*C28,0)</f>
        <v>#DIV/0!</v>
      </c>
      <c r="D33" s="1936"/>
      <c r="E33" s="724" t="e">
        <f>ROUND(C33*D33/10000,0)</f>
        <v>#DIV/0!</v>
      </c>
      <c r="F33" s="3043" t="s">
        <v>3257</v>
      </c>
      <c r="G33" s="1937"/>
      <c r="H33" s="1937"/>
      <c r="I33" s="1937"/>
      <c r="J33" s="1938"/>
      <c r="K33" s="1053"/>
      <c r="L33" s="3046" t="s">
        <v>3260</v>
      </c>
      <c r="M33" s="3047">
        <v>5.5E-2</v>
      </c>
      <c r="N33" s="3047">
        <v>5.5E-2</v>
      </c>
      <c r="O33" s="3047">
        <v>0.05</v>
      </c>
      <c r="P33" s="3047">
        <v>0.05</v>
      </c>
      <c r="Q33" s="3047">
        <v>0.05</v>
      </c>
      <c r="R33" s="1057"/>
      <c r="S33" s="1057"/>
      <c r="T33" s="1054"/>
      <c r="U33" s="1054"/>
      <c r="V33" s="1054"/>
      <c r="W33" s="1053"/>
      <c r="X33" s="1053"/>
      <c r="Y33" s="1053"/>
      <c r="Z33" s="1058"/>
      <c r="AA33" s="1058"/>
      <c r="AB33" s="1058"/>
      <c r="AC33" s="1058"/>
      <c r="AD33" s="1058"/>
      <c r="AE33" s="1054"/>
      <c r="AF33" s="1054"/>
      <c r="AG33" s="1976"/>
      <c r="AH33" s="1976"/>
      <c r="AI33" s="1976"/>
      <c r="AJ33" s="1976"/>
    </row>
    <row r="34" spans="1:37" ht="25.5" thickBot="1">
      <c r="A34" s="1939"/>
      <c r="B34" s="1940" t="s">
        <v>2031</v>
      </c>
      <c r="C34" s="177" t="e">
        <f>ROUND(IF(E2="工业",C33*M42,IF(B25="楼层修正",SUM(V2:V16)*M41*10000/D34,C33*M41)),0)</f>
        <v>#DIV/0!</v>
      </c>
      <c r="D34" s="1941"/>
      <c r="E34" s="724" t="e">
        <f>ROUND(IF(B25="楼层修正",SUM(V2:V16)*M40,C34*D34/10000),0)</f>
        <v>#DIV/0!</v>
      </c>
      <c r="F34" s="1942" t="s">
        <v>2032</v>
      </c>
      <c r="G34" s="1943"/>
      <c r="H34" s="1943"/>
      <c r="I34" s="1943"/>
      <c r="J34" s="1944"/>
      <c r="K34" s="1053"/>
      <c r="L34" s="3046" t="s">
        <v>3261</v>
      </c>
      <c r="M34" s="3047">
        <v>6.5000000000000002E-2</v>
      </c>
      <c r="N34" s="3047">
        <v>6.5000000000000002E-2</v>
      </c>
      <c r="O34" s="3047">
        <v>0.06</v>
      </c>
      <c r="P34" s="3047">
        <v>0.06</v>
      </c>
      <c r="Q34" s="3047">
        <v>0.06</v>
      </c>
      <c r="R34" s="1057"/>
      <c r="S34" s="1057"/>
      <c r="T34" s="1054"/>
      <c r="U34" s="1054"/>
      <c r="V34" s="1054"/>
      <c r="W34" s="1053"/>
      <c r="X34" s="1053"/>
      <c r="Y34" s="1053"/>
      <c r="Z34" s="1058"/>
      <c r="AA34" s="1058"/>
      <c r="AB34" s="1058"/>
      <c r="AC34" s="1058"/>
      <c r="AD34" s="1058"/>
      <c r="AE34" s="1054"/>
      <c r="AF34" s="1054"/>
      <c r="AG34" s="1976"/>
      <c r="AH34" s="1976"/>
      <c r="AI34" s="1976"/>
      <c r="AJ34" s="1976"/>
    </row>
    <row r="35" spans="1:37">
      <c r="A35" s="1945"/>
      <c r="B35" s="1946" t="s">
        <v>2033</v>
      </c>
      <c r="C35" s="3044" t="s">
        <v>3258</v>
      </c>
      <c r="D35" s="1877"/>
      <c r="E35" s="1947"/>
      <c r="F35" s="1947"/>
      <c r="G35" s="1875" t="s">
        <v>2034</v>
      </c>
      <c r="H35" s="1877"/>
      <c r="I35" s="1948"/>
      <c r="J35" s="1878"/>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6"/>
      <c r="AH35" s="1976"/>
      <c r="AI35" s="1976"/>
      <c r="AJ35" s="1976"/>
    </row>
    <row r="36" spans="1:37" ht="24.75" thickBot="1">
      <c r="A36" s="1934"/>
      <c r="B36" s="1949"/>
      <c r="C36" s="434" t="s">
        <v>2027</v>
      </c>
      <c r="D36" s="431" t="s">
        <v>2028</v>
      </c>
      <c r="E36" s="431" t="s">
        <v>2029</v>
      </c>
      <c r="F36" s="331" t="s">
        <v>2035</v>
      </c>
      <c r="G36" s="1950" t="s">
        <v>2027</v>
      </c>
      <c r="H36" s="1950" t="s">
        <v>2028</v>
      </c>
      <c r="I36" s="1950" t="s">
        <v>2029</v>
      </c>
      <c r="J36" s="233"/>
      <c r="K36" s="1960" t="s">
        <v>3262</v>
      </c>
      <c r="L36" s="3135">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6"/>
      <c r="AH36" s="1976"/>
      <c r="AI36" s="1976"/>
      <c r="AJ36" s="1976"/>
    </row>
    <row r="37" spans="1:37" ht="24.75" thickBot="1">
      <c r="A37" s="3538"/>
      <c r="B37" s="1951" t="s">
        <v>2036</v>
      </c>
      <c r="C37" s="165" t="e">
        <f>ROUND(D5*C22*C23*C24*C28*F37,0)</f>
        <v>#DIV/0!</v>
      </c>
      <c r="D37" s="1936"/>
      <c r="E37" s="161" t="e">
        <f>ROUND(C37*D37/10000,0)</f>
        <v>#DIV/0!</v>
      </c>
      <c r="F37" s="161">
        <f>SUMIF(修正!A57:A68,G2,修正!B57:B68)</f>
        <v>0</v>
      </c>
      <c r="G37" s="161" t="e">
        <f>ROUND(IF(E2="工业",C37*$M$42,C37*$M$41),0)</f>
        <v>#DIV/0!</v>
      </c>
      <c r="H37" s="161">
        <f>D37</f>
        <v>0</v>
      </c>
      <c r="I37" s="161" t="e">
        <f>ROUND(G37*H37/10000,0)</f>
        <v>#DIV/0!</v>
      </c>
      <c r="J37" s="2747"/>
      <c r="K37" s="3054" t="s">
        <v>3263</v>
      </c>
      <c r="L37" s="1960">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6"/>
      <c r="AH37" s="1976"/>
      <c r="AI37" s="1976"/>
      <c r="AJ37" s="1976"/>
    </row>
    <row r="38" spans="1:37">
      <c r="A38" s="3539"/>
      <c r="B38" s="1880" t="s">
        <v>2037</v>
      </c>
      <c r="C38" s="165" t="e">
        <f>ROUND(D5*C22*C23*C24*C28*F38,0)</f>
        <v>#DIV/0!</v>
      </c>
      <c r="D38" s="1936"/>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746"/>
      <c r="K38" s="1960">
        <v>5.0000000000000001E-3</v>
      </c>
      <c r="L38" s="1960"/>
      <c r="M38" s="1960"/>
      <c r="N38" s="1960"/>
      <c r="O38" s="1960"/>
      <c r="P38" s="1960"/>
      <c r="Q38" s="1960"/>
      <c r="R38" s="1053"/>
      <c r="S38" s="1053"/>
      <c r="T38" s="1053"/>
      <c r="U38" s="1053"/>
      <c r="V38" s="1053"/>
      <c r="W38" s="1053"/>
      <c r="X38" s="1053"/>
      <c r="Y38" s="1053"/>
      <c r="Z38" s="1054"/>
      <c r="AA38" s="1054"/>
      <c r="AB38" s="1054"/>
      <c r="AC38" s="1054"/>
      <c r="AD38" s="1054"/>
    </row>
    <row r="39" spans="1:37" ht="13.5" thickBot="1">
      <c r="A39" s="3539"/>
      <c r="B39" s="1880" t="s">
        <v>3256</v>
      </c>
      <c r="C39" s="165" t="e">
        <f>ROUND(D5*C22*C23*C24*C28*F39,0)</f>
        <v>#DIV/0!</v>
      </c>
      <c r="D39" s="1936"/>
      <c r="E39" s="161" t="e">
        <f t="shared" si="4"/>
        <v>#DIV/0!</v>
      </c>
      <c r="F39" s="161">
        <f>SUMIF(修正!A57:A68,G2,修正!D57:D68)</f>
        <v>0</v>
      </c>
      <c r="G39" s="161" t="e">
        <f>ROUND(IF(E2="工业",C39*$M$42,C39*$M$41),0)</f>
        <v>#DIV/0!</v>
      </c>
      <c r="H39" s="161">
        <f t="shared" si="5"/>
        <v>0</v>
      </c>
      <c r="I39" s="161" t="e">
        <f t="shared" si="6"/>
        <v>#DIV/0!</v>
      </c>
      <c r="J39" s="2746"/>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2"/>
      <c r="B40" s="1880" t="s">
        <v>2038</v>
      </c>
      <c r="C40" s="161" t="e">
        <f>ROUND(D5*C22*C23*C24*C28*F40,0)</f>
        <v>#DIV/0!</v>
      </c>
      <c r="D40" s="1936"/>
      <c r="E40" s="161" t="e">
        <f t="shared" si="4"/>
        <v>#DIV/0!</v>
      </c>
      <c r="F40" s="165">
        <f>SUMIF(修正!A57:A68,G2,修正!E57:E68)</f>
        <v>0</v>
      </c>
      <c r="G40" s="161" t="e">
        <f>ROUND(IF(E2="工业",C40*$M$42,C40*$M$41),0)</f>
        <v>#DIV/0!</v>
      </c>
      <c r="H40" s="161">
        <f t="shared" si="5"/>
        <v>0</v>
      </c>
      <c r="I40" s="161" t="e">
        <f t="shared" si="6"/>
        <v>#DIV/0!</v>
      </c>
      <c r="J40" s="936"/>
      <c r="L40" s="1953" t="s">
        <v>2039</v>
      </c>
      <c r="M40" s="1954"/>
      <c r="Z40" s="1054"/>
      <c r="AA40" s="1054"/>
      <c r="AB40" s="1054"/>
      <c r="AC40" s="1054"/>
      <c r="AD40" s="1054"/>
      <c r="AE40" s="1054"/>
      <c r="AF40" s="1054"/>
      <c r="AG40" s="1054"/>
      <c r="AH40" s="1054"/>
      <c r="AI40" s="1054"/>
      <c r="AJ40" s="1054"/>
    </row>
    <row r="41" spans="1:37" s="1053" customFormat="1">
      <c r="A41" s="1952"/>
      <c r="B41" s="1880" t="s">
        <v>2040</v>
      </c>
      <c r="C41" s="161" t="e">
        <f>ROUND(D5*C22*C23*C44*C28*F41,0)</f>
        <v>#DIV/0!</v>
      </c>
      <c r="D41" s="1936"/>
      <c r="E41" s="161" t="e">
        <f t="shared" si="4"/>
        <v>#DIV/0!</v>
      </c>
      <c r="F41" s="165">
        <f>SUMIF(修正!A57:A68,G2,修正!F57:F68)</f>
        <v>0</v>
      </c>
      <c r="G41" s="161" t="e">
        <f>ROUND(IF(E2="工业",C41*$M$42,C41*$M$41),0)</f>
        <v>#DIV/0!</v>
      </c>
      <c r="H41" s="161">
        <f t="shared" si="5"/>
        <v>0</v>
      </c>
      <c r="I41" s="161" t="e">
        <f t="shared" si="6"/>
        <v>#DIV/0!</v>
      </c>
      <c r="J41" s="936"/>
      <c r="L41" s="3055" t="s">
        <v>3264</v>
      </c>
      <c r="M41" s="1955">
        <v>0.25</v>
      </c>
      <c r="Z41" s="1054"/>
      <c r="AA41" s="1054"/>
      <c r="AB41" s="1054"/>
      <c r="AC41" s="1054"/>
      <c r="AD41" s="1054"/>
      <c r="AE41" s="1054"/>
      <c r="AF41" s="1054"/>
      <c r="AG41" s="1054"/>
      <c r="AH41" s="1054"/>
      <c r="AI41" s="1054"/>
      <c r="AJ41" s="1054"/>
    </row>
    <row r="42" spans="1:37" s="1053" customFormat="1" ht="13.5" thickBot="1">
      <c r="A42" s="1939"/>
      <c r="B42" s="1956" t="s">
        <v>2041</v>
      </c>
      <c r="C42" s="177" t="e">
        <f>ROUND(D5*C22*C23*C44*C28*F42,0)</f>
        <v>#DIV/0!</v>
      </c>
      <c r="D42" s="1941"/>
      <c r="E42" s="177" t="e">
        <f t="shared" si="4"/>
        <v>#DIV/0!</v>
      </c>
      <c r="F42" s="720">
        <f>SUMIF(修正!A57:A68,G2,修正!G57:G68)</f>
        <v>0</v>
      </c>
      <c r="G42" s="177" t="e">
        <f>ROUND(IF(E2="工业",C42*$M$42,C42*$M$41),0)</f>
        <v>#DIV/0!</v>
      </c>
      <c r="H42" s="177">
        <f t="shared" si="5"/>
        <v>0</v>
      </c>
      <c r="I42" s="177" t="e">
        <f t="shared" si="6"/>
        <v>#DIV/0!</v>
      </c>
      <c r="J42" s="1957"/>
      <c r="L42" s="1958" t="s">
        <v>1993</v>
      </c>
      <c r="M42" s="1959">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8" t="s">
        <v>2121</v>
      </c>
      <c r="C44" s="331" t="e">
        <f>ROUND(POWER(1+E44,H44-G44)*(POWER(1+E44,G44)-1)/(POWER(1+E44,H44)-1),4)</f>
        <v>#DIV/0!</v>
      </c>
      <c r="D44" s="161" t="s">
        <v>1999</v>
      </c>
      <c r="E44" s="1987">
        <f>G24</f>
        <v>0</v>
      </c>
      <c r="F44" s="161" t="s">
        <v>2008</v>
      </c>
      <c r="G44" s="173"/>
      <c r="H44" s="161">
        <v>50</v>
      </c>
      <c r="Z44" s="1054"/>
      <c r="AA44" s="1054"/>
      <c r="AB44" s="1054"/>
      <c r="AC44" s="1054"/>
      <c r="AD44" s="1054"/>
      <c r="AE44" s="1054"/>
      <c r="AF44" s="1054"/>
      <c r="AG44" s="1054"/>
      <c r="AH44" s="1054"/>
      <c r="AI44" s="1054"/>
      <c r="AJ44" s="1054"/>
    </row>
    <row r="45" spans="1:37" s="1053" customFormat="1">
      <c r="A45" s="1054"/>
      <c r="B45" s="1960"/>
      <c r="Z45" s="1054"/>
      <c r="AA45" s="1054"/>
      <c r="AB45" s="1054"/>
      <c r="AC45" s="1054"/>
      <c r="AD45" s="1054"/>
      <c r="AE45" s="1054"/>
      <c r="AF45" s="1054"/>
      <c r="AG45" s="1054"/>
      <c r="AH45" s="1054"/>
      <c r="AI45" s="1054"/>
      <c r="AJ45" s="1054"/>
    </row>
    <row r="46" spans="1:37" s="1053" customFormat="1">
      <c r="A46" s="1054"/>
      <c r="B46" s="1960"/>
      <c r="AA46" s="1054"/>
      <c r="AB46" s="1054"/>
      <c r="AC46" s="1054"/>
      <c r="AD46" s="1054"/>
      <c r="AE46" s="1054"/>
      <c r="AF46" s="1054"/>
      <c r="AG46" s="1054"/>
      <c r="AH46" s="1054"/>
      <c r="AI46" s="1054"/>
      <c r="AJ46" s="1054"/>
      <c r="AK46" s="1054"/>
    </row>
    <row r="47" spans="1:37" s="1053" customFormat="1" ht="15.75" thickBot="1">
      <c r="A47" s="1961" t="s">
        <v>2042</v>
      </c>
      <c r="B47" s="1962"/>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3" t="s">
        <v>2043</v>
      </c>
      <c r="B48" s="1964">
        <f>1+E50</f>
        <v>1</v>
      </c>
      <c r="C48" s="1722"/>
      <c r="D48" s="696"/>
      <c r="E48" s="697"/>
      <c r="F48" s="1965"/>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6" t="s">
        <v>2044</v>
      </c>
      <c r="B49" s="1259" t="s">
        <v>2045</v>
      </c>
      <c r="C49" s="1259" t="s">
        <v>2046</v>
      </c>
      <c r="D49" s="1259" t="s">
        <v>2047</v>
      </c>
      <c r="E49" s="698" t="s">
        <v>2048</v>
      </c>
      <c r="F49" s="1967" t="s">
        <v>2049</v>
      </c>
      <c r="G49" s="1259" t="s">
        <v>310</v>
      </c>
      <c r="H49" s="1968"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c r="A50" s="1966" t="s">
        <v>2052</v>
      </c>
      <c r="B50" s="1969">
        <f>估价对象房地状况!C4</f>
        <v>0</v>
      </c>
      <c r="C50" s="1883"/>
      <c r="D50" s="999">
        <f t="shared" ref="D50:D58" si="7">SUMIF($J$49:$N$49,C50,J50:N50)</f>
        <v>0</v>
      </c>
      <c r="E50" s="699">
        <f>ROUND(SUM(D50:D58),4)</f>
        <v>0</v>
      </c>
      <c r="F50" s="1671" t="str">
        <f>IF(E2="商业",SUMIF(L1:L12,G2,N1:N12),"——")</f>
        <v>——</v>
      </c>
      <c r="G50" s="997"/>
      <c r="H50" s="1000" t="str">
        <f t="shared" ref="H50:H58" si="8">IFERROR(ROUNDDOWN($F$50*I50/2,4),"——")</f>
        <v>——</v>
      </c>
      <c r="I50" s="3061">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6" t="s">
        <v>2053</v>
      </c>
      <c r="B51" s="1259" t="str">
        <f>估价对象房地状况!C18</f>
        <v>一般</v>
      </c>
      <c r="C51" s="1883"/>
      <c r="D51" s="999">
        <f t="shared" si="7"/>
        <v>0</v>
      </c>
      <c r="E51" s="700"/>
      <c r="F51" s="1671"/>
      <c r="G51" s="997"/>
      <c r="H51" s="1000" t="str">
        <f t="shared" si="8"/>
        <v>——</v>
      </c>
      <c r="I51" s="3061">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3" t="s">
        <v>3266</v>
      </c>
      <c r="B52" s="1259">
        <f>估价对象房地状况!C19</f>
        <v>0</v>
      </c>
      <c r="C52" s="1883"/>
      <c r="D52" s="999">
        <f t="shared" si="7"/>
        <v>0</v>
      </c>
      <c r="E52" s="700"/>
      <c r="F52" s="1671"/>
      <c r="G52" s="997"/>
      <c r="H52" s="1000" t="str">
        <f t="shared" si="8"/>
        <v>——</v>
      </c>
      <c r="I52" s="3061">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6" t="s">
        <v>2054</v>
      </c>
      <c r="B53" s="1970" t="s">
        <v>2055</v>
      </c>
      <c r="C53" s="1883"/>
      <c r="D53" s="999">
        <f t="shared" si="7"/>
        <v>0</v>
      </c>
      <c r="E53" s="700"/>
      <c r="F53" s="1671"/>
      <c r="G53" s="997"/>
      <c r="H53" s="1000" t="str">
        <f t="shared" si="8"/>
        <v>——</v>
      </c>
      <c r="I53" s="3061">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6" t="s">
        <v>2056</v>
      </c>
      <c r="B54" s="1259">
        <f>估价对象房地状况!C24</f>
        <v>0</v>
      </c>
      <c r="C54" s="1883"/>
      <c r="D54" s="999">
        <f t="shared" si="7"/>
        <v>0</v>
      </c>
      <c r="E54" s="700"/>
      <c r="F54" s="1671"/>
      <c r="G54" s="997"/>
      <c r="H54" s="1000" t="str">
        <f t="shared" si="8"/>
        <v>——</v>
      </c>
      <c r="I54" s="3061">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6" t="s">
        <v>2057</v>
      </c>
      <c r="B55" s="1971" t="s">
        <v>2058</v>
      </c>
      <c r="C55" s="1883"/>
      <c r="D55" s="999">
        <f t="shared" si="7"/>
        <v>0</v>
      </c>
      <c r="E55" s="700"/>
      <c r="F55" s="1671"/>
      <c r="G55" s="997"/>
      <c r="H55" s="1000" t="str">
        <f t="shared" si="8"/>
        <v>——</v>
      </c>
      <c r="I55" s="3061">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2" t="s">
        <v>2059</v>
      </c>
      <c r="B56" s="1237" t="str">
        <f>估价对象房地状况!C21</f>
        <v>一般</v>
      </c>
      <c r="C56" s="1883"/>
      <c r="D56" s="999">
        <f t="shared" si="7"/>
        <v>0</v>
      </c>
      <c r="E56" s="700"/>
      <c r="F56" s="1671"/>
      <c r="G56" s="997"/>
      <c r="H56" s="1000" t="str">
        <f t="shared" si="8"/>
        <v>——</v>
      </c>
      <c r="I56" s="3061">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2" t="s">
        <v>2060</v>
      </c>
      <c r="B57" s="1259" t="str">
        <f>估价对象房地状况!C22</f>
        <v>七通</v>
      </c>
      <c r="C57" s="1883"/>
      <c r="D57" s="999">
        <f t="shared" si="7"/>
        <v>0</v>
      </c>
      <c r="E57" s="700"/>
      <c r="F57" s="1671"/>
      <c r="G57" s="997"/>
      <c r="H57" s="1000" t="str">
        <f t="shared" si="8"/>
        <v>——</v>
      </c>
      <c r="I57" s="3061">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3" t="s">
        <v>2061</v>
      </c>
      <c r="B58" s="1974" t="str">
        <f>估价对象房地状况!C20</f>
        <v>一般</v>
      </c>
      <c r="C58" s="1883"/>
      <c r="D58" s="999">
        <f t="shared" si="7"/>
        <v>0</v>
      </c>
      <c r="E58" s="701"/>
      <c r="F58" s="1671"/>
      <c r="G58" s="997"/>
      <c r="H58" s="1000" t="str">
        <f t="shared" si="8"/>
        <v>——</v>
      </c>
      <c r="I58" s="3062">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3" t="s">
        <v>2062</v>
      </c>
      <c r="B59" s="1964">
        <f>1+E61</f>
        <v>1</v>
      </c>
      <c r="C59" s="696"/>
      <c r="D59" s="696"/>
      <c r="E59" s="697"/>
      <c r="F59" s="1965"/>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6" t="s">
        <v>2044</v>
      </c>
      <c r="B60" s="1259"/>
      <c r="C60" s="1259" t="s">
        <v>2046</v>
      </c>
      <c r="D60" s="1259" t="s">
        <v>2047</v>
      </c>
      <c r="E60" s="698" t="s">
        <v>2048</v>
      </c>
      <c r="F60" s="1967" t="s">
        <v>2063</v>
      </c>
      <c r="G60" s="1259" t="s">
        <v>310</v>
      </c>
      <c r="H60" s="1968"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6" t="s">
        <v>2064</v>
      </c>
      <c r="B61" s="1969">
        <f>估价对象房地状况!C17</f>
        <v>0</v>
      </c>
      <c r="C61" s="1883"/>
      <c r="D61" s="999">
        <f t="shared" ref="D61:D69" si="12">SUMIF($J$60:$N$60,C61,J61:N61)</f>
        <v>0</v>
      </c>
      <c r="E61" s="699">
        <f>ROUND(SUM(D61:D69),4)</f>
        <v>0</v>
      </c>
      <c r="F61" s="1671" t="str">
        <f>IF(E2="办公",SUMIF(L1:L12,G2,N1:N12),"——")</f>
        <v>——</v>
      </c>
      <c r="G61" s="997"/>
      <c r="H61" s="1000" t="str">
        <f t="shared" ref="H61:H69" si="13">IFERROR(ROUNDDOWN($F$61*I61/2,4),"——")</f>
        <v>——</v>
      </c>
      <c r="I61" s="3061">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6" t="s">
        <v>2053</v>
      </c>
      <c r="B62" s="1259" t="str">
        <f>估价对象房地状况!C18</f>
        <v>一般</v>
      </c>
      <c r="C62" s="1883"/>
      <c r="D62" s="999">
        <f t="shared" si="12"/>
        <v>0</v>
      </c>
      <c r="E62" s="700"/>
      <c r="F62" s="1671"/>
      <c r="G62" s="997"/>
      <c r="H62" s="1000" t="str">
        <f t="shared" si="13"/>
        <v>——</v>
      </c>
      <c r="I62" s="3061">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3" t="s">
        <v>3266</v>
      </c>
      <c r="B63" s="1259">
        <f>估价对象房地状况!C19</f>
        <v>0</v>
      </c>
      <c r="C63" s="1883"/>
      <c r="D63" s="999">
        <f t="shared" si="12"/>
        <v>0</v>
      </c>
      <c r="E63" s="700"/>
      <c r="F63" s="1671"/>
      <c r="G63" s="997"/>
      <c r="H63" s="1000" t="str">
        <f t="shared" si="13"/>
        <v>——</v>
      </c>
      <c r="I63" s="3061">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6" t="s">
        <v>2054</v>
      </c>
      <c r="B64" s="1970" t="s">
        <v>2055</v>
      </c>
      <c r="C64" s="1883"/>
      <c r="D64" s="999">
        <f t="shared" si="12"/>
        <v>0</v>
      </c>
      <c r="E64" s="700"/>
      <c r="F64" s="1671"/>
      <c r="G64" s="997"/>
      <c r="H64" s="1000" t="str">
        <f t="shared" si="13"/>
        <v>——</v>
      </c>
      <c r="I64" s="3061">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6" t="s">
        <v>2056</v>
      </c>
      <c r="B65" s="1259">
        <f>估价对象房地状况!C24</f>
        <v>0</v>
      </c>
      <c r="C65" s="1883"/>
      <c r="D65" s="999">
        <f t="shared" si="12"/>
        <v>0</v>
      </c>
      <c r="E65" s="700"/>
      <c r="F65" s="1671"/>
      <c r="G65" s="997"/>
      <c r="H65" s="1000" t="str">
        <f t="shared" si="13"/>
        <v>——</v>
      </c>
      <c r="I65" s="3061">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6" t="s">
        <v>2057</v>
      </c>
      <c r="B66" s="1971" t="s">
        <v>2058</v>
      </c>
      <c r="C66" s="1883"/>
      <c r="D66" s="999">
        <f t="shared" si="12"/>
        <v>0</v>
      </c>
      <c r="E66" s="700"/>
      <c r="F66" s="1671"/>
      <c r="G66" s="997"/>
      <c r="H66" s="1000" t="str">
        <f t="shared" si="13"/>
        <v>——</v>
      </c>
      <c r="I66" s="3061">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6" t="s">
        <v>2059</v>
      </c>
      <c r="B67" s="1237" t="str">
        <f>估价对象房地状况!C21</f>
        <v>一般</v>
      </c>
      <c r="C67" s="1883"/>
      <c r="D67" s="999">
        <f t="shared" si="12"/>
        <v>0</v>
      </c>
      <c r="E67" s="700"/>
      <c r="F67" s="1671"/>
      <c r="G67" s="997"/>
      <c r="H67" s="1000" t="str">
        <f t="shared" si="13"/>
        <v>——</v>
      </c>
      <c r="I67" s="3061">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6" t="s">
        <v>2060</v>
      </c>
      <c r="B68" s="1237" t="str">
        <f>估价对象房地状况!C22</f>
        <v>七通</v>
      </c>
      <c r="C68" s="1883"/>
      <c r="D68" s="999">
        <f t="shared" si="12"/>
        <v>0</v>
      </c>
      <c r="E68" s="700"/>
      <c r="F68" s="1671"/>
      <c r="G68" s="997"/>
      <c r="H68" s="1000" t="str">
        <f t="shared" si="13"/>
        <v>——</v>
      </c>
      <c r="I68" s="3061">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3" t="s">
        <v>2061</v>
      </c>
      <c r="B69" s="1975" t="str">
        <f>估价对象房地状况!C20</f>
        <v>一般</v>
      </c>
      <c r="C69" s="1883"/>
      <c r="D69" s="999">
        <f t="shared" si="12"/>
        <v>0</v>
      </c>
      <c r="E69" s="701"/>
      <c r="F69" s="1671"/>
      <c r="G69" s="997"/>
      <c r="H69" s="1000" t="str">
        <f t="shared" si="13"/>
        <v>——</v>
      </c>
      <c r="I69" s="3062">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3" t="s">
        <v>2065</v>
      </c>
      <c r="B70" s="1964">
        <f>1+E72</f>
        <v>1</v>
      </c>
      <c r="C70" s="696"/>
      <c r="D70" s="696"/>
      <c r="E70" s="697"/>
      <c r="F70" s="1965"/>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6" t="s">
        <v>2044</v>
      </c>
      <c r="B71" s="1259"/>
      <c r="C71" s="1259" t="s">
        <v>2046</v>
      </c>
      <c r="D71" s="1259" t="s">
        <v>2047</v>
      </c>
      <c r="E71" s="698" t="s">
        <v>2048</v>
      </c>
      <c r="F71" s="1967" t="s">
        <v>2063</v>
      </c>
      <c r="G71" s="1259" t="s">
        <v>310</v>
      </c>
      <c r="H71" s="1968"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6" t="s">
        <v>2066</v>
      </c>
      <c r="B72" s="1969" t="str">
        <f>估价对象房地状况!C15</f>
        <v>一般</v>
      </c>
      <c r="C72" s="1883"/>
      <c r="D72" s="999">
        <f t="shared" ref="D72:D80" si="17">SUMIF($J$71:$N$71,C72,J72:N72)</f>
        <v>0</v>
      </c>
      <c r="E72" s="699">
        <f>ROUND(SUM(D72:D80),4)</f>
        <v>0</v>
      </c>
      <c r="F72" s="1671" t="str">
        <f>IF(E2="住宅",SUMIF(L1:L12,G2,N1:N12),"——")</f>
        <v>——</v>
      </c>
      <c r="G72" s="997"/>
      <c r="H72" s="1000" t="str">
        <f t="shared" ref="H72:H80" si="18">IFERROR(ROUNDDOWN($F$72*I72/2,4),"——")</f>
        <v>——</v>
      </c>
      <c r="I72" s="3061">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6" t="s">
        <v>2053</v>
      </c>
      <c r="B73" s="1259" t="str">
        <f>估价对象房地状况!C18</f>
        <v>一般</v>
      </c>
      <c r="C73" s="1883"/>
      <c r="D73" s="999">
        <f t="shared" si="17"/>
        <v>0</v>
      </c>
      <c r="E73" s="702"/>
      <c r="F73" s="1671"/>
      <c r="G73" s="997"/>
      <c r="H73" s="1000" t="str">
        <f t="shared" si="18"/>
        <v>——</v>
      </c>
      <c r="I73" s="3061">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0" customFormat="1" ht="36">
      <c r="A74" s="3063" t="s">
        <v>3266</v>
      </c>
      <c r="B74" s="1259">
        <f>估价对象房地状况!C19</f>
        <v>0</v>
      </c>
      <c r="C74" s="1883"/>
      <c r="D74" s="999">
        <f t="shared" si="17"/>
        <v>0</v>
      </c>
      <c r="E74" s="702"/>
      <c r="F74" s="1671"/>
      <c r="G74" s="997"/>
      <c r="H74" s="1000" t="str">
        <f t="shared" si="18"/>
        <v>——</v>
      </c>
      <c r="I74" s="3061">
        <v>0.1</v>
      </c>
      <c r="J74" s="998">
        <f t="shared" si="19"/>
        <v>0</v>
      </c>
      <c r="K74" s="998">
        <f t="shared" si="20"/>
        <v>0</v>
      </c>
      <c r="L74" s="998">
        <v>0</v>
      </c>
      <c r="M74" s="998">
        <f t="shared" si="21"/>
        <v>0</v>
      </c>
      <c r="N74" s="998">
        <f t="shared" si="21"/>
        <v>0</v>
      </c>
      <c r="O74" s="1053"/>
      <c r="P74" s="1053"/>
      <c r="Q74" s="1053"/>
      <c r="AA74" s="1976"/>
      <c r="AB74" s="1054"/>
      <c r="AC74" s="1054"/>
      <c r="AD74" s="1054"/>
      <c r="AE74" s="1054"/>
      <c r="AF74" s="1054"/>
      <c r="AG74" s="1054"/>
      <c r="AH74" s="1976"/>
      <c r="AI74" s="1976"/>
      <c r="AJ74" s="1976"/>
      <c r="AK74" s="1976"/>
    </row>
    <row r="75" spans="1:37" ht="14.25">
      <c r="A75" s="1966" t="s">
        <v>2067</v>
      </c>
      <c r="B75" s="1259">
        <f>估价对象房地状况!C24</f>
        <v>0</v>
      </c>
      <c r="C75" s="1883"/>
      <c r="D75" s="999">
        <f t="shared" si="17"/>
        <v>0</v>
      </c>
      <c r="E75" s="702"/>
      <c r="F75" s="1671"/>
      <c r="G75" s="997"/>
      <c r="H75" s="1000" t="str">
        <f t="shared" si="18"/>
        <v>——</v>
      </c>
      <c r="I75" s="3061">
        <v>0.05</v>
      </c>
      <c r="J75" s="998">
        <f t="shared" si="19"/>
        <v>0</v>
      </c>
      <c r="K75" s="998">
        <f t="shared" si="20"/>
        <v>0</v>
      </c>
      <c r="L75" s="998">
        <v>0</v>
      </c>
      <c r="M75" s="998">
        <f t="shared" si="21"/>
        <v>0</v>
      </c>
      <c r="N75" s="998">
        <f t="shared" si="21"/>
        <v>0</v>
      </c>
      <c r="O75" s="1053"/>
      <c r="P75" s="1053"/>
      <c r="Q75" s="1840"/>
      <c r="Z75" s="1841"/>
      <c r="AA75" s="1891"/>
      <c r="AG75" s="1055"/>
      <c r="AK75" s="1891"/>
    </row>
    <row r="76" spans="1:37" ht="24">
      <c r="A76" s="1966" t="s">
        <v>2059</v>
      </c>
      <c r="B76" s="1237" t="str">
        <f>估价对象房地状况!C21</f>
        <v>一般</v>
      </c>
      <c r="C76" s="1883"/>
      <c r="D76" s="999">
        <f t="shared" si="17"/>
        <v>0</v>
      </c>
      <c r="E76" s="702"/>
      <c r="F76" s="1671"/>
      <c r="G76" s="997"/>
      <c r="H76" s="1000" t="str">
        <f t="shared" si="18"/>
        <v>——</v>
      </c>
      <c r="I76" s="3061">
        <v>0.08</v>
      </c>
      <c r="J76" s="998">
        <f t="shared" si="19"/>
        <v>0</v>
      </c>
      <c r="K76" s="998">
        <f t="shared" si="20"/>
        <v>0</v>
      </c>
      <c r="L76" s="998">
        <v>0</v>
      </c>
      <c r="M76" s="998">
        <f t="shared" si="21"/>
        <v>0</v>
      </c>
      <c r="N76" s="998">
        <f t="shared" si="21"/>
        <v>0</v>
      </c>
      <c r="O76" s="1053"/>
      <c r="P76" s="1053"/>
      <c r="Z76" s="1841"/>
      <c r="AA76" s="1891"/>
      <c r="AG76" s="1055"/>
      <c r="AK76" s="1891"/>
    </row>
    <row r="77" spans="1:37" ht="24">
      <c r="A77" s="1966" t="s">
        <v>2060</v>
      </c>
      <c r="B77" s="1237" t="str">
        <f>估价对象房地状况!C22</f>
        <v>七通</v>
      </c>
      <c r="C77" s="1883"/>
      <c r="D77" s="999">
        <f t="shared" si="17"/>
        <v>0</v>
      </c>
      <c r="E77" s="702"/>
      <c r="F77" s="1671"/>
      <c r="G77" s="997"/>
      <c r="H77" s="1000" t="str">
        <f t="shared" si="18"/>
        <v>——</v>
      </c>
      <c r="I77" s="3061">
        <v>0.09</v>
      </c>
      <c r="J77" s="998">
        <f t="shared" si="19"/>
        <v>0</v>
      </c>
      <c r="K77" s="998">
        <f t="shared" si="20"/>
        <v>0</v>
      </c>
      <c r="L77" s="998">
        <v>0</v>
      </c>
      <c r="M77" s="998">
        <f t="shared" si="21"/>
        <v>0</v>
      </c>
      <c r="N77" s="998">
        <f t="shared" si="21"/>
        <v>0</v>
      </c>
      <c r="O77" s="1053"/>
      <c r="P77" s="1053"/>
      <c r="Z77" s="1841"/>
      <c r="AA77" s="1891"/>
      <c r="AG77" s="1055"/>
      <c r="AK77" s="1891"/>
    </row>
    <row r="78" spans="1:37" ht="24">
      <c r="A78" s="1966" t="s">
        <v>2057</v>
      </c>
      <c r="B78" s="1971" t="s">
        <v>2058</v>
      </c>
      <c r="C78" s="1883"/>
      <c r="D78" s="999">
        <f t="shared" si="17"/>
        <v>0</v>
      </c>
      <c r="E78" s="702"/>
      <c r="F78" s="1671"/>
      <c r="G78" s="997"/>
      <c r="H78" s="1000" t="str">
        <f t="shared" si="18"/>
        <v>——</v>
      </c>
      <c r="I78" s="3061">
        <v>0.05</v>
      </c>
      <c r="J78" s="998">
        <f t="shared" si="19"/>
        <v>0</v>
      </c>
      <c r="K78" s="998">
        <f t="shared" si="20"/>
        <v>0</v>
      </c>
      <c r="L78" s="998">
        <v>0</v>
      </c>
      <c r="M78" s="998">
        <f t="shared" si="21"/>
        <v>0</v>
      </c>
      <c r="N78" s="998">
        <f t="shared" si="21"/>
        <v>0</v>
      </c>
      <c r="O78" s="1840"/>
      <c r="P78" s="1840"/>
      <c r="Z78" s="1841"/>
      <c r="AA78" s="1891"/>
      <c r="AG78" s="1055"/>
      <c r="AK78" s="1891"/>
    </row>
    <row r="79" spans="1:37" ht="24">
      <c r="A79" s="1966" t="s">
        <v>2061</v>
      </c>
      <c r="B79" s="1969" t="str">
        <f>估价对象房地状况!C20</f>
        <v>一般</v>
      </c>
      <c r="C79" s="1883"/>
      <c r="D79" s="999">
        <f t="shared" si="17"/>
        <v>0</v>
      </c>
      <c r="E79" s="702"/>
      <c r="F79" s="1671"/>
      <c r="G79" s="997"/>
      <c r="H79" s="1000" t="str">
        <f t="shared" si="18"/>
        <v>——</v>
      </c>
      <c r="I79" s="3061">
        <v>0.12</v>
      </c>
      <c r="J79" s="998">
        <f t="shared" si="19"/>
        <v>0</v>
      </c>
      <c r="K79" s="998">
        <f t="shared" si="20"/>
        <v>0</v>
      </c>
      <c r="L79" s="998">
        <v>0</v>
      </c>
      <c r="M79" s="998">
        <f t="shared" si="21"/>
        <v>0</v>
      </c>
      <c r="N79" s="998">
        <f t="shared" si="21"/>
        <v>0</v>
      </c>
      <c r="Z79" s="1841"/>
      <c r="AA79" s="1891"/>
      <c r="AG79" s="1055"/>
      <c r="AK79" s="1891"/>
    </row>
    <row r="80" spans="1:37" ht="24.75" thickBot="1">
      <c r="A80" s="1973" t="s">
        <v>2068</v>
      </c>
      <c r="B80" s="1977"/>
      <c r="C80" s="1883"/>
      <c r="D80" s="999">
        <f t="shared" si="17"/>
        <v>0</v>
      </c>
      <c r="E80" s="703"/>
      <c r="F80" s="1671"/>
      <c r="G80" s="997"/>
      <c r="H80" s="1000" t="str">
        <f t="shared" si="18"/>
        <v>——</v>
      </c>
      <c r="I80" s="3062">
        <v>0.05</v>
      </c>
      <c r="J80" s="998">
        <f t="shared" si="19"/>
        <v>0</v>
      </c>
      <c r="K80" s="998">
        <f t="shared" si="20"/>
        <v>0</v>
      </c>
      <c r="L80" s="998">
        <v>0</v>
      </c>
      <c r="M80" s="998">
        <f t="shared" si="21"/>
        <v>0</v>
      </c>
      <c r="N80" s="998">
        <f t="shared" si="21"/>
        <v>0</v>
      </c>
      <c r="Z80" s="1841"/>
      <c r="AA80" s="1891"/>
      <c r="AG80" s="1055"/>
      <c r="AK80" s="1891"/>
    </row>
    <row r="81" spans="1:37" ht="15">
      <c r="A81" s="1963" t="s">
        <v>2069</v>
      </c>
      <c r="B81" s="1964">
        <f>1+E83</f>
        <v>1</v>
      </c>
      <c r="C81" s="696"/>
      <c r="D81" s="696"/>
      <c r="E81" s="697"/>
      <c r="F81" s="1965"/>
      <c r="G81" s="3"/>
      <c r="H81" s="3"/>
      <c r="I81" s="3"/>
      <c r="J81" s="4"/>
      <c r="K81" s="4"/>
      <c r="L81" s="4"/>
      <c r="M81" s="4"/>
      <c r="N81" s="4"/>
      <c r="Z81" s="1841"/>
      <c r="AA81" s="1891"/>
      <c r="AG81" s="1055"/>
      <c r="AK81" s="1891"/>
    </row>
    <row r="82" spans="1:37" ht="24.75">
      <c r="A82" s="1966" t="s">
        <v>2044</v>
      </c>
      <c r="B82" s="1259"/>
      <c r="C82" s="1259" t="s">
        <v>2046</v>
      </c>
      <c r="D82" s="1259" t="s">
        <v>2047</v>
      </c>
      <c r="E82" s="698" t="s">
        <v>2048</v>
      </c>
      <c r="F82" s="1967" t="s">
        <v>2063</v>
      </c>
      <c r="G82" s="1259" t="s">
        <v>310</v>
      </c>
      <c r="H82" s="1968" t="s">
        <v>2050</v>
      </c>
      <c r="I82" s="1259" t="s">
        <v>2051</v>
      </c>
      <c r="J82" s="528" t="s">
        <v>1721</v>
      </c>
      <c r="K82" s="528" t="s">
        <v>1722</v>
      </c>
      <c r="L82" s="528" t="s">
        <v>1723</v>
      </c>
      <c r="M82" s="528" t="s">
        <v>1724</v>
      </c>
      <c r="N82" s="528" t="s">
        <v>1725</v>
      </c>
      <c r="Z82" s="1841"/>
      <c r="AA82" s="1891"/>
      <c r="AG82" s="1055"/>
      <c r="AK82" s="1891"/>
    </row>
    <row r="83" spans="1:37" ht="38.25">
      <c r="A83" s="1966" t="s">
        <v>2070</v>
      </c>
      <c r="B83" s="1259" t="str">
        <f>估价对象房地状况!G15</f>
        <v>估价对象位于XX开发区，园区建设成熟度XX，产业集聚程度XX</v>
      </c>
      <c r="C83" s="1883"/>
      <c r="D83" s="999">
        <f t="shared" ref="D83:D90" si="22">SUMIF($J$82:$N$82,C83,J83:N83)</f>
        <v>0</v>
      </c>
      <c r="E83" s="699">
        <f>ROUND(SUM(D83:D90),4)</f>
        <v>0</v>
      </c>
      <c r="F83" s="1671" t="str">
        <f>IF(E2="工业",SUMIF(L1:L12,G2,N1:N12),"——")</f>
        <v>——</v>
      </c>
      <c r="G83" s="997"/>
      <c r="H83" s="1000" t="str">
        <f t="shared" ref="H83:H90" si="23">IFERROR(ROUNDDOWN($F$83*I83/2,4),"——")</f>
        <v>——</v>
      </c>
      <c r="I83" s="3061">
        <v>0.26</v>
      </c>
      <c r="J83" s="998">
        <f t="shared" ref="J83:J90" si="24">K83+$G83</f>
        <v>0</v>
      </c>
      <c r="K83" s="998">
        <f t="shared" ref="K83:K90" si="25">$L83+$G83</f>
        <v>0</v>
      </c>
      <c r="L83" s="998">
        <v>0</v>
      </c>
      <c r="M83" s="998">
        <f t="shared" ref="M83:N90" si="26">L83-$G83</f>
        <v>0</v>
      </c>
      <c r="N83" s="998">
        <f t="shared" si="26"/>
        <v>0</v>
      </c>
      <c r="Z83" s="1841"/>
      <c r="AA83" s="1891"/>
      <c r="AG83" s="1055"/>
      <c r="AK83" s="1891"/>
    </row>
    <row r="84" spans="1:37" ht="38.25">
      <c r="A84" s="1966" t="s">
        <v>2053</v>
      </c>
      <c r="B84" s="1259" t="str">
        <f>估价对象房地状况!G16</f>
        <v>估价对象周边道路状况、公共交通通达情况、停车便捷程度，综合评价交通便捷度较好</v>
      </c>
      <c r="C84" s="1883"/>
      <c r="D84" s="999">
        <f t="shared" si="22"/>
        <v>0</v>
      </c>
      <c r="E84" s="702"/>
      <c r="F84" s="1671"/>
      <c r="G84" s="997"/>
      <c r="H84" s="1000" t="str">
        <f t="shared" si="23"/>
        <v>——</v>
      </c>
      <c r="I84" s="3061">
        <v>0.3</v>
      </c>
      <c r="J84" s="998">
        <f t="shared" si="24"/>
        <v>0</v>
      </c>
      <c r="K84" s="998">
        <f t="shared" si="25"/>
        <v>0</v>
      </c>
      <c r="L84" s="998">
        <v>0</v>
      </c>
      <c r="M84" s="998">
        <f t="shared" si="26"/>
        <v>0</v>
      </c>
      <c r="N84" s="998">
        <f t="shared" si="26"/>
        <v>0</v>
      </c>
      <c r="Z84" s="1841"/>
      <c r="AA84" s="1891"/>
      <c r="AG84" s="1055"/>
      <c r="AK84" s="1891"/>
    </row>
    <row r="85" spans="1:37" ht="36">
      <c r="A85" s="3063" t="s">
        <v>3267</v>
      </c>
      <c r="B85" s="1259">
        <f>估价对象房地状况!G17</f>
        <v>0</v>
      </c>
      <c r="C85" s="1883"/>
      <c r="D85" s="999">
        <f t="shared" si="22"/>
        <v>0</v>
      </c>
      <c r="E85" s="702"/>
      <c r="F85" s="1671"/>
      <c r="G85" s="997"/>
      <c r="H85" s="1000" t="str">
        <f t="shared" si="23"/>
        <v>——</v>
      </c>
      <c r="I85" s="3061">
        <v>0.1</v>
      </c>
      <c r="J85" s="998">
        <f t="shared" si="24"/>
        <v>0</v>
      </c>
      <c r="K85" s="998">
        <f t="shared" si="25"/>
        <v>0</v>
      </c>
      <c r="L85" s="998">
        <v>0</v>
      </c>
      <c r="M85" s="998">
        <f t="shared" si="26"/>
        <v>0</v>
      </c>
      <c r="N85" s="998">
        <f t="shared" si="26"/>
        <v>0</v>
      </c>
      <c r="Z85" s="1841"/>
      <c r="AA85" s="1891"/>
      <c r="AG85" s="1055"/>
      <c r="AK85" s="1891"/>
    </row>
    <row r="86" spans="1:37" ht="14.25">
      <c r="A86" s="1966" t="s">
        <v>2067</v>
      </c>
      <c r="B86" s="1259">
        <f>估价对象房地状况!G22</f>
        <v>0</v>
      </c>
      <c r="C86" s="1883"/>
      <c r="D86" s="999">
        <f t="shared" si="22"/>
        <v>0</v>
      </c>
      <c r="E86" s="702"/>
      <c r="F86" s="1671"/>
      <c r="G86" s="997"/>
      <c r="H86" s="1000" t="str">
        <f t="shared" si="23"/>
        <v>——</v>
      </c>
      <c r="I86" s="3061">
        <v>0.05</v>
      </c>
      <c r="J86" s="998">
        <f t="shared" si="24"/>
        <v>0</v>
      </c>
      <c r="K86" s="998">
        <f t="shared" si="25"/>
        <v>0</v>
      </c>
      <c r="L86" s="998">
        <v>0</v>
      </c>
      <c r="M86" s="998">
        <f t="shared" si="26"/>
        <v>0</v>
      </c>
      <c r="N86" s="998">
        <f t="shared" si="26"/>
        <v>0</v>
      </c>
      <c r="Z86" s="1841"/>
      <c r="AA86" s="1891"/>
      <c r="AG86" s="1055"/>
      <c r="AK86" s="1891"/>
    </row>
    <row r="87" spans="1:37" ht="25.5">
      <c r="A87" s="1966" t="s">
        <v>2059</v>
      </c>
      <c r="B87" s="1237" t="str">
        <f>估价对象房地状况!G19</f>
        <v>估价对象所在区域公共配套设施齐备情况</v>
      </c>
      <c r="C87" s="1883"/>
      <c r="D87" s="999">
        <f t="shared" si="22"/>
        <v>0</v>
      </c>
      <c r="E87" s="702"/>
      <c r="F87" s="1671"/>
      <c r="G87" s="997"/>
      <c r="H87" s="1000" t="str">
        <f t="shared" si="23"/>
        <v>——</v>
      </c>
      <c r="I87" s="3061">
        <v>0.06</v>
      </c>
      <c r="J87" s="998">
        <f t="shared" si="24"/>
        <v>0</v>
      </c>
      <c r="K87" s="998">
        <f t="shared" si="25"/>
        <v>0</v>
      </c>
      <c r="L87" s="998">
        <v>0</v>
      </c>
      <c r="M87" s="998">
        <f t="shared" si="26"/>
        <v>0</v>
      </c>
      <c r="N87" s="998">
        <f t="shared" si="26"/>
        <v>0</v>
      </c>
    </row>
    <row r="88" spans="1:37" ht="25.5">
      <c r="A88" s="1966" t="s">
        <v>2060</v>
      </c>
      <c r="B88" s="1237" t="str">
        <f>估价对象房地状况!G20</f>
        <v>估价对象所在区域基础设施水平</v>
      </c>
      <c r="C88" s="1883"/>
      <c r="D88" s="999">
        <f t="shared" si="22"/>
        <v>0</v>
      </c>
      <c r="E88" s="702"/>
      <c r="F88" s="1671"/>
      <c r="G88" s="997"/>
      <c r="H88" s="1000" t="str">
        <f t="shared" si="23"/>
        <v>——</v>
      </c>
      <c r="I88" s="3061">
        <v>0.12</v>
      </c>
      <c r="J88" s="998">
        <f t="shared" si="24"/>
        <v>0</v>
      </c>
      <c r="K88" s="998">
        <f t="shared" si="25"/>
        <v>0</v>
      </c>
      <c r="L88" s="998">
        <v>0</v>
      </c>
      <c r="M88" s="998">
        <f t="shared" si="26"/>
        <v>0</v>
      </c>
      <c r="N88" s="998">
        <f t="shared" si="26"/>
        <v>0</v>
      </c>
    </row>
    <row r="89" spans="1:37" ht="24">
      <c r="A89" s="1966" t="s">
        <v>2057</v>
      </c>
      <c r="B89" s="1971" t="s">
        <v>2071</v>
      </c>
      <c r="C89" s="1883"/>
      <c r="D89" s="999">
        <f t="shared" si="22"/>
        <v>0</v>
      </c>
      <c r="E89" s="702"/>
      <c r="F89" s="1671"/>
      <c r="G89" s="997"/>
      <c r="H89" s="1000" t="str">
        <f t="shared" si="23"/>
        <v>——</v>
      </c>
      <c r="I89" s="3061">
        <v>0.06</v>
      </c>
      <c r="J89" s="998">
        <f t="shared" si="24"/>
        <v>0</v>
      </c>
      <c r="K89" s="998">
        <f t="shared" si="25"/>
        <v>0</v>
      </c>
      <c r="L89" s="998">
        <v>0</v>
      </c>
      <c r="M89" s="998">
        <f t="shared" si="26"/>
        <v>0</v>
      </c>
      <c r="N89" s="998">
        <f t="shared" si="26"/>
        <v>0</v>
      </c>
    </row>
    <row r="90" spans="1:37" ht="39" thickBot="1">
      <c r="A90" s="1973" t="s">
        <v>2072</v>
      </c>
      <c r="B90" s="1978" t="str">
        <f>估价对象房地状况!G18</f>
        <v>该园区内是否有污染型企业，绿化情况，卫生条件，整体环境状况判断</v>
      </c>
      <c r="C90" s="1883"/>
      <c r="D90" s="999">
        <f t="shared" si="22"/>
        <v>0</v>
      </c>
      <c r="E90" s="703"/>
      <c r="F90" s="1671"/>
      <c r="G90" s="997"/>
      <c r="H90" s="1000" t="str">
        <f t="shared" si="23"/>
        <v>——</v>
      </c>
      <c r="I90" s="3062">
        <v>0.05</v>
      </c>
      <c r="J90" s="998">
        <f t="shared" si="24"/>
        <v>0</v>
      </c>
      <c r="K90" s="998">
        <f t="shared" si="25"/>
        <v>0</v>
      </c>
      <c r="L90" s="998">
        <v>0</v>
      </c>
      <c r="M90" s="998">
        <f t="shared" si="26"/>
        <v>0</v>
      </c>
      <c r="N90" s="998">
        <f t="shared" si="26"/>
        <v>0</v>
      </c>
    </row>
    <row r="91" spans="1:37" ht="15">
      <c r="A91" s="3071" t="s">
        <v>2609</v>
      </c>
      <c r="B91" s="3072">
        <f>1+E93</f>
        <v>1</v>
      </c>
      <c r="C91" s="3065"/>
      <c r="D91" s="3066"/>
      <c r="E91" s="1671"/>
      <c r="F91" s="1671"/>
      <c r="G91" s="3067"/>
      <c r="H91" s="3068"/>
      <c r="I91" s="3069"/>
      <c r="J91" s="3070"/>
      <c r="K91" s="3070"/>
      <c r="L91" s="3070"/>
      <c r="M91" s="3070"/>
      <c r="N91" s="3070"/>
    </row>
    <row r="92" spans="1:37" ht="24.75">
      <c r="A92" s="3073" t="s">
        <v>3268</v>
      </c>
      <c r="B92" s="2303"/>
      <c r="C92" s="2303" t="s">
        <v>3277</v>
      </c>
      <c r="D92" s="2303" t="s">
        <v>3278</v>
      </c>
      <c r="E92" s="3045" t="s">
        <v>3279</v>
      </c>
      <c r="F92" s="3075" t="s">
        <v>3280</v>
      </c>
      <c r="G92" s="2303" t="s">
        <v>3281</v>
      </c>
      <c r="H92" s="3082" t="s">
        <v>3284</v>
      </c>
      <c r="I92" s="2303" t="s">
        <v>3285</v>
      </c>
      <c r="J92" s="2146" t="s">
        <v>3286</v>
      </c>
      <c r="K92" s="2146" t="s">
        <v>3287</v>
      </c>
      <c r="L92" s="2146" t="s">
        <v>3288</v>
      </c>
      <c r="M92" s="2146" t="s">
        <v>3289</v>
      </c>
      <c r="N92" s="2146" t="s">
        <v>3290</v>
      </c>
    </row>
    <row r="93" spans="1:37" ht="24">
      <c r="A93" s="3063" t="s">
        <v>3269</v>
      </c>
      <c r="B93" s="1218"/>
      <c r="C93" s="1883"/>
      <c r="D93" s="2303">
        <f>SUMIF($J$92:$N$92,C93,J93:N93)</f>
        <v>0</v>
      </c>
      <c r="E93" s="3076">
        <f>ROUND(SUM(D93:D101),4)</f>
        <v>0</v>
      </c>
      <c r="F93" s="1671" t="str">
        <f>IF(E2="公共服务",SUMIF(L1:L12,G2,N1:N12),"——")</f>
        <v>——</v>
      </c>
      <c r="G93" s="3067"/>
      <c r="H93" s="3112" t="str">
        <f>IFERROR(ROUNDDOWN($F$93*I93/2,4),"——")</f>
        <v>——</v>
      </c>
      <c r="I93" s="3061">
        <v>0.25</v>
      </c>
      <c r="J93" s="1908">
        <f t="shared" ref="J93:J101" si="27">K93+$G93</f>
        <v>0</v>
      </c>
      <c r="K93" s="1908">
        <f t="shared" ref="K93:K101" si="28">$L93+$G93</f>
        <v>0</v>
      </c>
      <c r="L93" s="1908">
        <v>0</v>
      </c>
      <c r="M93" s="1908">
        <f t="shared" ref="M93:N101" si="29">L93-$G93</f>
        <v>0</v>
      </c>
      <c r="N93" s="1908">
        <f t="shared" si="29"/>
        <v>0</v>
      </c>
    </row>
    <row r="94" spans="1:37" ht="14.25">
      <c r="A94" s="3073" t="s">
        <v>3270</v>
      </c>
      <c r="B94" s="3064" t="str">
        <f>估价对象房地状况!C18</f>
        <v>一般</v>
      </c>
      <c r="C94" s="1883"/>
      <c r="D94" s="2303">
        <f t="shared" ref="D94:D101" si="30">SUMIF($J$60:$N$60,C94,J94:N94)</f>
        <v>0</v>
      </c>
      <c r="E94" s="3077"/>
      <c r="F94" s="1671"/>
      <c r="G94" s="3067"/>
      <c r="H94" s="3112" t="str">
        <f>IFERROR(ROUNDDOWN($F$93*I94/2,4),"——")</f>
        <v>——</v>
      </c>
      <c r="I94" s="3061">
        <v>0.26</v>
      </c>
      <c r="J94" s="1908">
        <f t="shared" si="27"/>
        <v>0</v>
      </c>
      <c r="K94" s="1908">
        <f t="shared" si="28"/>
        <v>0</v>
      </c>
      <c r="L94" s="1908">
        <v>0</v>
      </c>
      <c r="M94" s="1908">
        <f t="shared" si="29"/>
        <v>0</v>
      </c>
      <c r="N94" s="1908">
        <f t="shared" si="29"/>
        <v>0</v>
      </c>
    </row>
    <row r="95" spans="1:37" ht="36">
      <c r="A95" s="3063" t="s">
        <v>3266</v>
      </c>
      <c r="B95" s="3064">
        <f>估价对象房地状况!C19</f>
        <v>0</v>
      </c>
      <c r="C95" s="1883"/>
      <c r="D95" s="2303">
        <f t="shared" si="30"/>
        <v>0</v>
      </c>
      <c r="E95" s="3077"/>
      <c r="F95" s="1671"/>
      <c r="G95" s="3067"/>
      <c r="H95" s="3112" t="str">
        <f t="shared" ref="H95:H101" si="31">IFERROR(ROUNDDOWN($F$93*I95/2,4),"——")</f>
        <v>——</v>
      </c>
      <c r="I95" s="3061">
        <v>0.11</v>
      </c>
      <c r="J95" s="1908">
        <f t="shared" si="27"/>
        <v>0</v>
      </c>
      <c r="K95" s="1908">
        <f t="shared" si="28"/>
        <v>0</v>
      </c>
      <c r="L95" s="1908">
        <v>0</v>
      </c>
      <c r="M95" s="1908">
        <f t="shared" si="29"/>
        <v>0</v>
      </c>
      <c r="N95" s="1908">
        <f t="shared" si="29"/>
        <v>0</v>
      </c>
    </row>
    <row r="96" spans="1:37" ht="36.75">
      <c r="A96" s="3073" t="s">
        <v>3271</v>
      </c>
      <c r="B96" s="3079" t="s">
        <v>3282</v>
      </c>
      <c r="C96" s="1883"/>
      <c r="D96" s="2303">
        <f t="shared" si="30"/>
        <v>0</v>
      </c>
      <c r="E96" s="3077"/>
      <c r="F96" s="1671"/>
      <c r="G96" s="3067"/>
      <c r="H96" s="3112" t="str">
        <f t="shared" si="31"/>
        <v>——</v>
      </c>
      <c r="I96" s="3061">
        <v>0.05</v>
      </c>
      <c r="J96" s="1908">
        <f t="shared" si="27"/>
        <v>0</v>
      </c>
      <c r="K96" s="1908">
        <f t="shared" si="28"/>
        <v>0</v>
      </c>
      <c r="L96" s="1908">
        <v>0</v>
      </c>
      <c r="M96" s="1908">
        <f t="shared" si="29"/>
        <v>0</v>
      </c>
      <c r="N96" s="1908">
        <f t="shared" si="29"/>
        <v>0</v>
      </c>
    </row>
    <row r="97" spans="1:14" ht="24">
      <c r="A97" s="3073" t="s">
        <v>3272</v>
      </c>
      <c r="B97" s="3064">
        <f>估价对象房地状况!C24</f>
        <v>0</v>
      </c>
      <c r="C97" s="1883"/>
      <c r="D97" s="2303">
        <f t="shared" si="30"/>
        <v>0</v>
      </c>
      <c r="E97" s="3077"/>
      <c r="F97" s="1671"/>
      <c r="G97" s="3067"/>
      <c r="H97" s="3112" t="str">
        <f t="shared" si="31"/>
        <v>——</v>
      </c>
      <c r="I97" s="3061">
        <v>0.05</v>
      </c>
      <c r="J97" s="1908">
        <f t="shared" si="27"/>
        <v>0</v>
      </c>
      <c r="K97" s="1908">
        <f t="shared" si="28"/>
        <v>0</v>
      </c>
      <c r="L97" s="1908">
        <v>0</v>
      </c>
      <c r="M97" s="1908">
        <f t="shared" si="29"/>
        <v>0</v>
      </c>
      <c r="N97" s="1908">
        <f t="shared" si="29"/>
        <v>0</v>
      </c>
    </row>
    <row r="98" spans="1:14" ht="24">
      <c r="A98" s="3073" t="s">
        <v>3273</v>
      </c>
      <c r="B98" s="3080" t="s">
        <v>3283</v>
      </c>
      <c r="C98" s="1883"/>
      <c r="D98" s="2303">
        <f t="shared" si="30"/>
        <v>0</v>
      </c>
      <c r="E98" s="3077"/>
      <c r="F98" s="1671"/>
      <c r="G98" s="3067"/>
      <c r="H98" s="3112" t="str">
        <f t="shared" si="31"/>
        <v>——</v>
      </c>
      <c r="I98" s="3061">
        <v>0.06</v>
      </c>
      <c r="J98" s="1908">
        <f t="shared" si="27"/>
        <v>0</v>
      </c>
      <c r="K98" s="1908">
        <f t="shared" si="28"/>
        <v>0</v>
      </c>
      <c r="L98" s="1908">
        <v>0</v>
      </c>
      <c r="M98" s="1908">
        <f t="shared" si="29"/>
        <v>0</v>
      </c>
      <c r="N98" s="1908">
        <f t="shared" si="29"/>
        <v>0</v>
      </c>
    </row>
    <row r="99" spans="1:14" ht="24">
      <c r="A99" s="3073" t="s">
        <v>3274</v>
      </c>
      <c r="B99" s="3064" t="str">
        <f>估价对象房地状况!C21</f>
        <v>一般</v>
      </c>
      <c r="C99" s="1883"/>
      <c r="D99" s="2303">
        <f t="shared" si="30"/>
        <v>0</v>
      </c>
      <c r="E99" s="3077"/>
      <c r="F99" s="1671"/>
      <c r="G99" s="3067"/>
      <c r="H99" s="3112" t="str">
        <f t="shared" si="31"/>
        <v>——</v>
      </c>
      <c r="I99" s="3061">
        <v>0.06</v>
      </c>
      <c r="J99" s="1908">
        <f t="shared" si="27"/>
        <v>0</v>
      </c>
      <c r="K99" s="1908">
        <f t="shared" si="28"/>
        <v>0</v>
      </c>
      <c r="L99" s="1908">
        <v>0</v>
      </c>
      <c r="M99" s="1908">
        <f t="shared" si="29"/>
        <v>0</v>
      </c>
      <c r="N99" s="1908">
        <f t="shared" si="29"/>
        <v>0</v>
      </c>
    </row>
    <row r="100" spans="1:14" ht="24">
      <c r="A100" s="3073" t="s">
        <v>3275</v>
      </c>
      <c r="B100" s="3064" t="str">
        <f>估价对象房地状况!C22</f>
        <v>七通</v>
      </c>
      <c r="C100" s="1883"/>
      <c r="D100" s="2303">
        <f t="shared" si="30"/>
        <v>0</v>
      </c>
      <c r="E100" s="3077"/>
      <c r="F100" s="1671"/>
      <c r="G100" s="3067"/>
      <c r="H100" s="3112" t="str">
        <f t="shared" si="31"/>
        <v>——</v>
      </c>
      <c r="I100" s="3061">
        <v>0.09</v>
      </c>
      <c r="J100" s="1908">
        <f t="shared" si="27"/>
        <v>0</v>
      </c>
      <c r="K100" s="1908">
        <f t="shared" si="28"/>
        <v>0</v>
      </c>
      <c r="L100" s="1908">
        <v>0</v>
      </c>
      <c r="M100" s="1908">
        <f t="shared" si="29"/>
        <v>0</v>
      </c>
      <c r="N100" s="1908">
        <f t="shared" si="29"/>
        <v>0</v>
      </c>
    </row>
    <row r="101" spans="1:14" ht="24.75" thickBot="1">
      <c r="A101" s="3074" t="s">
        <v>3276</v>
      </c>
      <c r="B101" s="3081" t="str">
        <f>估价对象房地状况!C20</f>
        <v>一般</v>
      </c>
      <c r="C101" s="1883"/>
      <c r="D101" s="2303">
        <f t="shared" si="30"/>
        <v>0</v>
      </c>
      <c r="E101" s="3078"/>
      <c r="F101" s="1671"/>
      <c r="G101" s="3067"/>
      <c r="H101" s="3112" t="str">
        <f t="shared" si="31"/>
        <v>——</v>
      </c>
      <c r="I101" s="3062">
        <v>7.0000000000000007E-2</v>
      </c>
      <c r="J101" s="1908">
        <f t="shared" si="27"/>
        <v>0</v>
      </c>
      <c r="K101" s="1908">
        <f t="shared" si="28"/>
        <v>0</v>
      </c>
      <c r="L101" s="1908">
        <v>0</v>
      </c>
      <c r="M101" s="1908">
        <f t="shared" si="29"/>
        <v>0</v>
      </c>
      <c r="N101" s="1908">
        <f t="shared" si="29"/>
        <v>0</v>
      </c>
    </row>
    <row r="103" spans="1:14">
      <c r="A103" s="3536" t="s">
        <v>3291</v>
      </c>
      <c r="B103" s="3536"/>
      <c r="C103" s="3536"/>
      <c r="D103" s="3536"/>
      <c r="E103" s="3536"/>
      <c r="F103" s="3536"/>
      <c r="G103" s="3536"/>
      <c r="H103" s="3536"/>
      <c r="I103" s="3536"/>
      <c r="J103" s="3536"/>
      <c r="K103" s="1663"/>
      <c r="L103" s="1663"/>
      <c r="M103" s="1663"/>
      <c r="N103" s="1663"/>
    </row>
    <row r="104" spans="1:14">
      <c r="A104" s="3537" t="s">
        <v>3292</v>
      </c>
      <c r="B104" s="3537" t="s">
        <v>3293</v>
      </c>
      <c r="C104" s="3083" t="s">
        <v>3294</v>
      </c>
      <c r="D104" s="3084"/>
      <c r="E104" s="3084"/>
      <c r="F104" s="3084"/>
      <c r="G104" s="3084"/>
      <c r="H104" s="3084"/>
      <c r="I104" s="3084"/>
      <c r="J104" s="3085"/>
      <c r="K104" s="3086"/>
      <c r="L104" s="3086"/>
      <c r="M104" s="3086"/>
      <c r="N104" s="3086"/>
    </row>
    <row r="105" spans="1:14">
      <c r="A105" s="3537"/>
      <c r="B105" s="3537"/>
      <c r="C105" s="3087" t="s">
        <v>3295</v>
      </c>
      <c r="D105" s="3087" t="s">
        <v>3296</v>
      </c>
      <c r="E105" s="3087" t="s">
        <v>3297</v>
      </c>
      <c r="F105" s="3087" t="s">
        <v>3298</v>
      </c>
      <c r="G105" s="3087" t="s">
        <v>3299</v>
      </c>
      <c r="H105" s="3087" t="s">
        <v>3300</v>
      </c>
      <c r="I105" s="3087" t="s">
        <v>3301</v>
      </c>
      <c r="J105" s="3087" t="s">
        <v>3302</v>
      </c>
      <c r="K105" s="3087" t="s">
        <v>3303</v>
      </c>
      <c r="L105" s="3087" t="s">
        <v>3304</v>
      </c>
      <c r="M105" s="3087" t="s">
        <v>3305</v>
      </c>
      <c r="N105" s="3087" t="s">
        <v>3306</v>
      </c>
    </row>
    <row r="106" spans="1:14">
      <c r="A106" s="3523" t="s">
        <v>3307</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524"/>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524"/>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524"/>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524"/>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524"/>
      <c r="B111" s="3087" t="s">
        <v>3265</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525"/>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526" t="s">
        <v>3308</v>
      </c>
      <c r="B113" s="3526"/>
      <c r="C113" s="3526"/>
      <c r="D113" s="3526"/>
      <c r="E113" s="3526"/>
      <c r="F113" s="3526"/>
      <c r="G113" s="3526"/>
      <c r="H113" s="3526"/>
      <c r="I113" s="3526"/>
      <c r="J113" s="3526"/>
      <c r="K113" s="3089"/>
      <c r="L113" s="3089"/>
      <c r="M113" s="3089"/>
      <c r="N113" s="3089"/>
    </row>
    <row r="114" spans="1:14">
      <c r="A114" s="3090"/>
      <c r="B114" s="3090"/>
      <c r="C114" s="3090"/>
      <c r="D114" s="3090"/>
      <c r="E114" s="3090"/>
      <c r="F114" s="3090"/>
      <c r="G114" s="3090"/>
      <c r="H114" s="3090"/>
      <c r="I114" s="3090"/>
      <c r="J114" s="3090"/>
      <c r="K114" s="1960"/>
      <c r="L114" s="3090"/>
      <c r="M114" s="3090"/>
      <c r="N114" s="3090"/>
    </row>
    <row r="115" spans="1:14" ht="13.5" thickBot="1">
      <c r="A115" s="3090"/>
      <c r="B115" s="3090"/>
      <c r="C115" s="3090"/>
      <c r="D115" s="3090"/>
      <c r="E115" s="3090"/>
      <c r="F115" s="3090"/>
      <c r="G115" s="3090"/>
      <c r="H115" s="3090"/>
      <c r="I115" s="3090"/>
      <c r="J115" s="3090"/>
      <c r="K115" s="1960"/>
      <c r="L115" s="3090"/>
      <c r="M115" s="3090"/>
      <c r="N115" s="3090"/>
    </row>
    <row r="116" spans="1:14" ht="25.5" thickBot="1">
      <c r="A116" s="3091" t="s">
        <v>3309</v>
      </c>
      <c r="B116" s="3107">
        <f>G3</f>
        <v>1.8</v>
      </c>
      <c r="C116" s="3092" t="s">
        <v>3310</v>
      </c>
      <c r="D116" s="3093">
        <f>SUMPRODUCT((A118:A122=F116)*(B117:M117=H116)*B118:M122)</f>
        <v>0</v>
      </c>
      <c r="E116" s="160" t="s">
        <v>3311</v>
      </c>
      <c r="F116" s="3094">
        <f>E2</f>
        <v>0</v>
      </c>
      <c r="G116" s="160" t="s">
        <v>3312</v>
      </c>
      <c r="H116" s="3094">
        <f>G2</f>
        <v>0</v>
      </c>
      <c r="I116" s="160"/>
      <c r="J116" s="3095"/>
      <c r="K116" s="3095"/>
      <c r="L116" s="3095"/>
      <c r="M116" s="3095"/>
      <c r="N116" s="3090"/>
    </row>
    <row r="117" spans="1:14">
      <c r="A117" s="3096"/>
      <c r="B117" s="3097" t="s">
        <v>3313</v>
      </c>
      <c r="C117" s="3097" t="s">
        <v>3314</v>
      </c>
      <c r="D117" s="3097" t="s">
        <v>3315</v>
      </c>
      <c r="E117" s="3098" t="s">
        <v>3316</v>
      </c>
      <c r="F117" s="3098" t="s">
        <v>3317</v>
      </c>
      <c r="G117" s="3098" t="s">
        <v>3318</v>
      </c>
      <c r="H117" s="3099" t="s">
        <v>3319</v>
      </c>
      <c r="I117" s="3099" t="s">
        <v>3320</v>
      </c>
      <c r="J117" s="3100" t="s">
        <v>3321</v>
      </c>
      <c r="K117" s="3100" t="s">
        <v>3322</v>
      </c>
      <c r="L117" s="3100" t="s">
        <v>3323</v>
      </c>
      <c r="M117" s="3101" t="s">
        <v>3324</v>
      </c>
      <c r="N117" s="3090"/>
    </row>
    <row r="118" spans="1:14">
      <c r="A118" s="3050" t="s">
        <v>3325</v>
      </c>
      <c r="B118" s="3082">
        <f>ROUND(0.9968-0.011*B116,4)</f>
        <v>0.97699999999999998</v>
      </c>
      <c r="C118" s="3082">
        <f>B118</f>
        <v>0.97699999999999998</v>
      </c>
      <c r="D118" s="3082">
        <f>ROUND(0.949-0.014*B116,4)</f>
        <v>0.92379999999999995</v>
      </c>
      <c r="E118" s="3082">
        <f>D118</f>
        <v>0.92379999999999995</v>
      </c>
      <c r="F118" s="3082">
        <f>E118</f>
        <v>0.92379999999999995</v>
      </c>
      <c r="G118" s="3082">
        <f>F118</f>
        <v>0.92379999999999995</v>
      </c>
      <c r="H118" s="3082">
        <f>G118</f>
        <v>0.92379999999999995</v>
      </c>
      <c r="I118" s="3082">
        <f>ROUND(0.8486-0.018*B116,4)</f>
        <v>0.81620000000000004</v>
      </c>
      <c r="J118" s="3082">
        <f t="shared" ref="J118:M122" si="35">I118</f>
        <v>0.81620000000000004</v>
      </c>
      <c r="K118" s="3082">
        <f t="shared" si="35"/>
        <v>0.81620000000000004</v>
      </c>
      <c r="L118" s="3082">
        <f t="shared" si="35"/>
        <v>0.81620000000000004</v>
      </c>
      <c r="M118" s="3102">
        <f t="shared" si="35"/>
        <v>0.81620000000000004</v>
      </c>
      <c r="N118" s="3090"/>
    </row>
    <row r="119" spans="1:14">
      <c r="A119" s="3050" t="s">
        <v>3326</v>
      </c>
      <c r="B119" s="3082">
        <f>ROUND(0.993-0.0112*B116,4)</f>
        <v>0.9728</v>
      </c>
      <c r="C119" s="3082">
        <f>B119</f>
        <v>0.9728</v>
      </c>
      <c r="D119" s="3082">
        <f>ROUND(0.9415-0.0142*B116,4)</f>
        <v>0.91590000000000005</v>
      </c>
      <c r="E119" s="3082">
        <f t="shared" ref="E119:H120" si="36">D119</f>
        <v>0.91590000000000005</v>
      </c>
      <c r="F119" s="3082">
        <f t="shared" si="36"/>
        <v>0.91590000000000005</v>
      </c>
      <c r="G119" s="3082">
        <f t="shared" si="36"/>
        <v>0.91590000000000005</v>
      </c>
      <c r="H119" s="3082">
        <f t="shared" si="36"/>
        <v>0.91590000000000005</v>
      </c>
      <c r="I119" s="3082">
        <f>ROUND(0.838-0.0182*B116,4)</f>
        <v>0.80520000000000003</v>
      </c>
      <c r="J119" s="3082">
        <f t="shared" si="35"/>
        <v>0.80520000000000003</v>
      </c>
      <c r="K119" s="3082">
        <f t="shared" si="35"/>
        <v>0.80520000000000003</v>
      </c>
      <c r="L119" s="3082">
        <f t="shared" si="35"/>
        <v>0.80520000000000003</v>
      </c>
      <c r="M119" s="3102">
        <f t="shared" si="35"/>
        <v>0.80520000000000003</v>
      </c>
      <c r="N119" s="3090"/>
    </row>
    <row r="120" spans="1:14">
      <c r="A120" s="3050" t="s">
        <v>3327</v>
      </c>
      <c r="B120" s="3082">
        <f>ROUND(0.9448-0.0115*B116,4)</f>
        <v>0.92410000000000003</v>
      </c>
      <c r="C120" s="3082">
        <f>B120</f>
        <v>0.92410000000000003</v>
      </c>
      <c r="D120" s="3082">
        <f>ROUND(0.937-0.0145*B116,4)</f>
        <v>0.91090000000000004</v>
      </c>
      <c r="E120" s="3082">
        <f t="shared" si="36"/>
        <v>0.91090000000000004</v>
      </c>
      <c r="F120" s="3082">
        <f t="shared" si="36"/>
        <v>0.91090000000000004</v>
      </c>
      <c r="G120" s="3082">
        <f t="shared" si="36"/>
        <v>0.91090000000000004</v>
      </c>
      <c r="H120" s="3082">
        <f t="shared" si="36"/>
        <v>0.91090000000000004</v>
      </c>
      <c r="I120" s="3082">
        <f>ROUND(0.7965-0.0185*B116,4)</f>
        <v>0.76319999999999999</v>
      </c>
      <c r="J120" s="3082">
        <f t="shared" si="35"/>
        <v>0.76319999999999999</v>
      </c>
      <c r="K120" s="3082">
        <f t="shared" si="35"/>
        <v>0.76319999999999999</v>
      </c>
      <c r="L120" s="3082">
        <f t="shared" si="35"/>
        <v>0.76319999999999999</v>
      </c>
      <c r="M120" s="3102">
        <f t="shared" si="35"/>
        <v>0.76319999999999999</v>
      </c>
      <c r="N120" s="3090"/>
    </row>
    <row r="121" spans="1:14" ht="13.5" thickBot="1">
      <c r="A121" s="3103" t="s">
        <v>3328</v>
      </c>
      <c r="B121" s="3104">
        <f>ROUND(0.7836-0.012*B116,4)</f>
        <v>0.76200000000000001</v>
      </c>
      <c r="C121" s="3104">
        <f>B121</f>
        <v>0.76200000000000001</v>
      </c>
      <c r="D121" s="3104">
        <f>ROUND(0.753-0.015*B116,4)</f>
        <v>0.72599999999999998</v>
      </c>
      <c r="E121" s="3104">
        <f>D121</f>
        <v>0.72599999999999998</v>
      </c>
      <c r="F121" s="3104">
        <f>E121</f>
        <v>0.72599999999999998</v>
      </c>
      <c r="G121" s="3104">
        <f>ROUND(0.6612-0.018*B116,4)</f>
        <v>0.62880000000000003</v>
      </c>
      <c r="H121" s="3104">
        <f>G121</f>
        <v>0.62880000000000003</v>
      </c>
      <c r="I121" s="3104">
        <f>ROUND(0.5905-0.019*B116,4)</f>
        <v>0.55630000000000002</v>
      </c>
      <c r="J121" s="3104">
        <f t="shared" si="35"/>
        <v>0.55630000000000002</v>
      </c>
      <c r="K121" s="3104">
        <f t="shared" si="35"/>
        <v>0.55630000000000002</v>
      </c>
      <c r="L121" s="3104">
        <f t="shared" si="35"/>
        <v>0.55630000000000002</v>
      </c>
      <c r="M121" s="3105">
        <f t="shared" si="35"/>
        <v>0.55630000000000002</v>
      </c>
      <c r="N121" s="3090"/>
    </row>
    <row r="122" spans="1:14">
      <c r="A122" s="3106" t="s">
        <v>2609</v>
      </c>
      <c r="B122" s="3082">
        <f>ROUND(0.9404-0.0106*B116,4)</f>
        <v>0.92130000000000001</v>
      </c>
      <c r="C122" s="3082">
        <f>B122</f>
        <v>0.92130000000000001</v>
      </c>
      <c r="D122" s="3082">
        <f>ROUND(0.8955-0.0135*B116,4)</f>
        <v>0.87119999999999997</v>
      </c>
      <c r="E122" s="3082">
        <f t="shared" ref="E122:H122" si="37">D122</f>
        <v>0.87119999999999997</v>
      </c>
      <c r="F122" s="3082">
        <f t="shared" si="37"/>
        <v>0.87119999999999997</v>
      </c>
      <c r="G122" s="3082">
        <f t="shared" si="37"/>
        <v>0.87119999999999997</v>
      </c>
      <c r="H122" s="3082">
        <f t="shared" si="37"/>
        <v>0.87119999999999997</v>
      </c>
      <c r="I122" s="3082">
        <f>ROUND(0.7632-0.0166*B116,4)</f>
        <v>0.73329999999999995</v>
      </c>
      <c r="J122" s="3082">
        <f t="shared" si="35"/>
        <v>0.73329999999999995</v>
      </c>
      <c r="K122" s="3082">
        <f t="shared" si="35"/>
        <v>0.73329999999999995</v>
      </c>
      <c r="L122" s="3082">
        <f t="shared" si="35"/>
        <v>0.73329999999999995</v>
      </c>
      <c r="M122" s="3102">
        <f t="shared" si="35"/>
        <v>0.73329999999999995</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9.5" thickBot="1">
      <c r="A4" s="1388"/>
      <c r="B4" s="3220" t="s">
        <v>917</v>
      </c>
      <c r="C4" s="3220"/>
      <c r="D4" s="3220"/>
      <c r="E4" s="1388"/>
    </row>
    <row r="5" spans="1:5" ht="16.5" thickTop="1">
      <c r="B5" s="3218" t="s">
        <v>909</v>
      </c>
      <c r="C5" s="1389" t="s">
        <v>910</v>
      </c>
      <c r="D5" s="794">
        <f ca="1">结果表!H101</f>
        <v>259876</v>
      </c>
    </row>
    <row r="6" spans="1:5" ht="15.75">
      <c r="B6" s="3218"/>
      <c r="C6" s="1389" t="s">
        <v>911</v>
      </c>
      <c r="D6" s="794" t="str">
        <f ca="1">NUMBERSTRING(INT(D5*10000),2)&amp;"元整"</f>
        <v>贰拾伍亿玖仟捌佰柒拾陆万元整</v>
      </c>
    </row>
    <row r="7" spans="1:5" ht="15.75">
      <c r="B7" s="3223"/>
      <c r="C7" s="1390" t="s">
        <v>912</v>
      </c>
      <c r="D7" s="795">
        <f ca="1">结果表!H102</f>
        <v>24435</v>
      </c>
    </row>
    <row r="8" spans="1:5" ht="15.75">
      <c r="B8" s="3224" t="str">
        <f>结果表!E103</f>
        <v>2.估价师知悉的法定优先受偿款</v>
      </c>
      <c r="C8" s="1391" t="s">
        <v>913</v>
      </c>
      <c r="D8" s="795">
        <f>结果表!H103</f>
        <v>0</v>
      </c>
    </row>
    <row r="9" spans="1:5" ht="15.75">
      <c r="B9" s="3226"/>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17" t="str">
        <f>结果表!E107</f>
        <v>3.房地产抵押价值</v>
      </c>
      <c r="C13" s="1394" t="s">
        <v>910</v>
      </c>
      <c r="D13" s="797">
        <f ca="1">结果表!H107</f>
        <v>259876</v>
      </c>
    </row>
    <row r="14" spans="1:5" ht="15.75">
      <c r="B14" s="3218"/>
      <c r="C14" s="1389" t="s">
        <v>911</v>
      </c>
      <c r="D14" s="794" t="str">
        <f ca="1">NUMBERSTRING(INT(D13*10000),2)&amp;"元整"</f>
        <v>贰拾伍亿玖仟捌佰柒拾陆万元整</v>
      </c>
    </row>
    <row r="15" spans="1:5" ht="15">
      <c r="B15" s="3223"/>
      <c r="C15" s="1390" t="s">
        <v>921</v>
      </c>
      <c r="D15" s="803">
        <f ca="1">结果表!H108</f>
        <v>24435</v>
      </c>
    </row>
    <row r="16" spans="1:5" ht="15">
      <c r="B16" s="3224" t="str">
        <f>结果表!E109</f>
        <v>——</v>
      </c>
      <c r="C16" s="1394" t="s">
        <v>922</v>
      </c>
      <c r="D16" s="1395" t="str">
        <f>结果表!H109</f>
        <v>——</v>
      </c>
    </row>
    <row r="17" spans="1:5" ht="15.75">
      <c r="B17" s="3225"/>
      <c r="C17" s="1389" t="s">
        <v>923</v>
      </c>
      <c r="D17" s="794" t="e">
        <f>NUMBERSTRING(INT(D16*10000),2)&amp;"元整"</f>
        <v>#VALUE!</v>
      </c>
    </row>
    <row r="18" spans="1:5" ht="15">
      <c r="B18" s="3226"/>
      <c r="C18" s="1390" t="s">
        <v>912</v>
      </c>
      <c r="D18" s="803" t="str">
        <f>结果表!H110</f>
        <v>——</v>
      </c>
    </row>
    <row r="19" spans="1:5" ht="15.75">
      <c r="B19" s="3217" t="str">
        <f>结果表!E111</f>
        <v>——</v>
      </c>
      <c r="C19" s="1394" t="s">
        <v>910</v>
      </c>
      <c r="D19" s="795" t="str">
        <f>结果表!H111</f>
        <v>——</v>
      </c>
    </row>
    <row r="20" spans="1:5" ht="15.75">
      <c r="B20" s="3218"/>
      <c r="C20" s="1389" t="s">
        <v>923</v>
      </c>
      <c r="D20" s="794" t="e">
        <f>NUMBERSTRING(INT(D19*10000),2)&amp;"元整"</f>
        <v>#VALUE!</v>
      </c>
    </row>
    <row r="21" spans="1:5" ht="15.75" thickBot="1">
      <c r="B21" s="3219"/>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551" t="s">
        <v>2604</v>
      </c>
      <c r="B20" s="3546" t="s">
        <v>2625</v>
      </c>
      <c r="C20" s="2835" t="s">
        <v>2436</v>
      </c>
      <c r="D20" s="2836"/>
      <c r="E20" s="2837">
        <v>1</v>
      </c>
      <c r="F20" s="2838" t="s">
        <v>2437</v>
      </c>
      <c r="G20" s="2838"/>
    </row>
    <row r="21" spans="1:13" ht="19.5" customHeight="1">
      <c r="A21" s="3552"/>
      <c r="B21" s="3545"/>
      <c r="C21" s="2839" t="s">
        <v>2438</v>
      </c>
      <c r="D21" s="2840"/>
      <c r="E21" s="2841">
        <v>1</v>
      </c>
      <c r="F21" s="2838" t="s">
        <v>2439</v>
      </c>
      <c r="G21" s="2838"/>
    </row>
    <row r="22" spans="1:13" ht="19.5" customHeight="1">
      <c r="A22" s="3552"/>
      <c r="B22" s="3545"/>
      <c r="C22" s="2839" t="s">
        <v>2440</v>
      </c>
      <c r="D22" s="2840"/>
      <c r="E22" s="2841">
        <v>0.9</v>
      </c>
      <c r="F22" s="2838" t="s">
        <v>2441</v>
      </c>
      <c r="G22" s="2838"/>
    </row>
    <row r="23" spans="1:13" ht="19.5" customHeight="1">
      <c r="A23" s="3552"/>
      <c r="B23" s="3545"/>
      <c r="C23" s="2839" t="s">
        <v>2442</v>
      </c>
      <c r="D23" s="2840"/>
      <c r="E23" s="2841">
        <v>0.9</v>
      </c>
      <c r="F23" s="2838" t="s">
        <v>2443</v>
      </c>
      <c r="G23" s="2838"/>
    </row>
    <row r="24" spans="1:13" ht="19.5" customHeight="1">
      <c r="A24" s="3552"/>
      <c r="B24" s="3545"/>
      <c r="C24" s="2839" t="s">
        <v>2444</v>
      </c>
      <c r="D24" s="2840"/>
      <c r="E24" s="2841">
        <v>0.8</v>
      </c>
      <c r="F24" s="2838" t="s">
        <v>2445</v>
      </c>
      <c r="G24" s="2838"/>
    </row>
    <row r="25" spans="1:13" ht="19.5" customHeight="1" thickBot="1">
      <c r="A25" s="3553"/>
      <c r="B25" s="3547"/>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548" t="s">
        <v>2628</v>
      </c>
      <c r="B27" s="3546" t="s">
        <v>2609</v>
      </c>
      <c r="C27" s="2835" t="s">
        <v>2449</v>
      </c>
      <c r="D27" s="2836"/>
      <c r="E27" s="2837">
        <v>1</v>
      </c>
      <c r="F27" s="2838" t="s">
        <v>2450</v>
      </c>
      <c r="G27" s="2838"/>
    </row>
    <row r="28" spans="1:13" ht="19.5" customHeight="1">
      <c r="A28" s="3549"/>
      <c r="B28" s="3545"/>
      <c r="C28" s="2839" t="s">
        <v>2451</v>
      </c>
      <c r="D28" s="2840"/>
      <c r="E28" s="2841">
        <v>1</v>
      </c>
      <c r="F28" s="2838" t="s">
        <v>2452</v>
      </c>
      <c r="G28" s="2838"/>
    </row>
    <row r="29" spans="1:13" ht="19.5" customHeight="1">
      <c r="A29" s="3549"/>
      <c r="B29" s="3545"/>
      <c r="C29" s="2839" t="s">
        <v>2453</v>
      </c>
      <c r="D29" s="2840"/>
      <c r="E29" s="2841">
        <v>0.8</v>
      </c>
      <c r="F29" s="2838" t="s">
        <v>2454</v>
      </c>
      <c r="G29" s="2838"/>
    </row>
    <row r="30" spans="1:13" ht="19.5" customHeight="1">
      <c r="A30" s="3549"/>
      <c r="B30" s="3545"/>
      <c r="C30" s="2839" t="s">
        <v>2455</v>
      </c>
      <c r="D30" s="2840"/>
      <c r="E30" s="2841">
        <v>0.8</v>
      </c>
      <c r="F30" s="2838" t="s">
        <v>2456</v>
      </c>
      <c r="G30" s="2838"/>
    </row>
    <row r="31" spans="1:13" ht="19.5" customHeight="1">
      <c r="A31" s="3549"/>
      <c r="B31" s="3545"/>
      <c r="C31" s="2839" t="s">
        <v>2457</v>
      </c>
      <c r="D31" s="2840"/>
      <c r="E31" s="2841">
        <v>0.8</v>
      </c>
      <c r="F31" s="2838" t="s">
        <v>2458</v>
      </c>
      <c r="G31" s="2838"/>
    </row>
    <row r="32" spans="1:13" ht="19.5" customHeight="1">
      <c r="A32" s="3549"/>
      <c r="B32" s="3545"/>
      <c r="C32" s="2839" t="s">
        <v>2459</v>
      </c>
      <c r="D32" s="2840"/>
      <c r="E32" s="2841">
        <v>0.7</v>
      </c>
      <c r="F32" s="2838" t="s">
        <v>2460</v>
      </c>
      <c r="G32" s="2838"/>
    </row>
    <row r="33" spans="1:7" ht="19.5" customHeight="1">
      <c r="A33" s="3549"/>
      <c r="B33" s="3545"/>
      <c r="C33" s="2839" t="s">
        <v>2461</v>
      </c>
      <c r="D33" s="2840"/>
      <c r="E33" s="2841">
        <v>0.8</v>
      </c>
      <c r="F33" s="2838" t="s">
        <v>2462</v>
      </c>
      <c r="G33" s="2838"/>
    </row>
    <row r="34" spans="1:7" ht="19.5" customHeight="1">
      <c r="A34" s="3549"/>
      <c r="B34" s="3545"/>
      <c r="C34" s="2839" t="s">
        <v>2463</v>
      </c>
      <c r="D34" s="2840"/>
      <c r="E34" s="2841">
        <v>0.6</v>
      </c>
      <c r="F34" s="2838" t="s">
        <v>2464</v>
      </c>
      <c r="G34" s="2838"/>
    </row>
    <row r="35" spans="1:7" ht="19.5" customHeight="1">
      <c r="A35" s="3549"/>
      <c r="B35" s="3545"/>
      <c r="C35" s="2839" t="s">
        <v>2465</v>
      </c>
      <c r="D35" s="2840"/>
      <c r="E35" s="2841">
        <v>0.2</v>
      </c>
      <c r="F35" s="2838" t="s">
        <v>2466</v>
      </c>
      <c r="G35" s="2838"/>
    </row>
    <row r="36" spans="1:7" ht="19.5" customHeight="1">
      <c r="A36" s="3549"/>
      <c r="B36" s="3545"/>
      <c r="C36" s="2839" t="s">
        <v>2467</v>
      </c>
      <c r="D36" s="2840"/>
      <c r="E36" s="2841">
        <v>0.2</v>
      </c>
      <c r="F36" s="2838" t="s">
        <v>2468</v>
      </c>
      <c r="G36" s="2838"/>
    </row>
    <row r="37" spans="1:7" ht="19.5" customHeight="1">
      <c r="A37" s="3549"/>
      <c r="B37" s="3543" t="s">
        <v>2629</v>
      </c>
      <c r="C37" s="2839" t="s">
        <v>2469</v>
      </c>
      <c r="D37" s="2840"/>
      <c r="E37" s="2841">
        <v>0.6</v>
      </c>
      <c r="F37" s="2838" t="s">
        <v>2470</v>
      </c>
      <c r="G37" s="2838"/>
    </row>
    <row r="38" spans="1:7" ht="19.5" customHeight="1">
      <c r="A38" s="3549"/>
      <c r="B38" s="3545"/>
      <c r="C38" s="2839" t="s">
        <v>2471</v>
      </c>
      <c r="D38" s="2840"/>
      <c r="E38" s="2841">
        <v>0.6</v>
      </c>
      <c r="F38" s="2838" t="s">
        <v>2472</v>
      </c>
      <c r="G38" s="2838"/>
    </row>
    <row r="39" spans="1:7" ht="19.5" customHeight="1" thickBot="1">
      <c r="A39" s="3550"/>
      <c r="B39" s="3547"/>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551" t="s">
        <v>2607</v>
      </c>
      <c r="B41" s="3546" t="s">
        <v>2631</v>
      </c>
      <c r="C41" s="2835" t="s">
        <v>2476</v>
      </c>
      <c r="D41" s="2836"/>
      <c r="E41" s="2837">
        <v>1</v>
      </c>
      <c r="F41" s="2838" t="s">
        <v>2477</v>
      </c>
      <c r="G41" s="2838"/>
    </row>
    <row r="42" spans="1:7" ht="19.5" customHeight="1">
      <c r="A42" s="3552"/>
      <c r="B42" s="3545"/>
      <c r="C42" s="2839" t="s">
        <v>2478</v>
      </c>
      <c r="D42" s="2840"/>
      <c r="E42" s="2841">
        <v>1</v>
      </c>
      <c r="F42" s="2838" t="s">
        <v>2479</v>
      </c>
      <c r="G42" s="2838"/>
    </row>
    <row r="43" spans="1:7" ht="19.5" customHeight="1">
      <c r="A43" s="3552"/>
      <c r="B43" s="3544"/>
      <c r="C43" s="2839" t="s">
        <v>2480</v>
      </c>
      <c r="D43" s="2840"/>
      <c r="E43" s="2841">
        <v>1.5</v>
      </c>
      <c r="F43" s="2838" t="s">
        <v>2481</v>
      </c>
      <c r="G43" s="2838"/>
    </row>
    <row r="44" spans="1:7" ht="19.5" customHeight="1">
      <c r="A44" s="3552"/>
      <c r="B44" s="2850" t="s">
        <v>2632</v>
      </c>
      <c r="C44" s="2839" t="s">
        <v>2633</v>
      </c>
      <c r="D44" s="2840"/>
      <c r="E44" s="2841">
        <v>2</v>
      </c>
      <c r="F44" s="2838" t="s">
        <v>2482</v>
      </c>
      <c r="G44" s="2838"/>
    </row>
    <row r="45" spans="1:7" ht="19.5" customHeight="1">
      <c r="A45" s="3552"/>
      <c r="B45" s="3543" t="s">
        <v>2634</v>
      </c>
      <c r="C45" s="2839" t="s">
        <v>2483</v>
      </c>
      <c r="D45" s="2840"/>
      <c r="E45" s="2841">
        <v>1</v>
      </c>
      <c r="F45" s="2838" t="s">
        <v>2484</v>
      </c>
      <c r="G45" s="2838"/>
    </row>
    <row r="46" spans="1:7" ht="19.5" customHeight="1">
      <c r="A46" s="3552"/>
      <c r="B46" s="3545"/>
      <c r="C46" s="2839" t="s">
        <v>2485</v>
      </c>
      <c r="D46" s="2840"/>
      <c r="E46" s="2841">
        <v>1</v>
      </c>
      <c r="F46" s="2838" t="s">
        <v>2486</v>
      </c>
      <c r="G46" s="2838"/>
    </row>
    <row r="47" spans="1:7" ht="19.5" customHeight="1">
      <c r="A47" s="3552"/>
      <c r="B47" s="3545"/>
      <c r="C47" s="2839" t="s">
        <v>2487</v>
      </c>
      <c r="D47" s="2840"/>
      <c r="E47" s="2841">
        <v>1</v>
      </c>
      <c r="F47" s="2838" t="s">
        <v>2488</v>
      </c>
      <c r="G47" s="2838"/>
    </row>
    <row r="48" spans="1:7" ht="19.5" customHeight="1">
      <c r="A48" s="3552"/>
      <c r="B48" s="3545"/>
      <c r="C48" s="2839" t="s">
        <v>2489</v>
      </c>
      <c r="D48" s="2840"/>
      <c r="E48" s="2841">
        <v>1</v>
      </c>
      <c r="F48" s="2838" t="s">
        <v>2490</v>
      </c>
      <c r="G48" s="2838"/>
    </row>
    <row r="49" spans="1:7" ht="19.5" customHeight="1">
      <c r="A49" s="3552"/>
      <c r="B49" s="3545"/>
      <c r="C49" s="2839" t="s">
        <v>2491</v>
      </c>
      <c r="D49" s="2840"/>
      <c r="E49" s="2841">
        <v>1</v>
      </c>
      <c r="F49" s="2838" t="s">
        <v>2492</v>
      </c>
      <c r="G49" s="2838"/>
    </row>
    <row r="50" spans="1:7" ht="19.5" customHeight="1">
      <c r="A50" s="3552"/>
      <c r="B50" s="3545"/>
      <c r="C50" s="2839" t="s">
        <v>2493</v>
      </c>
      <c r="D50" s="2840"/>
      <c r="E50" s="2841">
        <v>1</v>
      </c>
      <c r="F50" s="2838" t="s">
        <v>2494</v>
      </c>
      <c r="G50" s="2838"/>
    </row>
    <row r="51" spans="1:7" ht="19.5" customHeight="1" thickBot="1">
      <c r="A51" s="3553"/>
      <c r="B51" s="3547"/>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543" t="s">
        <v>2648</v>
      </c>
      <c r="C73" s="2824" t="s">
        <v>2649</v>
      </c>
      <c r="D73" s="2824" t="s">
        <v>2650</v>
      </c>
      <c r="E73" s="2850">
        <v>0.2</v>
      </c>
      <c r="F73" s="2850">
        <v>25</v>
      </c>
    </row>
    <row r="74" spans="1:7" ht="24">
      <c r="A74" s="2850">
        <v>2</v>
      </c>
      <c r="B74" s="3545"/>
      <c r="C74" s="2824" t="s">
        <v>2651</v>
      </c>
      <c r="D74" s="2824" t="s">
        <v>2652</v>
      </c>
      <c r="E74" s="2850">
        <v>0.2</v>
      </c>
      <c r="F74" s="2850">
        <v>25</v>
      </c>
    </row>
    <row r="75" spans="1:7" ht="24">
      <c r="A75" s="2850">
        <v>3</v>
      </c>
      <c r="B75" s="3545"/>
      <c r="C75" s="2824" t="s">
        <v>2653</v>
      </c>
      <c r="D75" s="2824" t="s">
        <v>2654</v>
      </c>
      <c r="E75" s="2850">
        <v>0.2</v>
      </c>
      <c r="F75" s="2850">
        <v>25</v>
      </c>
    </row>
    <row r="76" spans="1:7" ht="13.5">
      <c r="A76" s="2850">
        <v>4</v>
      </c>
      <c r="B76" s="3545"/>
      <c r="C76" s="2824" t="s">
        <v>2655</v>
      </c>
      <c r="D76" s="2824" t="s">
        <v>2656</v>
      </c>
      <c r="E76" s="2850">
        <v>0.15</v>
      </c>
      <c r="F76" s="2850">
        <v>20</v>
      </c>
    </row>
    <row r="77" spans="1:7" ht="24">
      <c r="A77" s="2850">
        <v>5</v>
      </c>
      <c r="B77" s="3545"/>
      <c r="C77" s="2824" t="s">
        <v>2657</v>
      </c>
      <c r="D77" s="2824" t="s">
        <v>2658</v>
      </c>
      <c r="E77" s="2850">
        <v>0.15</v>
      </c>
      <c r="F77" s="2850">
        <v>20</v>
      </c>
    </row>
    <row r="78" spans="1:7" ht="24">
      <c r="A78" s="2850">
        <v>6</v>
      </c>
      <c r="B78" s="3545"/>
      <c r="C78" s="2824" t="s">
        <v>2659</v>
      </c>
      <c r="D78" s="2824" t="s">
        <v>2660</v>
      </c>
      <c r="E78" s="2850">
        <v>0.15</v>
      </c>
      <c r="F78" s="2850">
        <v>20</v>
      </c>
    </row>
    <row r="79" spans="1:7" ht="24">
      <c r="A79" s="2850">
        <v>7</v>
      </c>
      <c r="B79" s="3545"/>
      <c r="C79" s="2824" t="s">
        <v>2661</v>
      </c>
      <c r="D79" s="2824" t="s">
        <v>2662</v>
      </c>
      <c r="E79" s="2850">
        <v>0.15</v>
      </c>
      <c r="F79" s="2850">
        <v>20</v>
      </c>
    </row>
    <row r="80" spans="1:7" ht="24">
      <c r="A80" s="2850">
        <v>8</v>
      </c>
      <c r="B80" s="3545"/>
      <c r="C80" s="2824" t="s">
        <v>2663</v>
      </c>
      <c r="D80" s="2824" t="s">
        <v>2664</v>
      </c>
      <c r="E80" s="2850">
        <v>0.1</v>
      </c>
      <c r="F80" s="2850">
        <v>15</v>
      </c>
    </row>
    <row r="81" spans="1:6" ht="24">
      <c r="A81" s="2850">
        <v>9</v>
      </c>
      <c r="B81" s="3545"/>
      <c r="C81" s="2824" t="s">
        <v>2665</v>
      </c>
      <c r="D81" s="2824" t="s">
        <v>2666</v>
      </c>
      <c r="E81" s="2850">
        <v>0.1</v>
      </c>
      <c r="F81" s="2850">
        <v>15</v>
      </c>
    </row>
    <row r="82" spans="1:6" ht="24">
      <c r="A82" s="2850">
        <v>10</v>
      </c>
      <c r="B82" s="3545"/>
      <c r="C82" s="2824" t="s">
        <v>2667</v>
      </c>
      <c r="D82" s="2824" t="s">
        <v>2668</v>
      </c>
      <c r="E82" s="2850">
        <v>0.1</v>
      </c>
      <c r="F82" s="2850">
        <v>15</v>
      </c>
    </row>
    <row r="83" spans="1:6" ht="24">
      <c r="A83" s="2850">
        <v>11</v>
      </c>
      <c r="B83" s="3545"/>
      <c r="C83" s="2824" t="s">
        <v>2669</v>
      </c>
      <c r="D83" s="2824" t="s">
        <v>2670</v>
      </c>
      <c r="E83" s="2850">
        <v>0.1</v>
      </c>
      <c r="F83" s="2850">
        <v>15</v>
      </c>
    </row>
    <row r="84" spans="1:6" ht="24">
      <c r="A84" s="2850">
        <v>12</v>
      </c>
      <c r="B84" s="3545"/>
      <c r="C84" s="2824" t="s">
        <v>2671</v>
      </c>
      <c r="D84" s="2824" t="s">
        <v>2672</v>
      </c>
      <c r="E84" s="2850">
        <v>0.1</v>
      </c>
      <c r="F84" s="2850">
        <v>15</v>
      </c>
    </row>
    <row r="85" spans="1:6" ht="13.5">
      <c r="A85" s="2850">
        <v>13</v>
      </c>
      <c r="B85" s="3545"/>
      <c r="C85" s="2824" t="s">
        <v>2673</v>
      </c>
      <c r="D85" s="2824" t="s">
        <v>2674</v>
      </c>
      <c r="E85" s="2850">
        <v>0.1</v>
      </c>
      <c r="F85" s="2850">
        <v>15</v>
      </c>
    </row>
    <row r="86" spans="1:6" ht="13.5">
      <c r="A86" s="2850">
        <v>14</v>
      </c>
      <c r="B86" s="3545"/>
      <c r="C86" s="2824" t="s">
        <v>2675</v>
      </c>
      <c r="D86" s="2824" t="s">
        <v>2676</v>
      </c>
      <c r="E86" s="2850">
        <v>0.1</v>
      </c>
      <c r="F86" s="2850">
        <v>15</v>
      </c>
    </row>
    <row r="87" spans="1:6" ht="13.5">
      <c r="A87" s="2850">
        <v>15</v>
      </c>
      <c r="B87" s="3545"/>
      <c r="C87" s="2824" t="s">
        <v>2677</v>
      </c>
      <c r="D87" s="2824" t="s">
        <v>2678</v>
      </c>
      <c r="E87" s="2850">
        <v>0.1</v>
      </c>
      <c r="F87" s="2850">
        <v>15</v>
      </c>
    </row>
    <row r="88" spans="1:6" ht="24">
      <c r="A88" s="2850">
        <v>16</v>
      </c>
      <c r="B88" s="3545"/>
      <c r="C88" s="2824" t="s">
        <v>2679</v>
      </c>
      <c r="D88" s="2824" t="s">
        <v>2680</v>
      </c>
      <c r="E88" s="2850">
        <v>0.1</v>
      </c>
      <c r="F88" s="2850">
        <v>15</v>
      </c>
    </row>
    <row r="89" spans="1:6" ht="24">
      <c r="A89" s="2850">
        <v>17</v>
      </c>
      <c r="B89" s="3544"/>
      <c r="C89" s="2824" t="s">
        <v>2681</v>
      </c>
      <c r="D89" s="2824" t="s">
        <v>2682</v>
      </c>
      <c r="E89" s="2850">
        <v>0.1</v>
      </c>
      <c r="F89" s="2850">
        <v>15</v>
      </c>
    </row>
    <row r="90" spans="1:6" ht="13.5">
      <c r="A90" s="2850">
        <v>18</v>
      </c>
      <c r="B90" s="3543" t="s">
        <v>2683</v>
      </c>
      <c r="C90" s="2824" t="s">
        <v>2684</v>
      </c>
      <c r="D90" s="2824" t="s">
        <v>2685</v>
      </c>
      <c r="E90" s="2850">
        <v>0.2</v>
      </c>
      <c r="F90" s="2850">
        <v>25</v>
      </c>
    </row>
    <row r="91" spans="1:6" ht="24">
      <c r="A91" s="2850">
        <v>19</v>
      </c>
      <c r="B91" s="3545"/>
      <c r="C91" s="2824" t="s">
        <v>2686</v>
      </c>
      <c r="D91" s="2824" t="s">
        <v>2687</v>
      </c>
      <c r="E91" s="2850">
        <v>0.2</v>
      </c>
      <c r="F91" s="2850">
        <v>25</v>
      </c>
    </row>
    <row r="92" spans="1:6" ht="13.5">
      <c r="A92" s="2850">
        <v>20</v>
      </c>
      <c r="B92" s="3545"/>
      <c r="C92" s="2824" t="s">
        <v>2688</v>
      </c>
      <c r="D92" s="2824" t="s">
        <v>2689</v>
      </c>
      <c r="E92" s="2850">
        <v>0.15</v>
      </c>
      <c r="F92" s="2850">
        <v>20</v>
      </c>
    </row>
    <row r="93" spans="1:6" ht="13.5">
      <c r="A93" s="2850">
        <v>21</v>
      </c>
      <c r="B93" s="3545"/>
      <c r="C93" s="2824" t="s">
        <v>2690</v>
      </c>
      <c r="D93" s="2824" t="s">
        <v>2691</v>
      </c>
      <c r="E93" s="2850">
        <v>0.15</v>
      </c>
      <c r="F93" s="2850">
        <v>20</v>
      </c>
    </row>
    <row r="94" spans="1:6" ht="13.5">
      <c r="A94" s="2850">
        <v>22</v>
      </c>
      <c r="B94" s="3545"/>
      <c r="C94" s="2824" t="s">
        <v>2692</v>
      </c>
      <c r="D94" s="2824" t="s">
        <v>2693</v>
      </c>
      <c r="E94" s="2850">
        <v>0.15</v>
      </c>
      <c r="F94" s="2850">
        <v>20</v>
      </c>
    </row>
    <row r="95" spans="1:6" ht="36">
      <c r="A95" s="2850">
        <v>23</v>
      </c>
      <c r="B95" s="3545"/>
      <c r="C95" s="2824" t="s">
        <v>2694</v>
      </c>
      <c r="D95" s="2824" t="s">
        <v>2695</v>
      </c>
      <c r="E95" s="2850">
        <v>0.15</v>
      </c>
      <c r="F95" s="2850">
        <v>20</v>
      </c>
    </row>
    <row r="96" spans="1:6" ht="13.5">
      <c r="A96" s="2850">
        <v>24</v>
      </c>
      <c r="B96" s="3545"/>
      <c r="C96" s="2824" t="s">
        <v>2696</v>
      </c>
      <c r="D96" s="2824" t="s">
        <v>2697</v>
      </c>
      <c r="E96" s="2850">
        <v>0.1</v>
      </c>
      <c r="F96" s="2850">
        <v>15</v>
      </c>
    </row>
    <row r="97" spans="1:6" ht="13.5">
      <c r="A97" s="2850">
        <v>25</v>
      </c>
      <c r="B97" s="3545"/>
      <c r="C97" s="2824" t="s">
        <v>2698</v>
      </c>
      <c r="D97" s="2824" t="s">
        <v>2699</v>
      </c>
      <c r="E97" s="2850">
        <v>0.1</v>
      </c>
      <c r="F97" s="2850">
        <v>15</v>
      </c>
    </row>
    <row r="98" spans="1:6" ht="24">
      <c r="A98" s="2850">
        <v>26</v>
      </c>
      <c r="B98" s="3545"/>
      <c r="C98" s="2824" t="s">
        <v>2700</v>
      </c>
      <c r="D98" s="2824" t="s">
        <v>2701</v>
      </c>
      <c r="E98" s="2850">
        <v>0.1</v>
      </c>
      <c r="F98" s="2850">
        <v>15</v>
      </c>
    </row>
    <row r="99" spans="1:6" ht="24">
      <c r="A99" s="2850">
        <v>27</v>
      </c>
      <c r="B99" s="3545"/>
      <c r="C99" s="2824" t="s">
        <v>2702</v>
      </c>
      <c r="D99" s="2824" t="s">
        <v>2703</v>
      </c>
      <c r="E99" s="2850">
        <v>0.1</v>
      </c>
      <c r="F99" s="2850">
        <v>15</v>
      </c>
    </row>
    <row r="100" spans="1:6" ht="13.5">
      <c r="A100" s="2850">
        <v>28</v>
      </c>
      <c r="B100" s="3545"/>
      <c r="C100" s="2824" t="s">
        <v>2704</v>
      </c>
      <c r="D100" s="2824" t="s">
        <v>2705</v>
      </c>
      <c r="E100" s="2850">
        <v>0.1</v>
      </c>
      <c r="F100" s="2850">
        <v>15</v>
      </c>
    </row>
    <row r="101" spans="1:6" ht="13.5">
      <c r="A101" s="2850">
        <v>29</v>
      </c>
      <c r="B101" s="3545"/>
      <c r="C101" s="2824" t="s">
        <v>2706</v>
      </c>
      <c r="D101" s="2824" t="s">
        <v>2707</v>
      </c>
      <c r="E101" s="2850">
        <v>0.1</v>
      </c>
      <c r="F101" s="2850">
        <v>15</v>
      </c>
    </row>
    <row r="102" spans="1:6" ht="13.5">
      <c r="A102" s="2850">
        <v>30</v>
      </c>
      <c r="B102" s="3545"/>
      <c r="C102" s="2824" t="s">
        <v>2708</v>
      </c>
      <c r="D102" s="2824" t="s">
        <v>2709</v>
      </c>
      <c r="E102" s="2850">
        <v>0.1</v>
      </c>
      <c r="F102" s="2850">
        <v>15</v>
      </c>
    </row>
    <row r="103" spans="1:6" ht="24">
      <c r="A103" s="2850">
        <v>31</v>
      </c>
      <c r="B103" s="3545"/>
      <c r="C103" s="2824" t="s">
        <v>2710</v>
      </c>
      <c r="D103" s="2824" t="s">
        <v>2711</v>
      </c>
      <c r="E103" s="2850">
        <v>0.1</v>
      </c>
      <c r="F103" s="2850">
        <v>15</v>
      </c>
    </row>
    <row r="104" spans="1:6" ht="24">
      <c r="A104" s="2850">
        <v>32</v>
      </c>
      <c r="B104" s="3545"/>
      <c r="C104" s="2824" t="s">
        <v>2712</v>
      </c>
      <c r="D104" s="2824" t="s">
        <v>2713</v>
      </c>
      <c r="E104" s="2850">
        <v>0.1</v>
      </c>
      <c r="F104" s="2850">
        <v>15</v>
      </c>
    </row>
    <row r="105" spans="1:6" ht="24">
      <c r="A105" s="2850">
        <v>33</v>
      </c>
      <c r="B105" s="3545"/>
      <c r="C105" s="2824" t="s">
        <v>2714</v>
      </c>
      <c r="D105" s="2824" t="s">
        <v>2715</v>
      </c>
      <c r="E105" s="2850">
        <v>0.1</v>
      </c>
      <c r="F105" s="2850">
        <v>15</v>
      </c>
    </row>
    <row r="106" spans="1:6" ht="24">
      <c r="A106" s="2850">
        <v>34</v>
      </c>
      <c r="B106" s="3544"/>
      <c r="C106" s="2824" t="s">
        <v>2716</v>
      </c>
      <c r="D106" s="2824" t="s">
        <v>2717</v>
      </c>
      <c r="E106" s="2850">
        <v>0.1</v>
      </c>
      <c r="F106" s="2850">
        <v>15</v>
      </c>
    </row>
    <row r="107" spans="1:6" ht="24">
      <c r="A107" s="2850">
        <v>35</v>
      </c>
      <c r="B107" s="3543" t="s">
        <v>2718</v>
      </c>
      <c r="C107" s="2850" t="s">
        <v>2719</v>
      </c>
      <c r="D107" s="2824" t="s">
        <v>2720</v>
      </c>
      <c r="E107" s="2850">
        <v>0.15</v>
      </c>
      <c r="F107" s="2850">
        <v>20</v>
      </c>
    </row>
    <row r="108" spans="1:6" ht="13.5">
      <c r="A108" s="2850">
        <v>36</v>
      </c>
      <c r="B108" s="3545"/>
      <c r="C108" s="2850" t="s">
        <v>2721</v>
      </c>
      <c r="D108" s="2824" t="s">
        <v>2722</v>
      </c>
      <c r="E108" s="2850">
        <v>0.15</v>
      </c>
      <c r="F108" s="2850">
        <v>20</v>
      </c>
    </row>
    <row r="109" spans="1:6" ht="13.5">
      <c r="A109" s="2850">
        <v>37</v>
      </c>
      <c r="B109" s="3545"/>
      <c r="C109" s="2850" t="s">
        <v>2723</v>
      </c>
      <c r="D109" s="2824" t="s">
        <v>2724</v>
      </c>
      <c r="E109" s="2850">
        <v>0.15</v>
      </c>
      <c r="F109" s="2850">
        <v>20</v>
      </c>
    </row>
    <row r="110" spans="1:6" ht="13.5">
      <c r="A110" s="2850">
        <v>38</v>
      </c>
      <c r="B110" s="3545"/>
      <c r="C110" s="2850" t="s">
        <v>2725</v>
      </c>
      <c r="D110" s="2824" t="s">
        <v>2726</v>
      </c>
      <c r="E110" s="2850">
        <v>0.1</v>
      </c>
      <c r="F110" s="2850">
        <v>15</v>
      </c>
    </row>
    <row r="111" spans="1:6" ht="24">
      <c r="A111" s="2850">
        <v>39</v>
      </c>
      <c r="B111" s="3545"/>
      <c r="C111" s="2850" t="s">
        <v>2727</v>
      </c>
      <c r="D111" s="2824" t="s">
        <v>2728</v>
      </c>
      <c r="E111" s="2850">
        <v>0.1</v>
      </c>
      <c r="F111" s="2850">
        <v>15</v>
      </c>
    </row>
    <row r="112" spans="1:6" ht="24">
      <c r="A112" s="2850">
        <v>40</v>
      </c>
      <c r="B112" s="3544"/>
      <c r="C112" s="2850" t="s">
        <v>2729</v>
      </c>
      <c r="D112" s="2824" t="s">
        <v>2730</v>
      </c>
      <c r="E112" s="2850">
        <v>0.1</v>
      </c>
      <c r="F112" s="2850">
        <v>15</v>
      </c>
    </row>
    <row r="113" spans="1:6" ht="13.5">
      <c r="A113" s="2850">
        <v>41</v>
      </c>
      <c r="B113" s="3542" t="s">
        <v>2731</v>
      </c>
      <c r="C113" s="2850" t="s">
        <v>2732</v>
      </c>
      <c r="D113" s="2824" t="s">
        <v>2733</v>
      </c>
      <c r="E113" s="2850">
        <v>0.1</v>
      </c>
      <c r="F113" s="2850">
        <v>15</v>
      </c>
    </row>
    <row r="114" spans="1:6" ht="13.5">
      <c r="A114" s="2850">
        <v>42</v>
      </c>
      <c r="B114" s="3542"/>
      <c r="C114" s="2850" t="s">
        <v>2734</v>
      </c>
      <c r="D114" s="2824" t="s">
        <v>2735</v>
      </c>
      <c r="E114" s="2850">
        <v>0.1</v>
      </c>
      <c r="F114" s="2850">
        <v>15</v>
      </c>
    </row>
    <row r="115" spans="1:6" ht="24">
      <c r="A115" s="2850">
        <v>43</v>
      </c>
      <c r="B115" s="3542"/>
      <c r="C115" s="2850" t="s">
        <v>2736</v>
      </c>
      <c r="D115" s="2824" t="s">
        <v>2737</v>
      </c>
      <c r="E115" s="2850">
        <v>0.1</v>
      </c>
      <c r="F115" s="2850">
        <v>15</v>
      </c>
    </row>
    <row r="116" spans="1:6" ht="13.5">
      <c r="A116" s="2850">
        <v>44</v>
      </c>
      <c r="B116" s="3543" t="s">
        <v>2738</v>
      </c>
      <c r="C116" s="2850" t="s">
        <v>2739</v>
      </c>
      <c r="D116" s="2824" t="s">
        <v>2740</v>
      </c>
      <c r="E116" s="2850">
        <v>0.1</v>
      </c>
      <c r="F116" s="2850">
        <v>15</v>
      </c>
    </row>
    <row r="117" spans="1:6" ht="24">
      <c r="A117" s="2850">
        <v>45</v>
      </c>
      <c r="B117" s="3544"/>
      <c r="C117" s="2824" t="s">
        <v>2741</v>
      </c>
      <c r="D117" s="2824" t="s">
        <v>2742</v>
      </c>
      <c r="E117" s="2850">
        <v>0.1</v>
      </c>
      <c r="F117" s="2850">
        <v>15</v>
      </c>
    </row>
    <row r="118" spans="1:6" ht="24">
      <c r="A118" s="2850">
        <v>46</v>
      </c>
      <c r="B118" s="3543" t="s">
        <v>2743</v>
      </c>
      <c r="C118" s="2850" t="s">
        <v>2744</v>
      </c>
      <c r="D118" s="2824" t="s">
        <v>2745</v>
      </c>
      <c r="E118" s="2850">
        <v>0.1</v>
      </c>
      <c r="F118" s="2850">
        <v>15</v>
      </c>
    </row>
    <row r="119" spans="1:6" ht="24">
      <c r="A119" s="2850">
        <v>47</v>
      </c>
      <c r="B119" s="3544"/>
      <c r="C119" s="2850" t="s">
        <v>2746</v>
      </c>
      <c r="D119" s="2824" t="s">
        <v>2747</v>
      </c>
      <c r="E119" s="2850">
        <v>0.1</v>
      </c>
      <c r="F119" s="2850">
        <v>15</v>
      </c>
    </row>
    <row r="120" spans="1:6" ht="13.5">
      <c r="A120" s="2850">
        <v>48</v>
      </c>
      <c r="B120" s="3543" t="s">
        <v>2748</v>
      </c>
      <c r="C120" s="2850" t="s">
        <v>2749</v>
      </c>
      <c r="D120" s="2824" t="s">
        <v>2750</v>
      </c>
      <c r="E120" s="2850">
        <v>0.1</v>
      </c>
      <c r="F120" s="2850">
        <v>15</v>
      </c>
    </row>
    <row r="121" spans="1:6" ht="13.5">
      <c r="A121" s="2850">
        <v>49</v>
      </c>
      <c r="B121" s="3544"/>
      <c r="C121" s="2850" t="s">
        <v>2751</v>
      </c>
      <c r="D121" s="2824" t="s">
        <v>2752</v>
      </c>
      <c r="E121" s="2850">
        <v>0.1</v>
      </c>
      <c r="F121" s="2850">
        <v>15</v>
      </c>
    </row>
    <row r="122" spans="1:6" ht="24">
      <c r="A122" s="2850">
        <v>50</v>
      </c>
      <c r="B122" s="3542" t="s">
        <v>2753</v>
      </c>
      <c r="C122" s="2850" t="s">
        <v>2754</v>
      </c>
      <c r="D122" s="2824" t="s">
        <v>2755</v>
      </c>
      <c r="E122" s="2850">
        <v>0.1</v>
      </c>
      <c r="F122" s="2850">
        <v>15</v>
      </c>
    </row>
    <row r="123" spans="1:6" ht="24">
      <c r="A123" s="2850">
        <v>51</v>
      </c>
      <c r="B123" s="3542"/>
      <c r="C123" s="2850" t="s">
        <v>2756</v>
      </c>
      <c r="D123" s="2824" t="s">
        <v>2757</v>
      </c>
      <c r="E123" s="2850">
        <v>0.1</v>
      </c>
      <c r="F123" s="2850">
        <v>15</v>
      </c>
    </row>
    <row r="124" spans="1:6" ht="24">
      <c r="A124" s="2850">
        <v>52</v>
      </c>
      <c r="B124" s="3542" t="s">
        <v>2758</v>
      </c>
      <c r="C124" s="2850" t="s">
        <v>2759</v>
      </c>
      <c r="D124" s="2824" t="s">
        <v>2760</v>
      </c>
      <c r="E124" s="2850">
        <v>0.1</v>
      </c>
      <c r="F124" s="2850">
        <v>15</v>
      </c>
    </row>
    <row r="125" spans="1:6" ht="24">
      <c r="A125" s="2850">
        <v>53</v>
      </c>
      <c r="B125" s="3542"/>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542" t="s">
        <v>2766</v>
      </c>
      <c r="C127" s="2850" t="s">
        <v>2767</v>
      </c>
      <c r="D127" s="2824" t="s">
        <v>2768</v>
      </c>
      <c r="E127" s="2850">
        <v>0.1</v>
      </c>
      <c r="F127" s="2850">
        <v>15</v>
      </c>
    </row>
    <row r="128" spans="1:6" ht="13.5">
      <c r="A128" s="2850">
        <v>56</v>
      </c>
      <c r="B128" s="3542"/>
      <c r="C128" s="2850" t="s">
        <v>2769</v>
      </c>
      <c r="D128" s="2824" t="s">
        <v>2770</v>
      </c>
      <c r="E128" s="2850">
        <v>0.1</v>
      </c>
      <c r="F128" s="2850">
        <v>15</v>
      </c>
    </row>
    <row r="129" spans="1:6" ht="24">
      <c r="A129" s="2850">
        <v>57</v>
      </c>
      <c r="B129" s="3542"/>
      <c r="C129" s="2850" t="s">
        <v>2771</v>
      </c>
      <c r="D129" s="2824" t="s">
        <v>2772</v>
      </c>
      <c r="E129" s="2850">
        <v>0.1</v>
      </c>
      <c r="F129" s="2850">
        <v>15</v>
      </c>
    </row>
    <row r="130" spans="1:6" ht="24">
      <c r="A130" s="2850">
        <v>58</v>
      </c>
      <c r="B130" s="3542" t="s">
        <v>2773</v>
      </c>
      <c r="C130" s="2850" t="s">
        <v>2774</v>
      </c>
      <c r="D130" s="2824" t="s">
        <v>2775</v>
      </c>
      <c r="E130" s="2850">
        <v>0.1</v>
      </c>
      <c r="F130" s="2850">
        <v>15</v>
      </c>
    </row>
    <row r="131" spans="1:6" ht="13.5">
      <c r="A131" s="2850">
        <v>59</v>
      </c>
      <c r="B131" s="3542"/>
      <c r="C131" s="2850" t="s">
        <v>2776</v>
      </c>
      <c r="D131" s="2824" t="s">
        <v>2777</v>
      </c>
      <c r="E131" s="2850">
        <v>0.1</v>
      </c>
      <c r="F131" s="2850">
        <v>15</v>
      </c>
    </row>
    <row r="132" spans="1:6" ht="13.5">
      <c r="A132" s="2850">
        <v>60</v>
      </c>
      <c r="B132" s="3543" t="s">
        <v>2778</v>
      </c>
      <c r="C132" s="2850" t="s">
        <v>2779</v>
      </c>
      <c r="D132" s="2824" t="s">
        <v>2780</v>
      </c>
      <c r="E132" s="2850">
        <v>0.1</v>
      </c>
      <c r="F132" s="2850">
        <v>15</v>
      </c>
    </row>
    <row r="133" spans="1:6" ht="13.5">
      <c r="A133" s="2850">
        <v>61</v>
      </c>
      <c r="B133" s="3544"/>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542" t="s">
        <v>2786</v>
      </c>
      <c r="C135" s="2850" t="s">
        <v>2787</v>
      </c>
      <c r="D135" s="2824" t="s">
        <v>2788</v>
      </c>
      <c r="E135" s="2850">
        <v>0.1</v>
      </c>
      <c r="F135" s="2850">
        <v>15</v>
      </c>
    </row>
    <row r="136" spans="1:6" ht="13.5">
      <c r="A136" s="2850">
        <v>64</v>
      </c>
      <c r="B136" s="3542"/>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4"/>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0</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4"/>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4"/>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86481</v>
      </c>
      <c r="C2" s="2" t="s">
        <v>106</v>
      </c>
      <c r="D2" s="189"/>
      <c r="E2" s="189"/>
      <c r="F2" s="189"/>
      <c r="G2" s="189"/>
    </row>
    <row r="3" spans="1:7" s="190" customFormat="1" ht="18" customHeight="1" thickBot="1">
      <c r="A3" s="193" t="s">
        <v>58</v>
      </c>
      <c r="B3" s="194">
        <f ca="1">ROUND(B2*10000/'数据-汇总表'!E3,0)</f>
        <v>8131</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1269</v>
      </c>
      <c r="D9" s="792">
        <f>'数据-汇总表'!E5</f>
        <v>79323.999999999854</v>
      </c>
      <c r="E9" s="215">
        <f>'数据-取费表'!B27</f>
        <v>160</v>
      </c>
      <c r="F9" s="211"/>
      <c r="G9" s="216"/>
    </row>
    <row r="10" spans="1:7" s="204" customFormat="1" ht="13.5" customHeight="1">
      <c r="A10" s="730" t="s">
        <v>356</v>
      </c>
      <c r="B10" s="214" t="s">
        <v>67</v>
      </c>
      <c r="C10" s="215">
        <f>ROUND(D10*E10/10000,0)</f>
        <v>541</v>
      </c>
      <c r="D10" s="792">
        <f>'数据-汇总表'!E6</f>
        <v>27031.860000000277</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2127</v>
      </c>
      <c r="D19" s="202">
        <f>'数据-汇总表'!E3</f>
        <v>106355.86000000013</v>
      </c>
      <c r="E19" s="201">
        <f>'数据-取费表'!B31</f>
        <v>200</v>
      </c>
      <c r="F19" s="221"/>
      <c r="G19" s="1" t="s">
        <v>436</v>
      </c>
    </row>
    <row r="20" spans="1:7" s="204" customFormat="1" ht="13.5" customHeight="1">
      <c r="A20" s="728" t="s">
        <v>419</v>
      </c>
      <c r="B20" s="200" t="s">
        <v>77</v>
      </c>
      <c r="C20" s="222">
        <f>ROUND((C5+C19)*F20,0)</f>
        <v>455</v>
      </c>
      <c r="D20" s="222"/>
      <c r="E20" s="222"/>
      <c r="F20" s="223">
        <f>'数据-取费表'!B37</f>
        <v>0.02</v>
      </c>
      <c r="G20" s="1001" t="s">
        <v>430</v>
      </c>
    </row>
    <row r="21" spans="1:7" s="204" customFormat="1" ht="13.5" customHeight="1">
      <c r="A21" s="728" t="s">
        <v>421</v>
      </c>
      <c r="B21" s="200" t="s">
        <v>78</v>
      </c>
      <c r="C21" s="225">
        <f>F21</f>
        <v>0.02</v>
      </c>
      <c r="D21" s="226" t="s">
        <v>99</v>
      </c>
      <c r="E21" s="222"/>
      <c r="F21" s="223">
        <f>'数据-取费表'!B38</f>
        <v>0.02</v>
      </c>
      <c r="G21" s="224" t="s">
        <v>79</v>
      </c>
    </row>
    <row r="22" spans="1:7" s="204" customFormat="1" ht="13.5" customHeight="1">
      <c r="A22" s="728" t="s">
        <v>341</v>
      </c>
      <c r="B22" s="200" t="s">
        <v>80</v>
      </c>
      <c r="C22" s="1038">
        <f ca="1">ROUND(SUM(C23:C25),0)</f>
        <v>1135</v>
      </c>
      <c r="D22" s="225">
        <f ca="1">C26</f>
        <v>5.0000000000000001E-4</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1019</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105</v>
      </c>
      <c r="D24" s="228"/>
      <c r="E24" s="228"/>
      <c r="F24" s="229"/>
      <c r="G24" s="230" t="s">
        <v>82</v>
      </c>
    </row>
    <row r="25" spans="1:7" s="204" customFormat="1" ht="24">
      <c r="A25" s="731" t="s">
        <v>348</v>
      </c>
      <c r="B25" s="205" t="s">
        <v>420</v>
      </c>
      <c r="C25" s="1039">
        <f ca="1">ROUND(IF('数据-取费表'!B22&lt;=1,C20*F22*'数据-取费表'!B23/2,C20*(POWER((1+F22),'数据-取费表'!B23/2)-1)),0)</f>
        <v>11</v>
      </c>
      <c r="D25" s="228"/>
      <c r="E25" s="231"/>
      <c r="F25" s="229"/>
      <c r="G25" s="232" t="s">
        <v>83</v>
      </c>
    </row>
    <row r="26" spans="1:7" s="204" customFormat="1">
      <c r="A26" s="731" t="s">
        <v>350</v>
      </c>
      <c r="B26" s="205" t="s">
        <v>422</v>
      </c>
      <c r="C26" s="228">
        <f ca="1">ROUND(IF('数据-取费表'!B22&lt;=1,F21*F22*'数据-取费表'!B23/2,F21*(POWER((1+F22),'数据-取费表'!B23/2)-1)),4)</f>
        <v>5.0000000000000001E-4</v>
      </c>
      <c r="D26" s="228"/>
      <c r="E26" s="231"/>
      <c r="F26" s="229"/>
      <c r="G26" s="233"/>
    </row>
    <row r="27" spans="1:7" s="204" customFormat="1" ht="24.75">
      <c r="A27" s="728" t="s">
        <v>342</v>
      </c>
      <c r="B27" s="234" t="s">
        <v>85</v>
      </c>
      <c r="C27" s="235">
        <f>C28</f>
        <v>2345</v>
      </c>
      <c r="D27" s="225">
        <f>C29</f>
        <v>2E-3</v>
      </c>
      <c r="E27" s="226" t="s">
        <v>99</v>
      </c>
      <c r="F27" s="236">
        <f>'数据-取费表'!Q16</f>
        <v>0.16</v>
      </c>
      <c r="G27" s="237" t="s">
        <v>431</v>
      </c>
    </row>
    <row r="28" spans="1:7" s="204" customFormat="1" ht="13.5" customHeight="1">
      <c r="A28" s="731" t="s">
        <v>349</v>
      </c>
      <c r="B28" s="238" t="s">
        <v>424</v>
      </c>
      <c r="C28" s="239">
        <f>ROUND((C5+C19+C20)*F27*'数据-取费表'!B21/'数据-取费表'!B20,0)</f>
        <v>2345</v>
      </c>
      <c r="D28" s="225"/>
      <c r="E28" s="226"/>
      <c r="F28" s="236"/>
      <c r="G28" s="237"/>
    </row>
    <row r="29" spans="1:7" s="204" customFormat="1" ht="13.5" customHeight="1">
      <c r="A29" s="731" t="s">
        <v>347</v>
      </c>
      <c r="B29" s="238" t="s">
        <v>425</v>
      </c>
      <c r="C29" s="228">
        <f>ROUND(C21*F27*'数据-取费表'!B21/'数据-取费表'!B20,4)</f>
        <v>2E-3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28861</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44021</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37647</v>
      </c>
      <c r="D34" s="207"/>
      <c r="E34" s="210"/>
      <c r="F34" s="247">
        <f>IF('数据-取费表'!B24=0,1,'数据-取费表'!N16)</f>
        <v>0.63</v>
      </c>
      <c r="G34" s="209" t="s">
        <v>89</v>
      </c>
    </row>
    <row r="35" spans="1:7" ht="13.5" customHeight="1">
      <c r="A35" s="731" t="s">
        <v>351</v>
      </c>
      <c r="B35" s="205" t="s">
        <v>33</v>
      </c>
      <c r="C35" s="210">
        <f>ROUND(C34*F35,0)</f>
        <v>1882</v>
      </c>
      <c r="D35" s="210"/>
      <c r="E35" s="210"/>
      <c r="F35" s="249">
        <f>'数据-取费表'!B33</f>
        <v>0.05</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2399</v>
      </c>
      <c r="D36" s="210"/>
      <c r="E36" s="210"/>
      <c r="F36" s="249">
        <f>'数据-取费表'!B34</f>
        <v>0.08</v>
      </c>
      <c r="G36" s="250" t="s">
        <v>35</v>
      </c>
    </row>
    <row r="37" spans="1:7" s="248" customFormat="1" ht="13.5" customHeight="1">
      <c r="A37" s="731" t="s">
        <v>353</v>
      </c>
      <c r="B37" s="205" t="s">
        <v>91</v>
      </c>
      <c r="C37" s="239">
        <f>ROUND(E37*D37*F34/10000,0)</f>
        <v>1340</v>
      </c>
      <c r="D37" s="207">
        <f>'数据-汇总表'!E3</f>
        <v>106355.86000000013</v>
      </c>
      <c r="E37" s="239">
        <f>'数据-取费表'!B35</f>
        <v>200</v>
      </c>
      <c r="F37" s="249"/>
      <c r="G37" s="251" t="s">
        <v>92</v>
      </c>
    </row>
    <row r="38" spans="1:7" ht="13.5" customHeight="1">
      <c r="A38" s="731" t="s">
        <v>354</v>
      </c>
      <c r="B38" s="205" t="s">
        <v>36</v>
      </c>
      <c r="C38" s="210">
        <f>ROUND(C34*F38,0)</f>
        <v>753</v>
      </c>
      <c r="D38" s="210"/>
      <c r="E38" s="210"/>
      <c r="F38" s="249">
        <f>'数据-取费表'!B36</f>
        <v>0.02</v>
      </c>
      <c r="G38" s="209" t="s">
        <v>90</v>
      </c>
    </row>
    <row r="39" spans="1:7" s="204" customFormat="1" ht="13.5" customHeight="1">
      <c r="A39" s="728" t="s">
        <v>338</v>
      </c>
      <c r="B39" s="200" t="s">
        <v>77</v>
      </c>
      <c r="C39" s="222">
        <f>ROUND(C33*F20,0)</f>
        <v>880</v>
      </c>
      <c r="D39" s="222"/>
      <c r="E39" s="222"/>
      <c r="F39" s="223"/>
      <c r="G39" s="1001" t="s">
        <v>433</v>
      </c>
    </row>
    <row r="40" spans="1:7" s="204" customFormat="1" ht="13.5" customHeight="1">
      <c r="A40" s="728" t="s">
        <v>339</v>
      </c>
      <c r="B40" s="200" t="s">
        <v>78</v>
      </c>
      <c r="C40" s="252">
        <f>F21</f>
        <v>0.02</v>
      </c>
      <c r="D40" s="226" t="s">
        <v>102</v>
      </c>
      <c r="E40" s="222"/>
      <c r="F40" s="223"/>
      <c r="G40" s="224" t="s">
        <v>93</v>
      </c>
    </row>
    <row r="41" spans="1:7" s="204" customFormat="1" ht="13.5" customHeight="1">
      <c r="A41" s="728" t="s">
        <v>340</v>
      </c>
      <c r="B41" s="200" t="s">
        <v>80</v>
      </c>
      <c r="C41" s="222">
        <f ca="1">ROUND(SUM(C42:C43),0)</f>
        <v>1096</v>
      </c>
      <c r="D41" s="225">
        <f ca="1">C44</f>
        <v>5.0000000000000001E-4</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1075</v>
      </c>
      <c r="D42" s="228"/>
      <c r="E42" s="228"/>
      <c r="F42" s="229"/>
      <c r="G42" s="3457" t="s">
        <v>94</v>
      </c>
    </row>
    <row r="43" spans="1:7" ht="13.5" customHeight="1">
      <c r="A43" s="731" t="s">
        <v>347</v>
      </c>
      <c r="B43" s="205" t="s">
        <v>426</v>
      </c>
      <c r="C43" s="228">
        <f ca="1">ROUND(IF('数据-取费表'!B22&lt;=1,C39*F22*'数据-取费表'!B21/2,C39*(POWER((1+F22),'数据-取费表'!B21/2)-1)),0)</f>
        <v>21</v>
      </c>
      <c r="D43" s="228"/>
      <c r="E43" s="228"/>
      <c r="F43" s="229"/>
      <c r="G43" s="3458"/>
    </row>
    <row r="44" spans="1:7" ht="13.5" customHeight="1">
      <c r="A44" s="731" t="s">
        <v>348</v>
      </c>
      <c r="B44" s="205" t="s">
        <v>428</v>
      </c>
      <c r="C44" s="228">
        <f ca="1">ROUND(IF('数据-取费表'!B22&lt;=1,C40*F22*'数据-取费表'!B21/2,C40*(POWER((1+F22),'数据-取费表'!B21/2)-1)),4)</f>
        <v>5.0000000000000001E-4</v>
      </c>
      <c r="D44" s="228"/>
      <c r="E44" s="228"/>
      <c r="F44" s="229"/>
      <c r="G44" s="3459"/>
    </row>
    <row r="45" spans="1:7" s="204" customFormat="1" ht="13.5" customHeight="1">
      <c r="A45" s="728" t="s">
        <v>341</v>
      </c>
      <c r="B45" s="234" t="s">
        <v>85</v>
      </c>
      <c r="C45" s="235">
        <f>C46</f>
        <v>7184</v>
      </c>
      <c r="D45" s="225">
        <f>C47</f>
        <v>3.2000000000000002E-3</v>
      </c>
      <c r="E45" s="226" t="s">
        <v>102</v>
      </c>
      <c r="F45" s="236"/>
      <c r="G45" s="237" t="s">
        <v>434</v>
      </c>
    </row>
    <row r="46" spans="1:7" s="204" customFormat="1" ht="13.5" customHeight="1">
      <c r="A46" s="731" t="s">
        <v>349</v>
      </c>
      <c r="B46" s="238" t="s">
        <v>427</v>
      </c>
      <c r="C46" s="239">
        <f>ROUND((C33+C39)*F27,0)</f>
        <v>7184</v>
      </c>
      <c r="D46" s="253"/>
      <c r="E46" s="226"/>
      <c r="F46" s="236"/>
      <c r="G46" s="237"/>
    </row>
    <row r="47" spans="1:7" s="204" customFormat="1" ht="13.5" customHeight="1">
      <c r="A47" s="731" t="s">
        <v>347</v>
      </c>
      <c r="B47" s="238" t="s">
        <v>429</v>
      </c>
      <c r="C47" s="228">
        <f>ROUND(C40*F27,4)</f>
        <v>3.2000000000000002E-3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57620</v>
      </c>
      <c r="D49" s="222"/>
      <c r="E49" s="222"/>
      <c r="F49" s="254"/>
      <c r="G49" s="224" t="s">
        <v>435</v>
      </c>
    </row>
    <row r="50" spans="1:7" s="248" customFormat="1" ht="24">
      <c r="A50" s="728" t="s">
        <v>344</v>
      </c>
      <c r="B50" s="200" t="s">
        <v>97</v>
      </c>
      <c r="C50" s="222"/>
      <c r="D50" s="222"/>
      <c r="E50" s="222"/>
      <c r="F50" s="254">
        <f>IF('数据-取费表'!B24=0,'数据-取费表'!N16,1)</f>
        <v>1</v>
      </c>
      <c r="G50" s="237" t="s">
        <v>98</v>
      </c>
    </row>
    <row r="51" spans="1:7" ht="16.5" customHeight="1">
      <c r="A51" s="728" t="s">
        <v>345</v>
      </c>
      <c r="B51" s="200" t="s">
        <v>105</v>
      </c>
      <c r="C51" s="222">
        <f ca="1">ROUND(C49*F50,0)</f>
        <v>57620</v>
      </c>
      <c r="D51" s="222"/>
      <c r="E51" s="222"/>
      <c r="F51" s="254"/>
      <c r="G51" s="224" t="s">
        <v>37</v>
      </c>
    </row>
    <row r="52" spans="1:7" s="198" customFormat="1" ht="16.5" thickBot="1">
      <c r="A52" s="255" t="s">
        <v>38</v>
      </c>
      <c r="B52" s="256"/>
      <c r="C52" s="257">
        <f ca="1">C31+C51</f>
        <v>86481</v>
      </c>
      <c r="D52" s="256"/>
      <c r="E52" s="256"/>
      <c r="F52" s="256"/>
      <c r="G52" s="258"/>
    </row>
    <row r="55" spans="1:7" ht="15">
      <c r="B55" s="260" t="s">
        <v>39</v>
      </c>
      <c r="C55" s="261"/>
    </row>
    <row r="56" spans="1:7">
      <c r="B56" s="263" t="s">
        <v>40</v>
      </c>
      <c r="C56" s="264">
        <f ca="1">ROUND(C51/C52,3)</f>
        <v>0.66600000000000004</v>
      </c>
    </row>
    <row r="57" spans="1:7">
      <c r="B57" s="263" t="s">
        <v>41</v>
      </c>
      <c r="C57" s="265">
        <f ca="1">1-C56</f>
        <v>0.33399999999999996</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56" t="s">
        <v>2836</v>
      </c>
      <c r="B1" s="3556"/>
      <c r="C1" s="3556"/>
      <c r="D1" s="3556"/>
      <c r="E1" s="3556"/>
      <c r="F1" s="3556"/>
      <c r="G1" s="3557"/>
      <c r="I1" s="2931" t="s">
        <v>2837</v>
      </c>
      <c r="J1" s="2932" t="s">
        <v>2838</v>
      </c>
      <c r="K1" s="2932" t="s">
        <v>2839</v>
      </c>
      <c r="L1" s="2932" t="s">
        <v>2840</v>
      </c>
      <c r="M1" s="2932" t="s">
        <v>2841</v>
      </c>
      <c r="N1" s="2932" t="s">
        <v>2842</v>
      </c>
      <c r="O1" s="2932" t="s">
        <v>2843</v>
      </c>
      <c r="P1" s="2932" t="s">
        <v>2844</v>
      </c>
      <c r="Q1" s="2932" t="s">
        <v>2845</v>
      </c>
      <c r="R1" s="2932" t="s">
        <v>2846</v>
      </c>
      <c r="S1" s="2932" t="s">
        <v>2847</v>
      </c>
      <c r="T1" s="2933" t="s">
        <v>2848</v>
      </c>
    </row>
    <row r="2" spans="1:20" ht="12" thickBot="1">
      <c r="A2" s="2934" t="s">
        <v>2849</v>
      </c>
      <c r="B2" s="2934"/>
      <c r="C2" s="2934"/>
      <c r="D2" s="2934"/>
      <c r="E2" s="2934"/>
      <c r="F2" s="2934"/>
      <c r="G2" s="2935" t="s">
        <v>2850</v>
      </c>
      <c r="I2" s="2936" t="s">
        <v>2851</v>
      </c>
      <c r="J2" s="2936" t="s">
        <v>2852</v>
      </c>
      <c r="K2" s="2936" t="s">
        <v>2853</v>
      </c>
      <c r="L2" s="2936" t="s">
        <v>2854</v>
      </c>
      <c r="M2" s="2936" t="s">
        <v>2855</v>
      </c>
      <c r="N2" s="2936" t="s">
        <v>2856</v>
      </c>
      <c r="O2" s="2936" t="s">
        <v>2857</v>
      </c>
      <c r="P2" s="2936" t="s">
        <v>2858</v>
      </c>
      <c r="Q2" s="2936" t="s">
        <v>2859</v>
      </c>
      <c r="R2" s="2936" t="s">
        <v>2860</v>
      </c>
      <c r="S2" s="2936" t="s">
        <v>2861</v>
      </c>
      <c r="T2" s="2936" t="s">
        <v>2862</v>
      </c>
    </row>
    <row r="3" spans="1:20" s="2942" customFormat="1">
      <c r="A3" s="3554" t="s">
        <v>2863</v>
      </c>
      <c r="B3" s="2937"/>
      <c r="C3" s="2938" t="s">
        <v>2808</v>
      </c>
      <c r="D3" s="2938" t="s">
        <v>2864</v>
      </c>
      <c r="E3" s="2938" t="s">
        <v>2810</v>
      </c>
      <c r="F3" s="2938" t="s">
        <v>2865</v>
      </c>
      <c r="G3" s="2938" t="s">
        <v>2628</v>
      </c>
      <c r="H3" s="2939"/>
      <c r="I3" s="2940" t="s">
        <v>2866</v>
      </c>
      <c r="J3" s="2941" t="s">
        <v>128</v>
      </c>
      <c r="K3" s="2941" t="s">
        <v>129</v>
      </c>
      <c r="L3" s="2940" t="s">
        <v>130</v>
      </c>
      <c r="M3" s="2940" t="s">
        <v>131</v>
      </c>
      <c r="N3" s="2940" t="s">
        <v>132</v>
      </c>
      <c r="O3" s="2940" t="s">
        <v>133</v>
      </c>
      <c r="P3" s="2940" t="s">
        <v>134</v>
      </c>
      <c r="Q3" s="2940" t="s">
        <v>135</v>
      </c>
      <c r="R3" s="2940" t="s">
        <v>136</v>
      </c>
      <c r="S3" s="2940" t="s">
        <v>2867</v>
      </c>
      <c r="T3" s="2940" t="s">
        <v>2868</v>
      </c>
    </row>
    <row r="4" spans="1:20" s="2942" customFormat="1" ht="12" thickBot="1">
      <c r="A4" s="3555"/>
      <c r="B4" s="2943" t="s">
        <v>2869</v>
      </c>
      <c r="C4" s="2943" t="s">
        <v>2870</v>
      </c>
      <c r="D4" s="2943" t="s">
        <v>2870</v>
      </c>
      <c r="E4" s="2943" t="s">
        <v>2870</v>
      </c>
      <c r="F4" s="2944" t="s">
        <v>2870</v>
      </c>
      <c r="G4" s="2944" t="s">
        <v>2870</v>
      </c>
      <c r="H4" s="2939"/>
      <c r="I4" s="2941" t="s">
        <v>137</v>
      </c>
      <c r="J4" s="2941" t="s">
        <v>111</v>
      </c>
      <c r="K4" s="2941" t="s">
        <v>138</v>
      </c>
      <c r="L4" s="2940" t="s">
        <v>139</v>
      </c>
      <c r="M4" s="2940" t="s">
        <v>140</v>
      </c>
      <c r="N4" s="2940" t="s">
        <v>141</v>
      </c>
      <c r="O4" s="2940" t="s">
        <v>142</v>
      </c>
      <c r="P4" s="2940" t="s">
        <v>143</v>
      </c>
      <c r="Q4" s="2940" t="s">
        <v>2871</v>
      </c>
      <c r="R4" s="2940" t="s">
        <v>2872</v>
      </c>
      <c r="S4" s="2940" t="s">
        <v>2873</v>
      </c>
      <c r="T4" s="2940" t="s">
        <v>2874</v>
      </c>
    </row>
    <row r="5" spans="1:20">
      <c r="A5" s="2945" t="s">
        <v>2837</v>
      </c>
      <c r="B5" s="2936" t="s">
        <v>2851</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2875</v>
      </c>
      <c r="R5" s="2940" t="s">
        <v>2876</v>
      </c>
      <c r="S5" s="2940" t="s">
        <v>153</v>
      </c>
      <c r="T5" s="2940" t="s">
        <v>2877</v>
      </c>
    </row>
    <row r="6" spans="1:20" ht="12" thickBot="1">
      <c r="A6" s="2940" t="s">
        <v>144</v>
      </c>
      <c r="B6" s="2940" t="s">
        <v>2866</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2878</v>
      </c>
      <c r="Q6" s="2940" t="s">
        <v>2879</v>
      </c>
      <c r="R6" s="2940" t="s">
        <v>161</v>
      </c>
      <c r="S6" s="2940" t="s">
        <v>2880</v>
      </c>
      <c r="T6" s="2940" t="s">
        <v>2881</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2882</v>
      </c>
      <c r="Q7" s="2940" t="s">
        <v>2883</v>
      </c>
      <c r="R7" s="2940" t="s">
        <v>2884</v>
      </c>
      <c r="S7" s="2940" t="s">
        <v>2885</v>
      </c>
      <c r="T7" s="2940" t="s">
        <v>2886</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2887</v>
      </c>
      <c r="Q8" s="2940" t="s">
        <v>174</v>
      </c>
      <c r="R8" s="2940" t="s">
        <v>2888</v>
      </c>
      <c r="S8" s="2940" t="s">
        <v>2889</v>
      </c>
      <c r="T8" s="2947" t="s">
        <v>2890</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2891</v>
      </c>
      <c r="Q9" s="2940" t="s">
        <v>182</v>
      </c>
      <c r="R9" s="2940" t="s">
        <v>183</v>
      </c>
      <c r="S9" s="2940" t="s">
        <v>200</v>
      </c>
    </row>
    <row r="10" spans="1:20">
      <c r="A10" s="2945" t="s">
        <v>184</v>
      </c>
      <c r="B10" s="2936" t="s">
        <v>2852</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2892</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2893</v>
      </c>
      <c r="P11" s="2940" t="s">
        <v>191</v>
      </c>
      <c r="Q11" s="2940" t="s">
        <v>199</v>
      </c>
      <c r="R11" s="2940" t="s">
        <v>2894</v>
      </c>
      <c r="S11" s="2940" t="s">
        <v>2895</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2896</v>
      </c>
      <c r="P12" s="2940" t="s">
        <v>2897</v>
      </c>
      <c r="Q12" s="2940" t="s">
        <v>2898</v>
      </c>
      <c r="R12" s="2940" t="s">
        <v>2899</v>
      </c>
      <c r="S12" s="2940" t="s">
        <v>2900</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2901</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2902</v>
      </c>
      <c r="K14" s="2941" t="s">
        <v>215</v>
      </c>
      <c r="L14" s="2940" t="s">
        <v>216</v>
      </c>
      <c r="M14" s="2940" t="s">
        <v>217</v>
      </c>
      <c r="N14" s="2940" t="s">
        <v>218</v>
      </c>
      <c r="O14" s="2940" t="s">
        <v>240</v>
      </c>
      <c r="P14" s="2940" t="s">
        <v>213</v>
      </c>
      <c r="Q14" s="2940" t="s">
        <v>2903</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2904</v>
      </c>
      <c r="P15" s="2940" t="s">
        <v>2905</v>
      </c>
      <c r="Q15" s="2940" t="s">
        <v>242</v>
      </c>
      <c r="R15" s="2940" t="s">
        <v>2906</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2907</v>
      </c>
      <c r="P16" s="2940" t="s">
        <v>227</v>
      </c>
      <c r="Q16" s="2940" t="s">
        <v>250</v>
      </c>
      <c r="R16" s="2940" t="s">
        <v>207</v>
      </c>
      <c r="S16" s="2940" t="s">
        <v>2908</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2909</v>
      </c>
      <c r="P17" s="2940" t="s">
        <v>2910</v>
      </c>
      <c r="Q17" s="2940" t="s">
        <v>256</v>
      </c>
      <c r="R17" s="2940" t="s">
        <v>2911</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2912</v>
      </c>
      <c r="P18" s="2940" t="s">
        <v>241</v>
      </c>
      <c r="Q18" s="2940" t="s">
        <v>2913</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2914</v>
      </c>
      <c r="P19" s="2940" t="s">
        <v>249</v>
      </c>
      <c r="Q19" s="2940" t="s">
        <v>2915</v>
      </c>
      <c r="R19" s="2940" t="s">
        <v>265</v>
      </c>
      <c r="S19" s="2940" t="s">
        <v>2916</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2917</v>
      </c>
      <c r="P20" s="2940" t="s">
        <v>2918</v>
      </c>
      <c r="Q20" s="2940" t="s">
        <v>290</v>
      </c>
      <c r="R20" s="2940" t="s">
        <v>2919</v>
      </c>
      <c r="S20" s="2940" t="s">
        <v>277</v>
      </c>
    </row>
    <row r="21" spans="1:19" ht="14.25" customHeight="1" thickBot="1">
      <c r="A21" s="2940" t="s">
        <v>184</v>
      </c>
      <c r="B21" s="2941" t="s">
        <v>208</v>
      </c>
      <c r="C21" s="2940">
        <v>32370</v>
      </c>
      <c r="D21" s="2940">
        <v>26730</v>
      </c>
      <c r="E21" s="2940">
        <v>26640</v>
      </c>
      <c r="F21" s="2940"/>
      <c r="G21" s="2940">
        <v>19440</v>
      </c>
      <c r="J21" s="2947" t="s">
        <v>2920</v>
      </c>
      <c r="K21" s="2941" t="s">
        <v>267</v>
      </c>
      <c r="L21" s="2940" t="s">
        <v>268</v>
      </c>
      <c r="M21" s="2940" t="s">
        <v>269</v>
      </c>
      <c r="N21" s="2940" t="s">
        <v>270</v>
      </c>
      <c r="O21" s="2940" t="s">
        <v>264</v>
      </c>
      <c r="P21" s="2940" t="s">
        <v>283</v>
      </c>
      <c r="Q21" s="2940" t="s">
        <v>293</v>
      </c>
      <c r="R21" s="2940" t="s">
        <v>2921</v>
      </c>
      <c r="S21" s="2947" t="s">
        <v>2922</v>
      </c>
    </row>
    <row r="22" spans="1:19" ht="14.25" customHeight="1">
      <c r="A22" s="2940" t="s">
        <v>184</v>
      </c>
      <c r="B22" s="2941" t="s">
        <v>2902</v>
      </c>
      <c r="C22" s="2940">
        <v>29830</v>
      </c>
      <c r="D22" s="2940">
        <v>27600</v>
      </c>
      <c r="E22" s="2940">
        <v>28150</v>
      </c>
      <c r="F22" s="2940"/>
      <c r="G22" s="2940">
        <v>20080</v>
      </c>
      <c r="K22" s="2941" t="s">
        <v>2923</v>
      </c>
      <c r="L22" s="2940" t="s">
        <v>272</v>
      </c>
      <c r="M22" s="2940" t="s">
        <v>273</v>
      </c>
      <c r="N22" s="2940" t="s">
        <v>274</v>
      </c>
      <c r="O22" s="2940" t="s">
        <v>2924</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2925</v>
      </c>
      <c r="L23" s="2940" t="s">
        <v>278</v>
      </c>
      <c r="M23" s="2940" t="s">
        <v>279</v>
      </c>
      <c r="N23" s="2940" t="s">
        <v>2926</v>
      </c>
      <c r="O23" s="2940" t="s">
        <v>2927</v>
      </c>
      <c r="P23" s="2940" t="s">
        <v>289</v>
      </c>
      <c r="Q23" s="2940" t="s">
        <v>298</v>
      </c>
      <c r="R23" s="2940" t="s">
        <v>2928</v>
      </c>
    </row>
    <row r="24" spans="1:19" ht="14.25" customHeight="1">
      <c r="A24" s="2940" t="s">
        <v>184</v>
      </c>
      <c r="B24" s="2941" t="s">
        <v>230</v>
      </c>
      <c r="C24" s="2940">
        <v>27930</v>
      </c>
      <c r="D24" s="2940">
        <v>32260</v>
      </c>
      <c r="E24" s="2940">
        <v>32120</v>
      </c>
      <c r="F24" s="2940"/>
      <c r="G24" s="2940">
        <v>23470</v>
      </c>
      <c r="K24" s="2941" t="s">
        <v>2929</v>
      </c>
      <c r="L24" s="2940" t="s">
        <v>281</v>
      </c>
      <c r="M24" s="2940" t="s">
        <v>282</v>
      </c>
      <c r="N24" s="2940" t="s">
        <v>2930</v>
      </c>
      <c r="O24" s="2940" t="s">
        <v>285</v>
      </c>
      <c r="P24" s="2940" t="s">
        <v>2931</v>
      </c>
      <c r="Q24" s="2949" t="s">
        <v>2932</v>
      </c>
      <c r="R24" s="2940" t="s">
        <v>2933</v>
      </c>
    </row>
    <row r="25" spans="1:19" ht="14.25" customHeight="1">
      <c r="A25" s="2940" t="s">
        <v>184</v>
      </c>
      <c r="B25" s="2941" t="s">
        <v>235</v>
      </c>
      <c r="C25" s="2940">
        <v>32230</v>
      </c>
      <c r="D25" s="2940">
        <v>29640</v>
      </c>
      <c r="E25" s="2940">
        <v>29510</v>
      </c>
      <c r="F25" s="2940"/>
      <c r="G25" s="2940">
        <v>21560</v>
      </c>
      <c r="K25" s="2941" t="s">
        <v>2934</v>
      </c>
      <c r="L25" s="2940" t="s">
        <v>2935</v>
      </c>
      <c r="M25" s="2940" t="s">
        <v>284</v>
      </c>
      <c r="N25" s="2940" t="s">
        <v>292</v>
      </c>
      <c r="O25" s="2940" t="s">
        <v>288</v>
      </c>
      <c r="P25" s="2940" t="s">
        <v>275</v>
      </c>
      <c r="Q25" s="2949" t="s">
        <v>271</v>
      </c>
      <c r="R25" s="2940" t="s">
        <v>2936</v>
      </c>
    </row>
    <row r="26" spans="1:19" ht="14.25" customHeight="1" thickBot="1">
      <c r="A26" s="2940" t="s">
        <v>184</v>
      </c>
      <c r="B26" s="2941" t="s">
        <v>244</v>
      </c>
      <c r="C26" s="2940">
        <v>31690</v>
      </c>
      <c r="D26" s="2940">
        <v>27650</v>
      </c>
      <c r="E26" s="2940">
        <v>28200</v>
      </c>
      <c r="F26" s="2940"/>
      <c r="G26" s="2940">
        <v>20110</v>
      </c>
      <c r="K26" s="2946" t="s">
        <v>2937</v>
      </c>
      <c r="L26" s="2940" t="s">
        <v>2938</v>
      </c>
      <c r="M26" s="2940" t="s">
        <v>287</v>
      </c>
      <c r="N26" s="2940" t="s">
        <v>294</v>
      </c>
      <c r="O26" s="2940" t="s">
        <v>2939</v>
      </c>
      <c r="P26" s="2940" t="s">
        <v>2940</v>
      </c>
      <c r="Q26" s="2949" t="s">
        <v>276</v>
      </c>
      <c r="R26" s="2940" t="s">
        <v>2941</v>
      </c>
    </row>
    <row r="27" spans="1:19" ht="14.25" customHeight="1">
      <c r="A27" s="2940" t="s">
        <v>184</v>
      </c>
      <c r="B27" s="2941" t="s">
        <v>251</v>
      </c>
      <c r="C27" s="2940">
        <v>29610</v>
      </c>
      <c r="D27" s="2940">
        <v>27770</v>
      </c>
      <c r="E27" s="2940">
        <v>28300</v>
      </c>
      <c r="F27" s="2940"/>
      <c r="G27" s="2940">
        <v>20210</v>
      </c>
      <c r="L27" s="2940" t="s">
        <v>2942</v>
      </c>
      <c r="M27" s="2940" t="s">
        <v>291</v>
      </c>
      <c r="N27" s="2940" t="s">
        <v>297</v>
      </c>
      <c r="O27" s="2940" t="s">
        <v>2943</v>
      </c>
      <c r="P27" s="2940" t="s">
        <v>2944</v>
      </c>
      <c r="Q27" s="2940" t="s">
        <v>2945</v>
      </c>
      <c r="R27" s="2940" t="s">
        <v>2946</v>
      </c>
    </row>
    <row r="28" spans="1:19" ht="14.25" customHeight="1">
      <c r="A28" s="2940" t="s">
        <v>184</v>
      </c>
      <c r="B28" s="2941" t="s">
        <v>259</v>
      </c>
      <c r="C28" s="2940"/>
      <c r="D28" s="2940">
        <v>31520</v>
      </c>
      <c r="E28" s="2940">
        <v>31410</v>
      </c>
      <c r="F28" s="2940"/>
      <c r="G28" s="2940">
        <v>22940</v>
      </c>
      <c r="L28" s="2940" t="s">
        <v>2947</v>
      </c>
      <c r="M28" s="2940" t="s">
        <v>2948</v>
      </c>
      <c r="N28" s="2940" t="s">
        <v>2949</v>
      </c>
      <c r="O28" s="2940" t="s">
        <v>2950</v>
      </c>
      <c r="P28" s="2940" t="s">
        <v>2951</v>
      </c>
      <c r="Q28" s="2940" t="s">
        <v>2952</v>
      </c>
      <c r="R28" s="2940" t="s">
        <v>2953</v>
      </c>
    </row>
    <row r="29" spans="1:19" ht="14.25" customHeight="1" thickBot="1">
      <c r="A29" s="2948" t="s">
        <v>184</v>
      </c>
      <c r="B29" s="2950" t="s">
        <v>2920</v>
      </c>
      <c r="C29" s="2951"/>
      <c r="D29" s="2951">
        <v>29460</v>
      </c>
      <c r="E29" s="2951">
        <v>28640</v>
      </c>
      <c r="F29" s="2951"/>
      <c r="G29" s="2951">
        <v>21430</v>
      </c>
      <c r="L29" s="2940" t="s">
        <v>2954</v>
      </c>
      <c r="M29" s="2940" t="s">
        <v>2955</v>
      </c>
      <c r="N29" s="2940" t="s">
        <v>2956</v>
      </c>
      <c r="O29" s="2940" t="s">
        <v>2957</v>
      </c>
      <c r="P29" s="2940" t="s">
        <v>2958</v>
      </c>
      <c r="Q29" s="2940" t="s">
        <v>2959</v>
      </c>
      <c r="R29" s="2940" t="s">
        <v>280</v>
      </c>
    </row>
    <row r="30" spans="1:19" ht="14.25" customHeight="1">
      <c r="A30" s="2945" t="s">
        <v>296</v>
      </c>
      <c r="B30" s="2936" t="s">
        <v>2853</v>
      </c>
      <c r="C30" s="2936">
        <v>26890</v>
      </c>
      <c r="D30" s="2936">
        <v>26770</v>
      </c>
      <c r="E30" s="2936">
        <v>25700</v>
      </c>
      <c r="F30" s="2936">
        <v>8180</v>
      </c>
      <c r="G30" s="2952">
        <v>18740</v>
      </c>
      <c r="L30" s="2940" t="s">
        <v>2960</v>
      </c>
      <c r="M30" s="2940" t="s">
        <v>2961</v>
      </c>
      <c r="N30" s="2940" t="s">
        <v>2962</v>
      </c>
      <c r="O30" s="2940" t="s">
        <v>2963</v>
      </c>
      <c r="P30" s="2940" t="s">
        <v>2964</v>
      </c>
      <c r="Q30" s="2940" t="s">
        <v>2965</v>
      </c>
      <c r="R30" s="2940" t="s">
        <v>2966</v>
      </c>
    </row>
    <row r="31" spans="1:19" ht="14.25" customHeight="1">
      <c r="A31" s="2940" t="s">
        <v>296</v>
      </c>
      <c r="B31" s="2941" t="s">
        <v>129</v>
      </c>
      <c r="C31" s="2940">
        <v>24550</v>
      </c>
      <c r="D31" s="2940">
        <v>23990</v>
      </c>
      <c r="E31" s="2940">
        <v>22930</v>
      </c>
      <c r="F31" s="2940">
        <v>7470</v>
      </c>
      <c r="G31" s="2953">
        <v>16790</v>
      </c>
      <c r="L31" s="2940" t="s">
        <v>2967</v>
      </c>
      <c r="M31" s="2940" t="s">
        <v>2968</v>
      </c>
      <c r="N31" s="2940" t="s">
        <v>2969</v>
      </c>
      <c r="O31" s="2940" t="s">
        <v>2970</v>
      </c>
      <c r="P31" s="2940" t="s">
        <v>2971</v>
      </c>
      <c r="Q31" s="2940" t="s">
        <v>2972</v>
      </c>
      <c r="R31" s="2940" t="s">
        <v>2973</v>
      </c>
    </row>
    <row r="32" spans="1:19" ht="14.25" customHeight="1" thickBot="1">
      <c r="A32" s="2940" t="s">
        <v>296</v>
      </c>
      <c r="B32" s="2941" t="s">
        <v>138</v>
      </c>
      <c r="C32" s="2940">
        <v>27210</v>
      </c>
      <c r="D32" s="2940">
        <v>23240</v>
      </c>
      <c r="E32" s="2940">
        <v>23260</v>
      </c>
      <c r="F32" s="2940">
        <v>7130</v>
      </c>
      <c r="G32" s="2953">
        <v>16270</v>
      </c>
      <c r="L32" s="2940" t="s">
        <v>2974</v>
      </c>
      <c r="M32" s="2940" t="s">
        <v>2975</v>
      </c>
      <c r="N32" s="2940" t="s">
        <v>300</v>
      </c>
      <c r="O32" s="2940" t="s">
        <v>2976</v>
      </c>
      <c r="P32" s="2940" t="s">
        <v>299</v>
      </c>
      <c r="Q32" s="2940" t="s">
        <v>2977</v>
      </c>
      <c r="R32" s="2947" t="s">
        <v>2978</v>
      </c>
    </row>
    <row r="33" spans="1:17" ht="14.25" customHeight="1" thickBot="1">
      <c r="A33" s="2940" t="s">
        <v>296</v>
      </c>
      <c r="B33" s="2941" t="s">
        <v>147</v>
      </c>
      <c r="C33" s="2940">
        <v>27300</v>
      </c>
      <c r="D33" s="2940">
        <v>22980</v>
      </c>
      <c r="E33" s="2940">
        <v>24260</v>
      </c>
      <c r="F33" s="2940">
        <v>5860</v>
      </c>
      <c r="G33" s="2953">
        <v>16090</v>
      </c>
      <c r="L33" s="2947" t="s">
        <v>2979</v>
      </c>
      <c r="M33" s="2940" t="s">
        <v>2980</v>
      </c>
      <c r="N33" s="2940" t="s">
        <v>301</v>
      </c>
      <c r="O33" s="2940" t="s">
        <v>2981</v>
      </c>
      <c r="P33" s="2940" t="s">
        <v>2982</v>
      </c>
      <c r="Q33" s="2940" t="s">
        <v>2983</v>
      </c>
    </row>
    <row r="34" spans="1:17" ht="14.25" customHeight="1">
      <c r="A34" s="2940" t="s">
        <v>296</v>
      </c>
      <c r="B34" s="2941" t="s">
        <v>156</v>
      </c>
      <c r="C34" s="2940">
        <v>23090</v>
      </c>
      <c r="D34" s="2940">
        <v>23390</v>
      </c>
      <c r="E34" s="2940">
        <v>23510</v>
      </c>
      <c r="F34" s="2940">
        <v>6700</v>
      </c>
      <c r="G34" s="2953">
        <v>16370</v>
      </c>
      <c r="M34" s="2940" t="s">
        <v>2984</v>
      </c>
      <c r="N34" s="2940" t="s">
        <v>302</v>
      </c>
      <c r="O34" s="2940" t="s">
        <v>2985</v>
      </c>
      <c r="P34" s="2940" t="s">
        <v>2986</v>
      </c>
      <c r="Q34" s="2940" t="s">
        <v>2987</v>
      </c>
    </row>
    <row r="35" spans="1:17" ht="14.25" customHeight="1">
      <c r="A35" s="2940" t="s">
        <v>296</v>
      </c>
      <c r="B35" s="2941" t="s">
        <v>163</v>
      </c>
      <c r="C35" s="2940">
        <v>27270</v>
      </c>
      <c r="D35" s="2940">
        <v>24270</v>
      </c>
      <c r="E35" s="2940">
        <v>24950</v>
      </c>
      <c r="F35" s="2940">
        <v>6600</v>
      </c>
      <c r="G35" s="2953">
        <v>16990</v>
      </c>
      <c r="M35" s="2940" t="s">
        <v>2988</v>
      </c>
      <c r="N35" s="2940" t="s">
        <v>2989</v>
      </c>
      <c r="O35" s="2940" t="s">
        <v>2990</v>
      </c>
      <c r="P35" s="2940" t="s">
        <v>2991</v>
      </c>
      <c r="Q35" s="2940" t="s">
        <v>2992</v>
      </c>
    </row>
    <row r="36" spans="1:17" ht="14.25" customHeight="1">
      <c r="A36" s="2940" t="s">
        <v>296</v>
      </c>
      <c r="B36" s="2941" t="s">
        <v>169</v>
      </c>
      <c r="C36" s="2940">
        <v>23490</v>
      </c>
      <c r="D36" s="2940">
        <v>23020</v>
      </c>
      <c r="E36" s="2940">
        <v>25230</v>
      </c>
      <c r="F36" s="2940">
        <v>6780</v>
      </c>
      <c r="G36" s="2953">
        <v>16120</v>
      </c>
      <c r="M36" s="2940" t="s">
        <v>2993</v>
      </c>
      <c r="N36" s="2940" t="s">
        <v>2994</v>
      </c>
      <c r="O36" s="2940" t="s">
        <v>2995</v>
      </c>
      <c r="P36" s="2940" t="s">
        <v>2996</v>
      </c>
      <c r="Q36" s="2940" t="s">
        <v>2997</v>
      </c>
    </row>
    <row r="37" spans="1:17" ht="14.25" customHeight="1">
      <c r="A37" s="2940" t="s">
        <v>296</v>
      </c>
      <c r="B37" s="2941" t="s">
        <v>176</v>
      </c>
      <c r="C37" s="2940">
        <v>24380</v>
      </c>
      <c r="D37" s="2940">
        <v>22240</v>
      </c>
      <c r="E37" s="2940">
        <v>25980</v>
      </c>
      <c r="F37" s="2940">
        <v>8160</v>
      </c>
      <c r="G37" s="2953">
        <v>15570</v>
      </c>
      <c r="M37" s="2940" t="s">
        <v>2998</v>
      </c>
      <c r="N37" s="2940" t="s">
        <v>2999</v>
      </c>
      <c r="O37" s="2940" t="s">
        <v>3000</v>
      </c>
      <c r="P37" s="2940" t="s">
        <v>3001</v>
      </c>
      <c r="Q37" s="2940" t="s">
        <v>3002</v>
      </c>
    </row>
    <row r="38" spans="1:17" ht="14.25" customHeight="1">
      <c r="A38" s="2940" t="s">
        <v>296</v>
      </c>
      <c r="B38" s="2941" t="s">
        <v>186</v>
      </c>
      <c r="C38" s="2940">
        <v>23120</v>
      </c>
      <c r="D38" s="2940">
        <v>24630</v>
      </c>
      <c r="E38" s="2940">
        <v>25030</v>
      </c>
      <c r="F38" s="2940">
        <v>7710</v>
      </c>
      <c r="G38" s="2953">
        <v>17240</v>
      </c>
      <c r="M38" s="2940" t="s">
        <v>3003</v>
      </c>
      <c r="N38" s="2940" t="s">
        <v>3004</v>
      </c>
      <c r="O38" s="2940" t="s">
        <v>3005</v>
      </c>
      <c r="P38" s="2940" t="s">
        <v>3006</v>
      </c>
      <c r="Q38" s="2940" t="s">
        <v>3007</v>
      </c>
    </row>
    <row r="39" spans="1:17" ht="14.25" customHeight="1">
      <c r="A39" s="2940" t="s">
        <v>296</v>
      </c>
      <c r="B39" s="2941" t="s">
        <v>195</v>
      </c>
      <c r="C39" s="2940">
        <v>22330</v>
      </c>
      <c r="D39" s="2940">
        <v>21140</v>
      </c>
      <c r="E39" s="2940">
        <v>23970</v>
      </c>
      <c r="F39" s="2940">
        <v>7940</v>
      </c>
      <c r="G39" s="2953">
        <v>14790</v>
      </c>
      <c r="M39" s="2940" t="s">
        <v>3008</v>
      </c>
      <c r="N39" s="2940" t="s">
        <v>3009</v>
      </c>
      <c r="O39" s="2940" t="s">
        <v>3010</v>
      </c>
      <c r="P39" s="2940" t="s">
        <v>3011</v>
      </c>
      <c r="Q39" s="2940" t="s">
        <v>3012</v>
      </c>
    </row>
    <row r="40" spans="1:17" ht="14.25" customHeight="1">
      <c r="A40" s="2940" t="s">
        <v>296</v>
      </c>
      <c r="B40" s="2941" t="s">
        <v>202</v>
      </c>
      <c r="C40" s="2940">
        <v>24740</v>
      </c>
      <c r="D40" s="2940">
        <v>24690</v>
      </c>
      <c r="E40" s="2940">
        <v>22610</v>
      </c>
      <c r="F40" s="2940"/>
      <c r="G40" s="2953">
        <v>17280</v>
      </c>
      <c r="M40" s="2940" t="s">
        <v>3013</v>
      </c>
      <c r="N40" s="2940" t="s">
        <v>3014</v>
      </c>
      <c r="O40" s="2940" t="s">
        <v>3015</v>
      </c>
      <c r="P40" s="2940" t="s">
        <v>3016</v>
      </c>
      <c r="Q40" s="2940" t="s">
        <v>3017</v>
      </c>
    </row>
    <row r="41" spans="1:17" ht="14.25" customHeight="1" thickBot="1">
      <c r="A41" s="2940" t="s">
        <v>296</v>
      </c>
      <c r="B41" s="2941" t="s">
        <v>209</v>
      </c>
      <c r="C41" s="2940">
        <v>21220</v>
      </c>
      <c r="D41" s="2940">
        <v>21120</v>
      </c>
      <c r="E41" s="2940">
        <v>22590</v>
      </c>
      <c r="F41" s="2940"/>
      <c r="G41" s="2953">
        <v>14780</v>
      </c>
      <c r="M41" s="2947" t="s">
        <v>3018</v>
      </c>
      <c r="N41" s="2940" t="s">
        <v>3019</v>
      </c>
      <c r="O41" s="2940" t="s">
        <v>3020</v>
      </c>
      <c r="P41" s="2940" t="s">
        <v>3021</v>
      </c>
      <c r="Q41" s="2940" t="s">
        <v>3022</v>
      </c>
    </row>
    <row r="42" spans="1:17" ht="14.25" customHeight="1">
      <c r="A42" s="2940" t="s">
        <v>296</v>
      </c>
      <c r="B42" s="2941" t="s">
        <v>215</v>
      </c>
      <c r="C42" s="2940">
        <v>24800</v>
      </c>
      <c r="D42" s="2940">
        <v>22280</v>
      </c>
      <c r="E42" s="2940">
        <v>24350</v>
      </c>
      <c r="F42" s="2940"/>
      <c r="G42" s="2953">
        <v>15590</v>
      </c>
      <c r="N42" s="2940" t="s">
        <v>3023</v>
      </c>
      <c r="O42" s="2940" t="s">
        <v>3024</v>
      </c>
      <c r="P42" s="2940" t="s">
        <v>3025</v>
      </c>
      <c r="Q42" s="2940" t="s">
        <v>3026</v>
      </c>
    </row>
    <row r="43" spans="1:17" ht="14.25" customHeight="1">
      <c r="A43" s="2940" t="s">
        <v>3027</v>
      </c>
      <c r="B43" s="2941" t="s">
        <v>223</v>
      </c>
      <c r="C43" s="2940">
        <v>21210</v>
      </c>
      <c r="D43" s="2940">
        <v>21160</v>
      </c>
      <c r="E43" s="2940">
        <v>22650</v>
      </c>
      <c r="F43" s="2940"/>
      <c r="G43" s="2953">
        <v>14800</v>
      </c>
      <c r="N43" s="2940" t="s">
        <v>3028</v>
      </c>
      <c r="O43" s="2940" t="s">
        <v>3029</v>
      </c>
      <c r="P43" s="2940" t="s">
        <v>3030</v>
      </c>
      <c r="Q43" s="2940" t="s">
        <v>3031</v>
      </c>
    </row>
    <row r="44" spans="1:17" ht="14.25" customHeight="1" thickBot="1">
      <c r="A44" s="2940" t="s">
        <v>296</v>
      </c>
      <c r="B44" s="2941" t="s">
        <v>231</v>
      </c>
      <c r="C44" s="2940">
        <v>22370</v>
      </c>
      <c r="D44" s="2940">
        <v>23140</v>
      </c>
      <c r="E44" s="2940">
        <v>25090</v>
      </c>
      <c r="F44" s="2940"/>
      <c r="G44" s="2953">
        <v>16190</v>
      </c>
      <c r="N44" s="2940" t="s">
        <v>3032</v>
      </c>
      <c r="O44" s="2940" t="s">
        <v>3033</v>
      </c>
      <c r="P44" s="2947" t="s">
        <v>3034</v>
      </c>
      <c r="Q44" s="2940" t="s">
        <v>3035</v>
      </c>
    </row>
    <row r="45" spans="1:17" ht="14.25" customHeight="1" thickBot="1">
      <c r="A45" s="2940" t="s">
        <v>296</v>
      </c>
      <c r="B45" s="2941" t="s">
        <v>236</v>
      </c>
      <c r="C45" s="2940">
        <v>21240</v>
      </c>
      <c r="D45" s="2940">
        <v>27050</v>
      </c>
      <c r="E45" s="2940">
        <v>28000</v>
      </c>
      <c r="F45" s="2940"/>
      <c r="G45" s="2953">
        <v>18940</v>
      </c>
      <c r="N45" s="2940" t="s">
        <v>3036</v>
      </c>
      <c r="O45" s="2947" t="s">
        <v>3037</v>
      </c>
      <c r="Q45" s="2940" t="s">
        <v>3038</v>
      </c>
    </row>
    <row r="46" spans="1:17" ht="14.25" customHeight="1">
      <c r="A46" s="2940" t="s">
        <v>296</v>
      </c>
      <c r="B46" s="2941" t="s">
        <v>245</v>
      </c>
      <c r="C46" s="2940">
        <v>23240</v>
      </c>
      <c r="D46" s="2940">
        <v>23000</v>
      </c>
      <c r="E46" s="2940">
        <v>24980</v>
      </c>
      <c r="F46" s="2940"/>
      <c r="G46" s="2953">
        <v>16100</v>
      </c>
      <c r="N46" s="2940" t="s">
        <v>3039</v>
      </c>
      <c r="Q46" s="2940" t="s">
        <v>3040</v>
      </c>
    </row>
    <row r="47" spans="1:17" ht="14.25" customHeight="1">
      <c r="A47" s="2940" t="s">
        <v>296</v>
      </c>
      <c r="B47" s="2941" t="s">
        <v>252</v>
      </c>
      <c r="C47" s="2940">
        <v>27150</v>
      </c>
      <c r="D47" s="2940">
        <v>23310</v>
      </c>
      <c r="E47" s="2940">
        <v>25150</v>
      </c>
      <c r="F47" s="2940"/>
      <c r="G47" s="2953">
        <v>16310</v>
      </c>
      <c r="N47" s="2940" t="s">
        <v>3041</v>
      </c>
      <c r="Q47" s="2940" t="s">
        <v>3042</v>
      </c>
    </row>
    <row r="48" spans="1:17" ht="14.25" customHeight="1">
      <c r="A48" s="2940" t="s">
        <v>296</v>
      </c>
      <c r="B48" s="2941" t="s">
        <v>260</v>
      </c>
      <c r="C48" s="2940">
        <v>23100</v>
      </c>
      <c r="D48" s="2940">
        <v>21110</v>
      </c>
      <c r="E48" s="2940">
        <v>23080</v>
      </c>
      <c r="F48" s="2940"/>
      <c r="G48" s="2953">
        <v>14780</v>
      </c>
      <c r="N48" s="2940" t="s">
        <v>3043</v>
      </c>
      <c r="Q48" s="2940" t="s">
        <v>3044</v>
      </c>
    </row>
    <row r="49" spans="1:17" ht="14.25" customHeight="1">
      <c r="A49" s="2940" t="s">
        <v>296</v>
      </c>
      <c r="B49" s="2941" t="s">
        <v>267</v>
      </c>
      <c r="C49" s="2940">
        <v>23400</v>
      </c>
      <c r="D49" s="2940">
        <v>22920</v>
      </c>
      <c r="E49" s="2940">
        <v>24900</v>
      </c>
      <c r="F49" s="2940"/>
      <c r="G49" s="2953">
        <v>16040</v>
      </c>
      <c r="N49" s="2940" t="s">
        <v>3045</v>
      </c>
      <c r="Q49" s="2940" t="s">
        <v>3046</v>
      </c>
    </row>
    <row r="50" spans="1:17" ht="14.25" customHeight="1">
      <c r="A50" s="2940" t="s">
        <v>296</v>
      </c>
      <c r="B50" s="2941" t="s">
        <v>2923</v>
      </c>
      <c r="C50" s="2940">
        <v>21200</v>
      </c>
      <c r="D50" s="2940">
        <v>26540</v>
      </c>
      <c r="E50" s="2940">
        <v>23200</v>
      </c>
      <c r="F50" s="2940"/>
      <c r="G50" s="2953">
        <v>18580</v>
      </c>
      <c r="N50" s="2940" t="s">
        <v>3047</v>
      </c>
      <c r="Q50" s="2941" t="s">
        <v>3048</v>
      </c>
    </row>
    <row r="51" spans="1:17" ht="14.25" customHeight="1" thickBot="1">
      <c r="A51" s="2940" t="s">
        <v>296</v>
      </c>
      <c r="B51" s="2941" t="s">
        <v>2925</v>
      </c>
      <c r="C51" s="2940">
        <v>23000</v>
      </c>
      <c r="D51" s="2940">
        <v>23460</v>
      </c>
      <c r="E51" s="2940">
        <v>25290</v>
      </c>
      <c r="F51" s="2940"/>
      <c r="G51" s="2953">
        <v>16420</v>
      </c>
      <c r="N51" s="2940" t="s">
        <v>3049</v>
      </c>
      <c r="Q51" s="2947" t="s">
        <v>3050</v>
      </c>
    </row>
    <row r="52" spans="1:17" ht="14.25" customHeight="1">
      <c r="A52" s="2940" t="s">
        <v>296</v>
      </c>
      <c r="B52" s="2941" t="s">
        <v>2929</v>
      </c>
      <c r="C52" s="2940">
        <v>26660</v>
      </c>
      <c r="D52" s="2940">
        <v>22350</v>
      </c>
      <c r="E52" s="2940">
        <v>22920</v>
      </c>
      <c r="F52" s="2940"/>
      <c r="G52" s="2953">
        <v>15640</v>
      </c>
      <c r="N52" s="2940" t="s">
        <v>3051</v>
      </c>
    </row>
    <row r="53" spans="1:17" ht="14.25" customHeight="1">
      <c r="A53" s="2940" t="s">
        <v>296</v>
      </c>
      <c r="B53" s="2941" t="s">
        <v>2934</v>
      </c>
      <c r="C53" s="2940">
        <v>23580</v>
      </c>
      <c r="D53" s="2940"/>
      <c r="E53" s="2940">
        <v>24280</v>
      </c>
      <c r="F53" s="2940"/>
      <c r="G53" s="2953"/>
      <c r="N53" s="2940" t="s">
        <v>3052</v>
      </c>
    </row>
    <row r="54" spans="1:17" ht="14.25" customHeight="1" thickBot="1">
      <c r="A54" s="2954" t="s">
        <v>296</v>
      </c>
      <c r="B54" s="2946" t="s">
        <v>2937</v>
      </c>
      <c r="C54" s="2947">
        <v>22460</v>
      </c>
      <c r="D54" s="2947"/>
      <c r="E54" s="2947"/>
      <c r="F54" s="2947"/>
      <c r="G54" s="2955"/>
      <c r="N54" s="2940" t="s">
        <v>3053</v>
      </c>
    </row>
    <row r="55" spans="1:17" ht="14.25" customHeight="1">
      <c r="A55" s="2945" t="s">
        <v>110</v>
      </c>
      <c r="B55" s="2936" t="s">
        <v>3054</v>
      </c>
      <c r="C55" s="2940">
        <v>21970</v>
      </c>
      <c r="D55" s="2940">
        <v>20370</v>
      </c>
      <c r="E55" s="2940">
        <v>20180</v>
      </c>
      <c r="F55" s="2940">
        <v>5730</v>
      </c>
      <c r="G55" s="2940">
        <v>13820</v>
      </c>
      <c r="N55" s="2940" t="s">
        <v>3055</v>
      </c>
    </row>
    <row r="56" spans="1:17" ht="14.25" customHeight="1">
      <c r="A56" s="2940" t="s">
        <v>110</v>
      </c>
      <c r="B56" s="2940" t="s">
        <v>130</v>
      </c>
      <c r="C56" s="2940">
        <v>20470</v>
      </c>
      <c r="D56" s="2940">
        <v>20700</v>
      </c>
      <c r="E56" s="2940">
        <v>20380</v>
      </c>
      <c r="F56" s="2940">
        <v>4760</v>
      </c>
      <c r="G56" s="2940">
        <v>14050</v>
      </c>
      <c r="N56" s="2940" t="s">
        <v>3056</v>
      </c>
    </row>
    <row r="57" spans="1:17" ht="14.25" customHeight="1">
      <c r="A57" s="2940" t="s">
        <v>110</v>
      </c>
      <c r="B57" s="2940" t="s">
        <v>139</v>
      </c>
      <c r="C57" s="2940">
        <v>20790</v>
      </c>
      <c r="D57" s="2940">
        <v>21370</v>
      </c>
      <c r="E57" s="2940">
        <v>20890</v>
      </c>
      <c r="F57" s="2940">
        <v>4910</v>
      </c>
      <c r="G57" s="2940">
        <v>14510</v>
      </c>
      <c r="N57" s="2940" t="s">
        <v>3057</v>
      </c>
    </row>
    <row r="58" spans="1:17" ht="14.25" customHeight="1">
      <c r="A58" s="2940" t="s">
        <v>110</v>
      </c>
      <c r="B58" s="2940" t="s">
        <v>148</v>
      </c>
      <c r="C58" s="2940">
        <v>21460</v>
      </c>
      <c r="D58" s="2940">
        <v>20920</v>
      </c>
      <c r="E58" s="2940">
        <v>23410</v>
      </c>
      <c r="F58" s="2940">
        <v>5100</v>
      </c>
      <c r="G58" s="2940">
        <v>14200</v>
      </c>
      <c r="N58" s="2940" t="s">
        <v>3058</v>
      </c>
    </row>
    <row r="59" spans="1:17" ht="14.25" customHeight="1">
      <c r="A59" s="2940" t="s">
        <v>110</v>
      </c>
      <c r="B59" s="2940" t="s">
        <v>157</v>
      </c>
      <c r="C59" s="2940">
        <v>21000</v>
      </c>
      <c r="D59" s="2940">
        <v>21550</v>
      </c>
      <c r="E59" s="2940">
        <v>21150</v>
      </c>
      <c r="F59" s="2940">
        <v>5250</v>
      </c>
      <c r="G59" s="2940">
        <v>14630</v>
      </c>
      <c r="N59" s="2940" t="s">
        <v>3059</v>
      </c>
    </row>
    <row r="60" spans="1:17" ht="14.25" customHeight="1">
      <c r="A60" s="2940" t="s">
        <v>110</v>
      </c>
      <c r="B60" s="2940" t="s">
        <v>164</v>
      </c>
      <c r="C60" s="2940">
        <v>21640</v>
      </c>
      <c r="D60" s="2940">
        <v>21260</v>
      </c>
      <c r="E60" s="2940">
        <v>24040</v>
      </c>
      <c r="F60" s="2940">
        <v>4470</v>
      </c>
      <c r="G60" s="2940">
        <v>14430</v>
      </c>
      <c r="N60" s="2940" t="s">
        <v>3060</v>
      </c>
    </row>
    <row r="61" spans="1:17" ht="14.25" customHeight="1">
      <c r="A61" s="2940" t="s">
        <v>110</v>
      </c>
      <c r="B61" s="2940" t="s">
        <v>170</v>
      </c>
      <c r="C61" s="2940">
        <v>21330</v>
      </c>
      <c r="D61" s="2940">
        <v>18640</v>
      </c>
      <c r="E61" s="2940">
        <v>21190</v>
      </c>
      <c r="F61" s="2940">
        <v>4180</v>
      </c>
      <c r="G61" s="2940">
        <v>12650</v>
      </c>
      <c r="N61" s="2940" t="s">
        <v>3061</v>
      </c>
    </row>
    <row r="62" spans="1:17" ht="14.25" customHeight="1">
      <c r="A62" s="2940" t="s">
        <v>110</v>
      </c>
      <c r="B62" s="2940" t="s">
        <v>177</v>
      </c>
      <c r="C62" s="2940">
        <v>18710</v>
      </c>
      <c r="D62" s="2940">
        <v>19400</v>
      </c>
      <c r="E62" s="2940">
        <v>23750</v>
      </c>
      <c r="F62" s="2940">
        <v>4860</v>
      </c>
      <c r="G62" s="2940">
        <v>13170</v>
      </c>
      <c r="N62" s="2940" t="s">
        <v>3062</v>
      </c>
    </row>
    <row r="63" spans="1:17" ht="14.25" customHeight="1">
      <c r="A63" s="2940" t="s">
        <v>110</v>
      </c>
      <c r="B63" s="2940" t="s">
        <v>187</v>
      </c>
      <c r="C63" s="2940">
        <v>19480</v>
      </c>
      <c r="D63" s="2940">
        <v>16830</v>
      </c>
      <c r="E63" s="2940">
        <v>21590</v>
      </c>
      <c r="F63" s="2940">
        <v>4560</v>
      </c>
      <c r="G63" s="2940">
        <v>11420</v>
      </c>
      <c r="N63" s="2940" t="s">
        <v>3063</v>
      </c>
    </row>
    <row r="64" spans="1:17" ht="14.25" customHeight="1" thickBot="1">
      <c r="A64" s="2940" t="s">
        <v>110</v>
      </c>
      <c r="B64" s="2940" t="s">
        <v>196</v>
      </c>
      <c r="C64" s="2940">
        <v>16920</v>
      </c>
      <c r="D64" s="2940">
        <v>19190</v>
      </c>
      <c r="E64" s="2940">
        <v>22200</v>
      </c>
      <c r="F64" s="2940">
        <v>4390</v>
      </c>
      <c r="G64" s="2940">
        <v>13030</v>
      </c>
      <c r="N64" s="2947" t="s">
        <v>3064</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2935</v>
      </c>
      <c r="C78" s="2940">
        <v>19820</v>
      </c>
      <c r="D78" s="2940">
        <v>19780</v>
      </c>
      <c r="E78" s="2940">
        <v>18560</v>
      </c>
      <c r="F78" s="2940"/>
      <c r="G78" s="2940">
        <v>13430</v>
      </c>
    </row>
    <row r="79" spans="1:7" s="2774" customFormat="1" ht="14.25" customHeight="1">
      <c r="A79" s="2940" t="s">
        <v>110</v>
      </c>
      <c r="B79" s="2940" t="s">
        <v>2938</v>
      </c>
      <c r="C79" s="2940">
        <v>21660</v>
      </c>
      <c r="D79" s="2940">
        <v>18000</v>
      </c>
      <c r="E79" s="2940">
        <v>22570</v>
      </c>
      <c r="F79" s="2940"/>
      <c r="G79" s="2940">
        <v>12220</v>
      </c>
    </row>
    <row r="80" spans="1:7" s="2774" customFormat="1" ht="14.25" customHeight="1">
      <c r="A80" s="2940" t="s">
        <v>110</v>
      </c>
      <c r="B80" s="2940" t="s">
        <v>2942</v>
      </c>
      <c r="C80" s="2940">
        <v>19850</v>
      </c>
      <c r="D80" s="2940"/>
      <c r="E80" s="2940">
        <v>21700</v>
      </c>
      <c r="F80" s="2940"/>
      <c r="G80" s="2940"/>
    </row>
    <row r="81" spans="1:7" s="2774" customFormat="1" ht="14.25" customHeight="1">
      <c r="A81" s="2940" t="s">
        <v>110</v>
      </c>
      <c r="B81" s="2940" t="s">
        <v>2947</v>
      </c>
      <c r="C81" s="2940">
        <v>18080</v>
      </c>
      <c r="D81" s="2940"/>
      <c r="E81" s="2940">
        <v>20900</v>
      </c>
      <c r="F81" s="2940"/>
      <c r="G81" s="2940"/>
    </row>
    <row r="82" spans="1:7" s="2774" customFormat="1" ht="14.25" customHeight="1">
      <c r="A82" s="2940" t="s">
        <v>110</v>
      </c>
      <c r="B82" s="2940" t="s">
        <v>2954</v>
      </c>
      <c r="C82" s="2940"/>
      <c r="D82" s="2940"/>
      <c r="E82" s="2940">
        <v>20840</v>
      </c>
      <c r="F82" s="2940"/>
      <c r="G82" s="2940"/>
    </row>
    <row r="83" spans="1:7" s="2774" customFormat="1" ht="14.25" customHeight="1">
      <c r="A83" s="2940" t="s">
        <v>110</v>
      </c>
      <c r="B83" s="2940" t="s">
        <v>3065</v>
      </c>
      <c r="C83" s="2940"/>
      <c r="D83" s="2940"/>
      <c r="E83" s="2940"/>
      <c r="F83" s="2940">
        <v>4770</v>
      </c>
      <c r="G83" s="2940"/>
    </row>
    <row r="84" spans="1:7" s="2774" customFormat="1" ht="14.25" customHeight="1">
      <c r="A84" s="2940" t="s">
        <v>110</v>
      </c>
      <c r="B84" s="2940" t="s">
        <v>3066</v>
      </c>
      <c r="C84" s="2940"/>
      <c r="D84" s="2940"/>
      <c r="E84" s="2940"/>
      <c r="F84" s="2940">
        <v>4600</v>
      </c>
      <c r="G84" s="2940"/>
    </row>
    <row r="85" spans="1:7" s="2774" customFormat="1" ht="14.25" customHeight="1">
      <c r="A85" s="2940" t="s">
        <v>110</v>
      </c>
      <c r="B85" s="2940" t="s">
        <v>3067</v>
      </c>
      <c r="C85" s="2940"/>
      <c r="D85" s="2940"/>
      <c r="E85" s="2940"/>
      <c r="F85" s="2940">
        <v>4680</v>
      </c>
      <c r="G85" s="2940"/>
    </row>
    <row r="86" spans="1:7" s="2774" customFormat="1" ht="14.25" customHeight="1" thickBot="1">
      <c r="A86" s="2948" t="s">
        <v>110</v>
      </c>
      <c r="B86" s="2950" t="s">
        <v>3068</v>
      </c>
      <c r="C86" s="2951">
        <v>16610</v>
      </c>
      <c r="D86" s="2951">
        <v>16540</v>
      </c>
      <c r="E86" s="2951">
        <v>18850</v>
      </c>
      <c r="F86" s="2951"/>
      <c r="G86" s="2951">
        <v>11220</v>
      </c>
    </row>
    <row r="87" spans="1:7" s="2774" customFormat="1" ht="14.25" customHeight="1">
      <c r="A87" s="2945" t="s">
        <v>303</v>
      </c>
      <c r="B87" s="2936" t="s">
        <v>3069</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2948</v>
      </c>
      <c r="C113" s="2940">
        <v>15520</v>
      </c>
      <c r="D113" s="2940">
        <v>15450</v>
      </c>
      <c r="E113" s="2940"/>
      <c r="F113" s="2940"/>
      <c r="G113" s="2953">
        <v>10210</v>
      </c>
    </row>
    <row r="114" spans="1:7" s="2774" customFormat="1" ht="14.25" customHeight="1">
      <c r="A114" s="2940" t="s">
        <v>303</v>
      </c>
      <c r="B114" s="2940" t="s">
        <v>2955</v>
      </c>
      <c r="C114" s="2940">
        <v>13110</v>
      </c>
      <c r="D114" s="2940">
        <v>13050</v>
      </c>
      <c r="E114" s="2940"/>
      <c r="F114" s="2940"/>
      <c r="G114" s="2953">
        <v>8620</v>
      </c>
    </row>
    <row r="115" spans="1:7" s="2774" customFormat="1" ht="14.25" customHeight="1">
      <c r="A115" s="2940" t="s">
        <v>303</v>
      </c>
      <c r="B115" s="2940" t="s">
        <v>2961</v>
      </c>
      <c r="C115" s="2940">
        <v>12460</v>
      </c>
      <c r="D115" s="2940">
        <v>12390</v>
      </c>
      <c r="E115" s="2940"/>
      <c r="F115" s="2940"/>
      <c r="G115" s="2953">
        <v>8190</v>
      </c>
    </row>
    <row r="116" spans="1:7" s="2774" customFormat="1" ht="14.25" customHeight="1">
      <c r="A116" s="2940" t="s">
        <v>303</v>
      </c>
      <c r="B116" s="2940" t="s">
        <v>2968</v>
      </c>
      <c r="C116" s="2940">
        <v>13580</v>
      </c>
      <c r="D116" s="2940">
        <v>13520</v>
      </c>
      <c r="E116" s="2940"/>
      <c r="F116" s="2940"/>
      <c r="G116" s="2953">
        <v>8930</v>
      </c>
    </row>
    <row r="117" spans="1:7" s="2774" customFormat="1" ht="14.25" customHeight="1">
      <c r="A117" s="2940" t="s">
        <v>303</v>
      </c>
      <c r="B117" s="2940" t="s">
        <v>2975</v>
      </c>
      <c r="C117" s="2940">
        <v>17120</v>
      </c>
      <c r="D117" s="2940">
        <v>17040</v>
      </c>
      <c r="E117" s="2940"/>
      <c r="F117" s="2940"/>
      <c r="G117" s="2953">
        <v>11260</v>
      </c>
    </row>
    <row r="118" spans="1:7" s="2774" customFormat="1" ht="14.25" customHeight="1">
      <c r="A118" s="2940" t="s">
        <v>303</v>
      </c>
      <c r="B118" s="2940" t="s">
        <v>2980</v>
      </c>
      <c r="C118" s="2940">
        <v>14860</v>
      </c>
      <c r="D118" s="2940">
        <v>14790</v>
      </c>
      <c r="E118" s="2940"/>
      <c r="F118" s="2940"/>
      <c r="G118" s="2953">
        <v>9780</v>
      </c>
    </row>
    <row r="119" spans="1:7" s="2774" customFormat="1" ht="14.25" customHeight="1">
      <c r="A119" s="2940" t="s">
        <v>303</v>
      </c>
      <c r="B119" s="2940" t="s">
        <v>2984</v>
      </c>
      <c r="C119" s="2940">
        <v>16470</v>
      </c>
      <c r="D119" s="2940">
        <v>16400</v>
      </c>
      <c r="E119" s="2940"/>
      <c r="F119" s="2940"/>
      <c r="G119" s="2953">
        <v>10840</v>
      </c>
    </row>
    <row r="120" spans="1:7" s="2774" customFormat="1" ht="14.25" customHeight="1">
      <c r="A120" s="2940" t="s">
        <v>303</v>
      </c>
      <c r="B120" s="2940" t="s">
        <v>3070</v>
      </c>
      <c r="C120" s="2940"/>
      <c r="D120" s="2940"/>
      <c r="E120" s="2940"/>
      <c r="F120" s="2940">
        <v>4160</v>
      </c>
      <c r="G120" s="2953"/>
    </row>
    <row r="121" spans="1:7" s="2774" customFormat="1" ht="14.25" customHeight="1">
      <c r="A121" s="2940" t="s">
        <v>303</v>
      </c>
      <c r="B121" s="2940" t="s">
        <v>3071</v>
      </c>
      <c r="C121" s="2940"/>
      <c r="D121" s="2940"/>
      <c r="E121" s="2940"/>
      <c r="F121" s="2940">
        <v>3880</v>
      </c>
      <c r="G121" s="2953"/>
    </row>
    <row r="122" spans="1:7" s="2774" customFormat="1" ht="14.25" customHeight="1">
      <c r="A122" s="2940" t="s">
        <v>303</v>
      </c>
      <c r="B122" s="2940" t="s">
        <v>3072</v>
      </c>
      <c r="C122" s="2940">
        <v>13750</v>
      </c>
      <c r="D122" s="2940">
        <v>13680</v>
      </c>
      <c r="E122" s="2940">
        <v>16460</v>
      </c>
      <c r="F122" s="2940">
        <v>2880</v>
      </c>
      <c r="G122" s="2953">
        <v>9040</v>
      </c>
    </row>
    <row r="123" spans="1:7" s="2774" customFormat="1" ht="14.25" customHeight="1">
      <c r="A123" s="2940" t="s">
        <v>303</v>
      </c>
      <c r="B123" s="2940" t="s">
        <v>3003</v>
      </c>
      <c r="C123" s="2940">
        <v>13590</v>
      </c>
      <c r="D123" s="2940">
        <v>13520</v>
      </c>
      <c r="E123" s="2940">
        <v>16290</v>
      </c>
      <c r="F123" s="2940">
        <v>2790</v>
      </c>
      <c r="G123" s="2953">
        <v>8930</v>
      </c>
    </row>
    <row r="124" spans="1:7" s="2774" customFormat="1" ht="14.25" customHeight="1">
      <c r="A124" s="2940" t="s">
        <v>303</v>
      </c>
      <c r="B124" s="2940" t="s">
        <v>3008</v>
      </c>
      <c r="C124" s="2940">
        <v>13400</v>
      </c>
      <c r="D124" s="2940">
        <v>13320</v>
      </c>
      <c r="E124" s="2940">
        <v>16100</v>
      </c>
      <c r="F124" s="2940">
        <v>2320</v>
      </c>
      <c r="G124" s="2953">
        <v>8800</v>
      </c>
    </row>
    <row r="125" spans="1:7" s="2774" customFormat="1" ht="14.25" customHeight="1">
      <c r="A125" s="2940" t="s">
        <v>303</v>
      </c>
      <c r="B125" s="2940" t="s">
        <v>3013</v>
      </c>
      <c r="C125" s="2940">
        <v>12860</v>
      </c>
      <c r="D125" s="2940">
        <v>12790</v>
      </c>
      <c r="E125" s="2940">
        <v>15370</v>
      </c>
      <c r="F125" s="2940">
        <v>2280</v>
      </c>
      <c r="G125" s="2953">
        <v>8450</v>
      </c>
    </row>
    <row r="126" spans="1:7" s="2774" customFormat="1" ht="14.25" customHeight="1" thickBot="1">
      <c r="A126" s="2954" t="s">
        <v>303</v>
      </c>
      <c r="B126" s="2947" t="s">
        <v>3018</v>
      </c>
      <c r="C126" s="2947">
        <v>12960</v>
      </c>
      <c r="D126" s="2947">
        <v>12890</v>
      </c>
      <c r="E126" s="2947">
        <v>15530</v>
      </c>
      <c r="F126" s="2947">
        <v>2910</v>
      </c>
      <c r="G126" s="2955">
        <v>8520</v>
      </c>
    </row>
    <row r="127" spans="1:7" s="2774" customFormat="1" ht="14.25" customHeight="1">
      <c r="A127" s="2945" t="s">
        <v>29</v>
      </c>
      <c r="B127" s="2936" t="s">
        <v>3073</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3074</v>
      </c>
      <c r="C148" s="2940">
        <v>10370</v>
      </c>
      <c r="D148" s="2940">
        <v>10310</v>
      </c>
      <c r="E148" s="2940">
        <v>12970</v>
      </c>
      <c r="F148" s="2940"/>
      <c r="G148" s="2940">
        <v>6630</v>
      </c>
    </row>
    <row r="149" spans="1:7" s="2774" customFormat="1" ht="14.25" customHeight="1">
      <c r="A149" s="2940" t="s">
        <v>29</v>
      </c>
      <c r="B149" s="2940" t="s">
        <v>3075</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2949</v>
      </c>
      <c r="C153" s="2940">
        <v>10880</v>
      </c>
      <c r="D153" s="2940">
        <v>10820</v>
      </c>
      <c r="E153" s="2940">
        <v>13660</v>
      </c>
      <c r="F153" s="2940">
        <v>2260</v>
      </c>
      <c r="G153" s="2940">
        <v>6970</v>
      </c>
    </row>
    <row r="154" spans="1:7" s="2774" customFormat="1" ht="14.25" customHeight="1">
      <c r="A154" s="2940" t="s">
        <v>29</v>
      </c>
      <c r="B154" s="2940" t="s">
        <v>3076</v>
      </c>
      <c r="C154" s="2940">
        <v>11220</v>
      </c>
      <c r="D154" s="2940">
        <v>11160</v>
      </c>
      <c r="E154" s="2940">
        <v>14130</v>
      </c>
      <c r="F154" s="2940">
        <v>2230</v>
      </c>
      <c r="G154" s="2940">
        <v>7180</v>
      </c>
    </row>
    <row r="155" spans="1:7" s="2774" customFormat="1" ht="14.25" customHeight="1">
      <c r="A155" s="2940" t="s">
        <v>29</v>
      </c>
      <c r="B155" s="2940" t="s">
        <v>2962</v>
      </c>
      <c r="C155" s="2940">
        <v>10430</v>
      </c>
      <c r="D155" s="2940">
        <v>10380</v>
      </c>
      <c r="E155" s="2940">
        <v>13140</v>
      </c>
      <c r="F155" s="2940">
        <v>2080</v>
      </c>
      <c r="G155" s="2940">
        <v>6650</v>
      </c>
    </row>
    <row r="156" spans="1:7" s="2774" customFormat="1" ht="14.25" customHeight="1">
      <c r="A156" s="2940" t="s">
        <v>29</v>
      </c>
      <c r="B156" s="2940" t="s">
        <v>3077</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3078</v>
      </c>
      <c r="C160" s="2940">
        <v>11180</v>
      </c>
      <c r="D160" s="2940">
        <v>11140</v>
      </c>
      <c r="E160" s="2940">
        <v>14050</v>
      </c>
      <c r="F160" s="2940">
        <v>2270</v>
      </c>
      <c r="G160" s="2940">
        <v>7170</v>
      </c>
    </row>
    <row r="161" spans="1:7" s="2774" customFormat="1" ht="14.25" customHeight="1">
      <c r="A161" s="2940" t="s">
        <v>29</v>
      </c>
      <c r="B161" s="2940" t="s">
        <v>2994</v>
      </c>
      <c r="C161" s="2940">
        <v>11160</v>
      </c>
      <c r="D161" s="2940">
        <v>11120</v>
      </c>
      <c r="E161" s="2940">
        <v>14020</v>
      </c>
      <c r="F161" s="2940">
        <v>2150</v>
      </c>
      <c r="G161" s="2940">
        <v>7160</v>
      </c>
    </row>
    <row r="162" spans="1:7" s="2774" customFormat="1" ht="14.25" customHeight="1">
      <c r="A162" s="2940" t="s">
        <v>29</v>
      </c>
      <c r="B162" s="2940" t="s">
        <v>2999</v>
      </c>
      <c r="C162" s="2940">
        <v>9620</v>
      </c>
      <c r="D162" s="2940">
        <v>9570</v>
      </c>
      <c r="E162" s="2940">
        <v>12320</v>
      </c>
      <c r="F162" s="2940">
        <v>2010</v>
      </c>
      <c r="G162" s="2940">
        <v>6160</v>
      </c>
    </row>
    <row r="163" spans="1:7" s="2774" customFormat="1" ht="14.25" customHeight="1">
      <c r="A163" s="2940" t="s">
        <v>29</v>
      </c>
      <c r="B163" s="2940" t="s">
        <v>3004</v>
      </c>
      <c r="C163" s="2940">
        <v>9320</v>
      </c>
      <c r="D163" s="2940">
        <v>9270</v>
      </c>
      <c r="E163" s="2940">
        <v>11790</v>
      </c>
      <c r="F163" s="2940">
        <v>1920</v>
      </c>
      <c r="G163" s="2940">
        <v>5960</v>
      </c>
    </row>
    <row r="164" spans="1:7" s="2774" customFormat="1" ht="14.25" customHeight="1">
      <c r="A164" s="2940" t="s">
        <v>29</v>
      </c>
      <c r="B164" s="2940" t="s">
        <v>3009</v>
      </c>
      <c r="C164" s="2940"/>
      <c r="D164" s="2940"/>
      <c r="E164" s="2940"/>
      <c r="F164" s="2940">
        <v>1980</v>
      </c>
      <c r="G164" s="2940"/>
    </row>
    <row r="165" spans="1:7" s="2774" customFormat="1" ht="14.25" customHeight="1">
      <c r="A165" s="2940" t="s">
        <v>29</v>
      </c>
      <c r="B165" s="2940" t="s">
        <v>3079</v>
      </c>
      <c r="C165" s="2940">
        <v>11060</v>
      </c>
      <c r="D165" s="2940">
        <v>11030</v>
      </c>
      <c r="E165" s="2940">
        <v>13850</v>
      </c>
      <c r="F165" s="2940">
        <v>2170</v>
      </c>
      <c r="G165" s="2940">
        <v>7090</v>
      </c>
    </row>
    <row r="166" spans="1:7" s="2774" customFormat="1" ht="14.25" customHeight="1">
      <c r="A166" s="2940" t="s">
        <v>29</v>
      </c>
      <c r="B166" s="2940" t="s">
        <v>3019</v>
      </c>
      <c r="C166" s="2940">
        <v>11050</v>
      </c>
      <c r="D166" s="2940">
        <v>11010</v>
      </c>
      <c r="E166" s="2940">
        <v>13920</v>
      </c>
      <c r="F166" s="2940">
        <v>2140</v>
      </c>
      <c r="G166" s="2940">
        <v>7080</v>
      </c>
    </row>
    <row r="167" spans="1:7" s="2774" customFormat="1" ht="14.25" customHeight="1">
      <c r="A167" s="2940" t="s">
        <v>29</v>
      </c>
      <c r="B167" s="2940" t="s">
        <v>3023</v>
      </c>
      <c r="C167" s="2940">
        <v>10930</v>
      </c>
      <c r="D167" s="2940">
        <v>10890</v>
      </c>
      <c r="E167" s="2940">
        <v>13790</v>
      </c>
      <c r="F167" s="2940">
        <v>2010</v>
      </c>
      <c r="G167" s="2940">
        <v>7000</v>
      </c>
    </row>
    <row r="168" spans="1:7" s="2774" customFormat="1" ht="14.25" customHeight="1">
      <c r="A168" s="2940" t="s">
        <v>29</v>
      </c>
      <c r="B168" s="2940" t="s">
        <v>3028</v>
      </c>
      <c r="C168" s="2940">
        <v>9420</v>
      </c>
      <c r="D168" s="2940">
        <v>9380</v>
      </c>
      <c r="E168" s="2940">
        <v>11970</v>
      </c>
      <c r="F168" s="2940"/>
      <c r="G168" s="2940">
        <v>6040</v>
      </c>
    </row>
    <row r="169" spans="1:7" s="2774" customFormat="1" ht="14.25" customHeight="1">
      <c r="A169" s="2940" t="s">
        <v>29</v>
      </c>
      <c r="B169" s="2940" t="s">
        <v>3080</v>
      </c>
      <c r="C169" s="2940"/>
      <c r="D169" s="2940"/>
      <c r="E169" s="2940"/>
      <c r="F169" s="2940">
        <v>2880</v>
      </c>
      <c r="G169" s="2940"/>
    </row>
    <row r="170" spans="1:7" s="2774" customFormat="1" ht="14.25" customHeight="1">
      <c r="A170" s="2940" t="s">
        <v>29</v>
      </c>
      <c r="B170" s="2940" t="s">
        <v>3036</v>
      </c>
      <c r="C170" s="2940"/>
      <c r="D170" s="2940"/>
      <c r="E170" s="2940"/>
      <c r="F170" s="2940">
        <v>2880</v>
      </c>
      <c r="G170" s="2940"/>
    </row>
    <row r="171" spans="1:7" s="2774" customFormat="1" ht="14.25" customHeight="1">
      <c r="A171" s="2940" t="s">
        <v>29</v>
      </c>
      <c r="B171" s="2940" t="s">
        <v>3039</v>
      </c>
      <c r="C171" s="2940"/>
      <c r="D171" s="2940"/>
      <c r="E171" s="2940"/>
      <c r="F171" s="2940">
        <v>2880</v>
      </c>
      <c r="G171" s="2940"/>
    </row>
    <row r="172" spans="1:7" s="2774" customFormat="1" ht="14.25" customHeight="1">
      <c r="A172" s="2940" t="s">
        <v>29</v>
      </c>
      <c r="B172" s="2940" t="s">
        <v>3041</v>
      </c>
      <c r="C172" s="2940"/>
      <c r="D172" s="2940"/>
      <c r="E172" s="2940"/>
      <c r="F172" s="2940">
        <v>2880</v>
      </c>
      <c r="G172" s="2940"/>
    </row>
    <row r="173" spans="1:7" s="2774" customFormat="1" ht="14.25" customHeight="1">
      <c r="A173" s="2940" t="s">
        <v>29</v>
      </c>
      <c r="B173" s="2940" t="s">
        <v>3043</v>
      </c>
      <c r="C173" s="2940"/>
      <c r="D173" s="2940"/>
      <c r="E173" s="2940"/>
      <c r="F173" s="2940">
        <v>2150</v>
      </c>
      <c r="G173" s="2940"/>
    </row>
    <row r="174" spans="1:7" s="2774" customFormat="1" ht="14.25" customHeight="1">
      <c r="A174" s="2940" t="s">
        <v>29</v>
      </c>
      <c r="B174" s="2940" t="s">
        <v>3045</v>
      </c>
      <c r="C174" s="2940"/>
      <c r="D174" s="2940"/>
      <c r="E174" s="2940"/>
      <c r="F174" s="2940">
        <v>2030</v>
      </c>
      <c r="G174" s="2940"/>
    </row>
    <row r="175" spans="1:7" s="2774" customFormat="1" ht="14.25" customHeight="1">
      <c r="A175" s="2940" t="s">
        <v>29</v>
      </c>
      <c r="B175" s="2940" t="s">
        <v>3047</v>
      </c>
      <c r="C175" s="2940"/>
      <c r="D175" s="2940"/>
      <c r="E175" s="2940"/>
      <c r="F175" s="2940">
        <v>2780</v>
      </c>
      <c r="G175" s="2940"/>
    </row>
    <row r="176" spans="1:7" s="2774" customFormat="1" ht="14.25" customHeight="1">
      <c r="A176" s="2940" t="s">
        <v>29</v>
      </c>
      <c r="B176" s="2940" t="s">
        <v>3049</v>
      </c>
      <c r="C176" s="2940"/>
      <c r="D176" s="2940"/>
      <c r="E176" s="2940"/>
      <c r="F176" s="2940">
        <v>2780</v>
      </c>
      <c r="G176" s="2940"/>
    </row>
    <row r="177" spans="1:7" s="2774" customFormat="1" ht="14.25" customHeight="1">
      <c r="A177" s="2940" t="s">
        <v>29</v>
      </c>
      <c r="B177" s="2940" t="s">
        <v>3081</v>
      </c>
      <c r="C177" s="2940"/>
      <c r="D177" s="2940"/>
      <c r="E177" s="2940"/>
      <c r="F177" s="2940">
        <v>2780</v>
      </c>
      <c r="G177" s="2940"/>
    </row>
    <row r="178" spans="1:7" s="2774" customFormat="1" ht="14.25" customHeight="1">
      <c r="A178" s="2940" t="s">
        <v>29</v>
      </c>
      <c r="B178" s="2940" t="s">
        <v>3082</v>
      </c>
      <c r="C178" s="2940"/>
      <c r="D178" s="2940"/>
      <c r="E178" s="2940"/>
      <c r="F178" s="2940">
        <v>2060</v>
      </c>
      <c r="G178" s="2940"/>
    </row>
    <row r="179" spans="1:7" s="2774" customFormat="1" ht="14.25" customHeight="1">
      <c r="A179" s="2940" t="s">
        <v>29</v>
      </c>
      <c r="B179" s="2940" t="s">
        <v>3083</v>
      </c>
      <c r="C179" s="2940"/>
      <c r="D179" s="2940"/>
      <c r="E179" s="2940"/>
      <c r="F179" s="2940">
        <v>2120</v>
      </c>
      <c r="G179" s="2940"/>
    </row>
    <row r="180" spans="1:7" s="2774" customFormat="1" ht="14.25" customHeight="1">
      <c r="A180" s="2940" t="s">
        <v>29</v>
      </c>
      <c r="B180" s="2940" t="s">
        <v>3055</v>
      </c>
      <c r="C180" s="2940"/>
      <c r="D180" s="2940"/>
      <c r="E180" s="2940"/>
      <c r="F180" s="2940">
        <v>2340</v>
      </c>
      <c r="G180" s="2940"/>
    </row>
    <row r="181" spans="1:7" s="2774" customFormat="1" ht="14.25" customHeight="1">
      <c r="A181" s="2940" t="s">
        <v>29</v>
      </c>
      <c r="B181" s="2940" t="s">
        <v>3056</v>
      </c>
      <c r="C181" s="2940"/>
      <c r="D181" s="2940"/>
      <c r="E181" s="2940"/>
      <c r="F181" s="2940">
        <v>2340</v>
      </c>
      <c r="G181" s="2940"/>
    </row>
    <row r="182" spans="1:7" s="2774" customFormat="1" ht="14.25" customHeight="1">
      <c r="A182" s="2940" t="s">
        <v>29</v>
      </c>
      <c r="B182" s="2940" t="s">
        <v>3057</v>
      </c>
      <c r="C182" s="2940"/>
      <c r="D182" s="2940"/>
      <c r="E182" s="2940"/>
      <c r="F182" s="2940">
        <v>2340</v>
      </c>
      <c r="G182" s="2940"/>
    </row>
    <row r="183" spans="1:7" s="2774" customFormat="1" ht="14.25" customHeight="1">
      <c r="A183" s="2940" t="s">
        <v>29</v>
      </c>
      <c r="B183" s="2940" t="s">
        <v>3058</v>
      </c>
      <c r="C183" s="2940"/>
      <c r="D183" s="2940"/>
      <c r="E183" s="2940"/>
      <c r="F183" s="2940">
        <v>2340</v>
      </c>
      <c r="G183" s="2940"/>
    </row>
    <row r="184" spans="1:7" s="2774" customFormat="1" ht="14.25" customHeight="1">
      <c r="A184" s="2940" t="s">
        <v>29</v>
      </c>
      <c r="B184" s="2940" t="s">
        <v>3059</v>
      </c>
      <c r="C184" s="2940"/>
      <c r="D184" s="2940"/>
      <c r="E184" s="2940"/>
      <c r="F184" s="2940">
        <v>2340</v>
      </c>
      <c r="G184" s="2940"/>
    </row>
    <row r="185" spans="1:7" s="2774" customFormat="1" ht="14.25" customHeight="1">
      <c r="A185" s="2940" t="s">
        <v>29</v>
      </c>
      <c r="B185" s="2940" t="s">
        <v>3060</v>
      </c>
      <c r="C185" s="2940"/>
      <c r="D185" s="2940"/>
      <c r="E185" s="2940"/>
      <c r="F185" s="2940">
        <v>2530</v>
      </c>
      <c r="G185" s="2940"/>
    </row>
    <row r="186" spans="1:7" s="2774" customFormat="1" ht="14.25" customHeight="1">
      <c r="A186" s="2940" t="s">
        <v>29</v>
      </c>
      <c r="B186" s="2940" t="s">
        <v>3061</v>
      </c>
      <c r="C186" s="2940"/>
      <c r="D186" s="2940"/>
      <c r="E186" s="2940"/>
      <c r="F186" s="2940">
        <v>2550</v>
      </c>
      <c r="G186" s="2940"/>
    </row>
    <row r="187" spans="1:7" s="2774" customFormat="1" ht="14.25" customHeight="1">
      <c r="A187" s="2940" t="s">
        <v>29</v>
      </c>
      <c r="B187" s="2940" t="s">
        <v>3062</v>
      </c>
      <c r="C187" s="2940"/>
      <c r="D187" s="2940"/>
      <c r="E187" s="2940"/>
      <c r="F187" s="2940">
        <v>2070</v>
      </c>
      <c r="G187" s="2940"/>
    </row>
    <row r="188" spans="1:7" s="2774" customFormat="1" ht="14.25" customHeight="1">
      <c r="A188" s="2940" t="s">
        <v>29</v>
      </c>
      <c r="B188" s="2940" t="s">
        <v>3063</v>
      </c>
      <c r="C188" s="2940"/>
      <c r="D188" s="2940"/>
      <c r="E188" s="2940"/>
      <c r="F188" s="2940">
        <v>2340</v>
      </c>
      <c r="G188" s="2940"/>
    </row>
    <row r="189" spans="1:7" s="2774" customFormat="1" ht="14.25" customHeight="1" thickBot="1">
      <c r="A189" s="2948" t="s">
        <v>29</v>
      </c>
      <c r="B189" s="2951" t="s">
        <v>3064</v>
      </c>
      <c r="C189" s="2951"/>
      <c r="D189" s="2951"/>
      <c r="E189" s="2951"/>
      <c r="F189" s="2951">
        <v>2050</v>
      </c>
      <c r="G189" s="2951"/>
    </row>
    <row r="190" spans="1:7" s="2774" customFormat="1" ht="14.25" customHeight="1">
      <c r="A190" s="2945" t="s">
        <v>304</v>
      </c>
      <c r="B190" s="2936" t="s">
        <v>3084</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3085</v>
      </c>
      <c r="C199" s="2940">
        <v>8690</v>
      </c>
      <c r="D199" s="2940">
        <v>8630</v>
      </c>
      <c r="E199" s="2940">
        <v>11350</v>
      </c>
      <c r="F199" s="2940">
        <v>1600</v>
      </c>
      <c r="G199" s="2953">
        <v>5450</v>
      </c>
    </row>
    <row r="200" spans="1:7" s="2774" customFormat="1" ht="14.25" customHeight="1">
      <c r="A200" s="2940" t="s">
        <v>304</v>
      </c>
      <c r="B200" s="2940" t="s">
        <v>2896</v>
      </c>
      <c r="C200" s="2940"/>
      <c r="D200" s="2940"/>
      <c r="E200" s="2940"/>
      <c r="F200" s="2940">
        <v>1510</v>
      </c>
      <c r="G200" s="2953"/>
    </row>
    <row r="201" spans="1:7" s="2774" customFormat="1" ht="14.25" customHeight="1">
      <c r="A201" s="2940" t="s">
        <v>304</v>
      </c>
      <c r="B201" s="2940" t="s">
        <v>3086</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3087</v>
      </c>
      <c r="C203" s="2940">
        <v>8130</v>
      </c>
      <c r="D203" s="2940">
        <v>8070</v>
      </c>
      <c r="E203" s="2940">
        <v>10820</v>
      </c>
      <c r="F203" s="2940">
        <v>1690</v>
      </c>
      <c r="G203" s="2953">
        <v>5100</v>
      </c>
    </row>
    <row r="204" spans="1:7" s="2774" customFormat="1" ht="14.25" customHeight="1">
      <c r="A204" s="2940" t="s">
        <v>304</v>
      </c>
      <c r="B204" s="2940" t="s">
        <v>2907</v>
      </c>
      <c r="C204" s="2940">
        <v>8350</v>
      </c>
      <c r="D204" s="2940">
        <v>8290</v>
      </c>
      <c r="E204" s="2940">
        <v>11080</v>
      </c>
      <c r="F204" s="2940">
        <v>1450</v>
      </c>
      <c r="G204" s="2953">
        <v>5240</v>
      </c>
    </row>
    <row r="205" spans="1:7" s="2774" customFormat="1" ht="14.25" customHeight="1">
      <c r="A205" s="2940" t="s">
        <v>304</v>
      </c>
      <c r="B205" s="2940" t="s">
        <v>2909</v>
      </c>
      <c r="C205" s="2940">
        <v>7190</v>
      </c>
      <c r="D205" s="2940">
        <v>7130</v>
      </c>
      <c r="E205" s="2940">
        <v>9490</v>
      </c>
      <c r="F205" s="2940">
        <v>1470</v>
      </c>
      <c r="G205" s="2953">
        <v>4510</v>
      </c>
    </row>
    <row r="206" spans="1:7" s="2774" customFormat="1" ht="14.25" customHeight="1">
      <c r="A206" s="2940" t="s">
        <v>304</v>
      </c>
      <c r="B206" s="2940" t="s">
        <v>2912</v>
      </c>
      <c r="C206" s="2940">
        <v>7000</v>
      </c>
      <c r="D206" s="2940">
        <v>6950</v>
      </c>
      <c r="E206" s="2940">
        <v>9170</v>
      </c>
      <c r="F206" s="2940">
        <v>1400</v>
      </c>
      <c r="G206" s="2953">
        <v>4380</v>
      </c>
    </row>
    <row r="207" spans="1:7" s="2774" customFormat="1" ht="14.25" customHeight="1">
      <c r="A207" s="2940" t="s">
        <v>304</v>
      </c>
      <c r="B207" s="2940" t="s">
        <v>2914</v>
      </c>
      <c r="C207" s="2940">
        <v>6950</v>
      </c>
      <c r="D207" s="2940">
        <v>6900</v>
      </c>
      <c r="E207" s="2940">
        <v>9110</v>
      </c>
      <c r="F207" s="2940">
        <v>1790</v>
      </c>
      <c r="G207" s="2953">
        <v>4360</v>
      </c>
    </row>
    <row r="208" spans="1:7" s="2774" customFormat="1" ht="14.25" customHeight="1">
      <c r="A208" s="2940" t="s">
        <v>304</v>
      </c>
      <c r="B208" s="2940" t="s">
        <v>3088</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2924</v>
      </c>
      <c r="C210" s="2940">
        <v>8710</v>
      </c>
      <c r="D210" s="2940">
        <v>8660</v>
      </c>
      <c r="E210" s="2940">
        <v>11440</v>
      </c>
      <c r="F210" s="2940">
        <v>1740</v>
      </c>
      <c r="G210" s="2953">
        <v>5470</v>
      </c>
    </row>
    <row r="211" spans="1:7" s="2774" customFormat="1" ht="14.25" customHeight="1">
      <c r="A211" s="2940" t="s">
        <v>304</v>
      </c>
      <c r="B211" s="2940" t="s">
        <v>3089</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3090</v>
      </c>
      <c r="C214" s="2940">
        <v>8090</v>
      </c>
      <c r="D214" s="2940">
        <v>8030</v>
      </c>
      <c r="E214" s="2940">
        <v>10780</v>
      </c>
      <c r="F214" s="2940">
        <v>1570</v>
      </c>
      <c r="G214" s="2953">
        <v>5070</v>
      </c>
    </row>
    <row r="215" spans="1:7" s="2774" customFormat="1" ht="14.25" customHeight="1">
      <c r="A215" s="2940" t="s">
        <v>304</v>
      </c>
      <c r="B215" s="2940" t="s">
        <v>3091</v>
      </c>
      <c r="C215" s="2940">
        <v>7950</v>
      </c>
      <c r="D215" s="2940">
        <v>7900</v>
      </c>
      <c r="E215" s="2940">
        <v>10560</v>
      </c>
      <c r="F215" s="2940">
        <v>1630</v>
      </c>
      <c r="G215" s="2953">
        <v>4990</v>
      </c>
    </row>
    <row r="216" spans="1:7" s="2774" customFormat="1" ht="14.25" customHeight="1">
      <c r="A216" s="2940" t="s">
        <v>304</v>
      </c>
      <c r="B216" s="2940" t="s">
        <v>3092</v>
      </c>
      <c r="C216" s="2940">
        <v>8490</v>
      </c>
      <c r="D216" s="2940">
        <v>8440</v>
      </c>
      <c r="E216" s="2940">
        <v>11260</v>
      </c>
      <c r="F216" s="2940">
        <v>1690</v>
      </c>
      <c r="G216" s="2953">
        <v>5330</v>
      </c>
    </row>
    <row r="217" spans="1:7" s="2774" customFormat="1" ht="14.25" customHeight="1">
      <c r="A217" s="2940" t="s">
        <v>304</v>
      </c>
      <c r="B217" s="2940" t="s">
        <v>2957</v>
      </c>
      <c r="C217" s="2940">
        <v>8200</v>
      </c>
      <c r="D217" s="2940">
        <v>8150</v>
      </c>
      <c r="E217" s="2940">
        <v>10910</v>
      </c>
      <c r="F217" s="2940">
        <v>1670</v>
      </c>
      <c r="G217" s="2953">
        <v>5150</v>
      </c>
    </row>
    <row r="218" spans="1:7" s="2774" customFormat="1" ht="14.25" customHeight="1">
      <c r="A218" s="2940" t="s">
        <v>304</v>
      </c>
      <c r="B218" s="2940" t="s">
        <v>3093</v>
      </c>
      <c r="C218" s="2940"/>
      <c r="D218" s="2940"/>
      <c r="E218" s="2940"/>
      <c r="F218" s="2940">
        <v>2040</v>
      </c>
      <c r="G218" s="2953"/>
    </row>
    <row r="219" spans="1:7" s="2774" customFormat="1" ht="14.25" customHeight="1">
      <c r="A219" s="2940" t="s">
        <v>304</v>
      </c>
      <c r="B219" s="2940" t="s">
        <v>3094</v>
      </c>
      <c r="C219" s="2940"/>
      <c r="D219" s="2940"/>
      <c r="E219" s="2940"/>
      <c r="F219" s="2940">
        <v>2040</v>
      </c>
      <c r="G219" s="2953"/>
    </row>
    <row r="220" spans="1:7" s="2774" customFormat="1" ht="14.25" customHeight="1">
      <c r="A220" s="2940" t="s">
        <v>304</v>
      </c>
      <c r="B220" s="2940" t="s">
        <v>3095</v>
      </c>
      <c r="C220" s="2940"/>
      <c r="D220" s="2940"/>
      <c r="E220" s="2940"/>
      <c r="F220" s="2940">
        <v>2040</v>
      </c>
      <c r="G220" s="2953"/>
    </row>
    <row r="221" spans="1:7" s="2774" customFormat="1" ht="14.25" customHeight="1">
      <c r="A221" s="2940" t="s">
        <v>304</v>
      </c>
      <c r="B221" s="2940" t="s">
        <v>3096</v>
      </c>
      <c r="C221" s="2940"/>
      <c r="D221" s="2940"/>
      <c r="E221" s="2940"/>
      <c r="F221" s="2940">
        <v>2040</v>
      </c>
      <c r="G221" s="2953"/>
    </row>
    <row r="222" spans="1:7" s="2774" customFormat="1" ht="14.25" customHeight="1">
      <c r="A222" s="2940" t="s">
        <v>304</v>
      </c>
      <c r="B222" s="2940" t="s">
        <v>3097</v>
      </c>
      <c r="C222" s="2940"/>
      <c r="D222" s="2940"/>
      <c r="E222" s="2940"/>
      <c r="F222" s="2940">
        <v>2040</v>
      </c>
      <c r="G222" s="2953"/>
    </row>
    <row r="223" spans="1:7" s="2774" customFormat="1" ht="14.25" customHeight="1">
      <c r="A223" s="2940" t="s">
        <v>304</v>
      </c>
      <c r="B223" s="2940" t="s">
        <v>3098</v>
      </c>
      <c r="C223" s="2940"/>
      <c r="D223" s="2940"/>
      <c r="E223" s="2940"/>
      <c r="F223" s="2940">
        <v>1930</v>
      </c>
      <c r="G223" s="2953"/>
    </row>
    <row r="224" spans="1:7" s="2774" customFormat="1" ht="14.25" customHeight="1">
      <c r="A224" s="2940" t="s">
        <v>304</v>
      </c>
      <c r="B224" s="2940" t="s">
        <v>3099</v>
      </c>
      <c r="C224" s="2940"/>
      <c r="D224" s="2940"/>
      <c r="E224" s="2940"/>
      <c r="F224" s="2940">
        <v>1930</v>
      </c>
      <c r="G224" s="2953"/>
    </row>
    <row r="225" spans="1:7" s="2774" customFormat="1" ht="14.25" customHeight="1">
      <c r="A225" s="2940" t="s">
        <v>304</v>
      </c>
      <c r="B225" s="2940" t="s">
        <v>3100</v>
      </c>
      <c r="C225" s="2940"/>
      <c r="D225" s="2940"/>
      <c r="E225" s="2940"/>
      <c r="F225" s="2940">
        <v>1930</v>
      </c>
      <c r="G225" s="2953"/>
    </row>
    <row r="226" spans="1:7" s="2774" customFormat="1" ht="14.25" customHeight="1">
      <c r="A226" s="2940" t="s">
        <v>304</v>
      </c>
      <c r="B226" s="2940" t="s">
        <v>3101</v>
      </c>
      <c r="C226" s="2940"/>
      <c r="D226" s="2940"/>
      <c r="E226" s="2940"/>
      <c r="F226" s="2940">
        <v>1700</v>
      </c>
      <c r="G226" s="2953"/>
    </row>
    <row r="227" spans="1:7" s="2774" customFormat="1" ht="14.25" customHeight="1">
      <c r="A227" s="2940" t="s">
        <v>304</v>
      </c>
      <c r="B227" s="2940" t="s">
        <v>3102</v>
      </c>
      <c r="C227" s="2940"/>
      <c r="D227" s="2940"/>
      <c r="E227" s="2940"/>
      <c r="F227" s="2940">
        <v>1520</v>
      </c>
      <c r="G227" s="2953"/>
    </row>
    <row r="228" spans="1:7" s="2774" customFormat="1" ht="14.25" customHeight="1">
      <c r="A228" s="2940" t="s">
        <v>304</v>
      </c>
      <c r="B228" s="2940" t="s">
        <v>3103</v>
      </c>
      <c r="C228" s="2940"/>
      <c r="D228" s="2940"/>
      <c r="E228" s="2940"/>
      <c r="F228" s="2940">
        <v>1520</v>
      </c>
      <c r="G228" s="2953"/>
    </row>
    <row r="229" spans="1:7" s="2774" customFormat="1" ht="14.25" customHeight="1">
      <c r="A229" s="2940" t="s">
        <v>304</v>
      </c>
      <c r="B229" s="2940" t="s">
        <v>3020</v>
      </c>
      <c r="C229" s="2940"/>
      <c r="D229" s="2940"/>
      <c r="E229" s="2940"/>
      <c r="F229" s="2940">
        <v>1520</v>
      </c>
      <c r="G229" s="2953"/>
    </row>
    <row r="230" spans="1:7" s="2774" customFormat="1" ht="14.25" customHeight="1">
      <c r="A230" s="2940" t="s">
        <v>304</v>
      </c>
      <c r="B230" s="2940" t="s">
        <v>3104</v>
      </c>
      <c r="C230" s="2940"/>
      <c r="D230" s="2940"/>
      <c r="E230" s="2940"/>
      <c r="F230" s="2940">
        <v>1820</v>
      </c>
      <c r="G230" s="2953"/>
    </row>
    <row r="231" spans="1:7" s="2774" customFormat="1" ht="14.25" customHeight="1">
      <c r="A231" s="2940" t="s">
        <v>304</v>
      </c>
      <c r="B231" s="2940" t="s">
        <v>3105</v>
      </c>
      <c r="C231" s="2940"/>
      <c r="D231" s="2940"/>
      <c r="E231" s="2940"/>
      <c r="F231" s="2940">
        <v>1760</v>
      </c>
      <c r="G231" s="2953"/>
    </row>
    <row r="232" spans="1:7" s="2774" customFormat="1" ht="14.25" customHeight="1">
      <c r="A232" s="2940" t="s">
        <v>304</v>
      </c>
      <c r="B232" s="2940" t="s">
        <v>3106</v>
      </c>
      <c r="C232" s="2940"/>
      <c r="D232" s="2940"/>
      <c r="E232" s="2940"/>
      <c r="F232" s="2940">
        <v>1840</v>
      </c>
      <c r="G232" s="2953"/>
    </row>
    <row r="233" spans="1:7" s="2774" customFormat="1" ht="14.25" customHeight="1" thickBot="1">
      <c r="A233" s="2954" t="s">
        <v>304</v>
      </c>
      <c r="B233" s="2947" t="s">
        <v>3037</v>
      </c>
      <c r="C233" s="2947"/>
      <c r="D233" s="2947"/>
      <c r="E233" s="2947"/>
      <c r="F233" s="2947">
        <v>1770</v>
      </c>
      <c r="G233" s="2955"/>
    </row>
    <row r="234" spans="1:7" s="2774" customFormat="1" ht="14.25" customHeight="1">
      <c r="A234" s="2945" t="s">
        <v>305</v>
      </c>
      <c r="B234" s="2936" t="s">
        <v>3107</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2878</v>
      </c>
      <c r="C238" s="2940">
        <v>6920</v>
      </c>
      <c r="D238" s="2940">
        <v>6890</v>
      </c>
      <c r="E238" s="2940">
        <v>8640</v>
      </c>
      <c r="F238" s="2940">
        <v>1310</v>
      </c>
      <c r="G238" s="2940">
        <v>4230</v>
      </c>
    </row>
    <row r="239" spans="1:7" s="2774" customFormat="1" ht="14.25" customHeight="1">
      <c r="A239" s="2940" t="s">
        <v>305</v>
      </c>
      <c r="B239" s="2940" t="s">
        <v>3108</v>
      </c>
      <c r="C239" s="2940">
        <v>6780</v>
      </c>
      <c r="D239" s="2940">
        <v>6750</v>
      </c>
      <c r="E239" s="2940">
        <v>8440</v>
      </c>
      <c r="F239" s="2940">
        <v>1160</v>
      </c>
      <c r="G239" s="2940">
        <v>4140</v>
      </c>
    </row>
    <row r="240" spans="1:7" s="2774" customFormat="1" ht="14.25" customHeight="1">
      <c r="A240" s="2940" t="s">
        <v>305</v>
      </c>
      <c r="B240" s="2940" t="s">
        <v>3109</v>
      </c>
      <c r="C240" s="2940">
        <v>5420</v>
      </c>
      <c r="D240" s="2940">
        <v>5380</v>
      </c>
      <c r="E240" s="2940">
        <v>6640</v>
      </c>
      <c r="F240" s="2940">
        <v>1020</v>
      </c>
      <c r="G240" s="2940">
        <v>3300</v>
      </c>
    </row>
    <row r="241" spans="1:7" s="2774" customFormat="1" ht="14.25" customHeight="1">
      <c r="A241" s="2940" t="s">
        <v>305</v>
      </c>
      <c r="B241" s="2940" t="s">
        <v>3110</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3111</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3112</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3113</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3114</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3115</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2940</v>
      </c>
      <c r="C258" s="2940">
        <v>6190</v>
      </c>
      <c r="D258" s="2940">
        <v>6160</v>
      </c>
      <c r="E258" s="2940">
        <v>7680</v>
      </c>
      <c r="F258" s="2940">
        <v>1170</v>
      </c>
      <c r="G258" s="2940">
        <v>3780</v>
      </c>
    </row>
    <row r="259" spans="1:7" s="2774" customFormat="1" ht="14.25" customHeight="1">
      <c r="A259" s="2940" t="s">
        <v>305</v>
      </c>
      <c r="B259" s="2940" t="s">
        <v>3116</v>
      </c>
      <c r="C259" s="2940">
        <v>7610</v>
      </c>
      <c r="D259" s="2940">
        <v>7570</v>
      </c>
      <c r="E259" s="2940">
        <v>9350</v>
      </c>
      <c r="F259" s="2940">
        <v>1350</v>
      </c>
      <c r="G259" s="2940">
        <v>4650</v>
      </c>
    </row>
    <row r="260" spans="1:7" s="2774" customFormat="1" ht="14.25" customHeight="1">
      <c r="A260" s="2940" t="s">
        <v>305</v>
      </c>
      <c r="B260" s="2940" t="s">
        <v>3117</v>
      </c>
      <c r="C260" s="2940">
        <v>6920</v>
      </c>
      <c r="D260" s="2940">
        <v>6880</v>
      </c>
      <c r="E260" s="2940">
        <v>8380</v>
      </c>
      <c r="F260" s="2940">
        <v>1160</v>
      </c>
      <c r="G260" s="2940">
        <v>4220</v>
      </c>
    </row>
    <row r="261" spans="1:7" s="2774" customFormat="1" ht="14.25" customHeight="1">
      <c r="A261" s="2940" t="s">
        <v>305</v>
      </c>
      <c r="B261" s="2940" t="s">
        <v>3118</v>
      </c>
      <c r="C261" s="2940">
        <v>6850</v>
      </c>
      <c r="D261" s="2940">
        <v>6810</v>
      </c>
      <c r="E261" s="2940">
        <v>8290</v>
      </c>
      <c r="F261" s="2940">
        <v>1130</v>
      </c>
      <c r="G261" s="2940">
        <v>4180</v>
      </c>
    </row>
    <row r="262" spans="1:7" s="2774" customFormat="1" ht="14.25" customHeight="1">
      <c r="A262" s="2940" t="s">
        <v>305</v>
      </c>
      <c r="B262" s="2940" t="s">
        <v>3119</v>
      </c>
      <c r="C262" s="2940">
        <v>5860</v>
      </c>
      <c r="D262" s="2940">
        <v>5820</v>
      </c>
      <c r="E262" s="2940">
        <v>7640</v>
      </c>
      <c r="F262" s="2940">
        <v>1070</v>
      </c>
      <c r="G262" s="2940">
        <v>3570</v>
      </c>
    </row>
    <row r="263" spans="1:7" s="2774" customFormat="1" ht="14.25" customHeight="1">
      <c r="A263" s="2940" t="s">
        <v>305</v>
      </c>
      <c r="B263" s="2940" t="s">
        <v>3120</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3121</v>
      </c>
      <c r="C265" s="2940"/>
      <c r="D265" s="2940"/>
      <c r="E265" s="2940"/>
      <c r="F265" s="2940">
        <v>1500</v>
      </c>
      <c r="G265" s="2940"/>
    </row>
    <row r="266" spans="1:7" s="2774" customFormat="1" ht="14.25" customHeight="1">
      <c r="A266" s="2940" t="s">
        <v>305</v>
      </c>
      <c r="B266" s="2940" t="s">
        <v>3122</v>
      </c>
      <c r="C266" s="2940"/>
      <c r="D266" s="2940"/>
      <c r="E266" s="2940"/>
      <c r="F266" s="2940">
        <v>1500</v>
      </c>
      <c r="G266" s="2940"/>
    </row>
    <row r="267" spans="1:7" s="2774" customFormat="1" ht="14.25" customHeight="1">
      <c r="A267" s="2940" t="s">
        <v>305</v>
      </c>
      <c r="B267" s="2940" t="s">
        <v>3123</v>
      </c>
      <c r="C267" s="2940"/>
      <c r="D267" s="2940"/>
      <c r="E267" s="2940"/>
      <c r="F267" s="2940">
        <v>1500</v>
      </c>
      <c r="G267" s="2940"/>
    </row>
    <row r="268" spans="1:7" s="2774" customFormat="1" ht="14.25" customHeight="1">
      <c r="A268" s="2940" t="s">
        <v>305</v>
      </c>
      <c r="B268" s="2940" t="s">
        <v>3124</v>
      </c>
      <c r="C268" s="2940"/>
      <c r="D268" s="2940"/>
      <c r="E268" s="2940"/>
      <c r="F268" s="2940">
        <v>1290</v>
      </c>
      <c r="G268" s="2940"/>
    </row>
    <row r="269" spans="1:7" s="2774" customFormat="1" ht="14.25" customHeight="1">
      <c r="A269" s="2940" t="s">
        <v>305</v>
      </c>
      <c r="B269" s="2940" t="s">
        <v>3125</v>
      </c>
      <c r="C269" s="2940"/>
      <c r="D269" s="2940"/>
      <c r="E269" s="2940"/>
      <c r="F269" s="2940">
        <v>1150</v>
      </c>
      <c r="G269" s="2940"/>
    </row>
    <row r="270" spans="1:7" s="2774" customFormat="1" ht="14.25" customHeight="1">
      <c r="A270" s="2940" t="s">
        <v>305</v>
      </c>
      <c r="B270" s="2940" t="s">
        <v>3126</v>
      </c>
      <c r="C270" s="2940"/>
      <c r="D270" s="2940"/>
      <c r="E270" s="2940"/>
      <c r="F270" s="2940">
        <v>1380</v>
      </c>
      <c r="G270" s="2940"/>
    </row>
    <row r="271" spans="1:7" s="2774" customFormat="1" ht="14.25" customHeight="1">
      <c r="A271" s="2940" t="s">
        <v>305</v>
      </c>
      <c r="B271" s="2940" t="s">
        <v>3127</v>
      </c>
      <c r="C271" s="2940"/>
      <c r="D271" s="2940"/>
      <c r="E271" s="2940"/>
      <c r="F271" s="2940">
        <v>1460</v>
      </c>
      <c r="G271" s="2940"/>
    </row>
    <row r="272" spans="1:7" s="2774" customFormat="1" ht="14.25" customHeight="1">
      <c r="A272" s="2940" t="s">
        <v>305</v>
      </c>
      <c r="B272" s="2940" t="s">
        <v>3128</v>
      </c>
      <c r="C272" s="2940"/>
      <c r="D272" s="2940"/>
      <c r="E272" s="2940"/>
      <c r="F272" s="2940">
        <v>1460</v>
      </c>
      <c r="G272" s="2940"/>
    </row>
    <row r="273" spans="1:7" s="2774" customFormat="1" ht="14.25" customHeight="1">
      <c r="A273" s="2940" t="s">
        <v>305</v>
      </c>
      <c r="B273" s="2940" t="s">
        <v>3021</v>
      </c>
      <c r="C273" s="2940"/>
      <c r="D273" s="2940"/>
      <c r="E273" s="2940"/>
      <c r="F273" s="2940">
        <v>1490</v>
      </c>
      <c r="G273" s="2940"/>
    </row>
    <row r="274" spans="1:7" s="2774" customFormat="1" ht="14.25" customHeight="1">
      <c r="A274" s="2940" t="s">
        <v>305</v>
      </c>
      <c r="B274" s="2940" t="s">
        <v>3129</v>
      </c>
      <c r="C274" s="2940"/>
      <c r="D274" s="2940"/>
      <c r="E274" s="2940"/>
      <c r="F274" s="2940">
        <v>1490</v>
      </c>
      <c r="G274" s="2940"/>
    </row>
    <row r="275" spans="1:7" s="2774" customFormat="1" ht="14.25" customHeight="1">
      <c r="A275" s="2940" t="s">
        <v>305</v>
      </c>
      <c r="B275" s="2940" t="s">
        <v>3130</v>
      </c>
      <c r="C275" s="2940"/>
      <c r="D275" s="2940"/>
      <c r="E275" s="2940"/>
      <c r="F275" s="2940">
        <v>1220</v>
      </c>
      <c r="G275" s="2940"/>
    </row>
    <row r="276" spans="1:7" s="2774" customFormat="1" ht="14.25" customHeight="1" thickBot="1">
      <c r="A276" s="2948" t="s">
        <v>305</v>
      </c>
      <c r="B276" s="2950" t="s">
        <v>3131</v>
      </c>
      <c r="C276" s="2951"/>
      <c r="D276" s="2951"/>
      <c r="E276" s="2951"/>
      <c r="F276" s="2951">
        <v>1380</v>
      </c>
      <c r="G276" s="2951"/>
    </row>
    <row r="277" spans="1:7" s="2774" customFormat="1" ht="14.25" customHeight="1">
      <c r="A277" s="2945" t="s">
        <v>306</v>
      </c>
      <c r="B277" s="2936" t="s">
        <v>3132</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3133</v>
      </c>
      <c r="C279" s="2940">
        <v>4760</v>
      </c>
      <c r="D279" s="2940">
        <v>4720</v>
      </c>
      <c r="E279" s="2940">
        <v>5540</v>
      </c>
      <c r="F279" s="2940">
        <v>810</v>
      </c>
      <c r="G279" s="2953">
        <v>2850</v>
      </c>
    </row>
    <row r="280" spans="1:7" s="2774" customFormat="1" ht="14.25" customHeight="1">
      <c r="A280" s="2940" t="s">
        <v>306</v>
      </c>
      <c r="B280" s="2940" t="s">
        <v>3134</v>
      </c>
      <c r="C280" s="2940">
        <v>4010</v>
      </c>
      <c r="D280" s="2940">
        <v>3950</v>
      </c>
      <c r="E280" s="2940">
        <v>4710</v>
      </c>
      <c r="F280" s="2940">
        <v>800</v>
      </c>
      <c r="G280" s="2953">
        <v>2390</v>
      </c>
    </row>
    <row r="281" spans="1:7" s="2774" customFormat="1" ht="14.25" customHeight="1">
      <c r="A281" s="2940" t="s">
        <v>306</v>
      </c>
      <c r="B281" s="2940" t="s">
        <v>3135</v>
      </c>
      <c r="C281" s="2940">
        <v>4480</v>
      </c>
      <c r="D281" s="2940">
        <v>4420</v>
      </c>
      <c r="E281" s="2940">
        <v>5230</v>
      </c>
      <c r="F281" s="2940">
        <v>870</v>
      </c>
      <c r="G281" s="2953">
        <v>2660</v>
      </c>
    </row>
    <row r="282" spans="1:7" s="2774" customFormat="1" ht="14.25" customHeight="1">
      <c r="A282" s="2940" t="s">
        <v>306</v>
      </c>
      <c r="B282" s="2940" t="s">
        <v>3136</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3137</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3138</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2913</v>
      </c>
      <c r="C293" s="2940">
        <v>5320</v>
      </c>
      <c r="D293" s="2940">
        <v>5270</v>
      </c>
      <c r="E293" s="2940">
        <v>6160</v>
      </c>
      <c r="F293" s="2940">
        <v>990</v>
      </c>
      <c r="G293" s="2953">
        <v>3170</v>
      </c>
    </row>
    <row r="294" spans="1:7" s="2774" customFormat="1" ht="14.25" customHeight="1">
      <c r="A294" s="2940" t="s">
        <v>306</v>
      </c>
      <c r="B294" s="2940" t="s">
        <v>3139</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2932</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3140</v>
      </c>
      <c r="C302" s="2940">
        <v>5520</v>
      </c>
      <c r="D302" s="2940">
        <v>5470</v>
      </c>
      <c r="E302" s="2940">
        <v>6410</v>
      </c>
      <c r="F302" s="2940">
        <v>950</v>
      </c>
      <c r="G302" s="2953">
        <v>3300</v>
      </c>
    </row>
    <row r="303" spans="1:7" s="2774" customFormat="1" ht="14.25" customHeight="1">
      <c r="A303" s="2940" t="s">
        <v>306</v>
      </c>
      <c r="B303" s="2940" t="s">
        <v>2952</v>
      </c>
      <c r="C303" s="2940">
        <v>5630</v>
      </c>
      <c r="D303" s="2940">
        <v>5590</v>
      </c>
      <c r="E303" s="2940">
        <v>6550</v>
      </c>
      <c r="F303" s="2940">
        <v>1010</v>
      </c>
      <c r="G303" s="2953">
        <v>3370</v>
      </c>
    </row>
    <row r="304" spans="1:7" s="2774" customFormat="1" ht="14.25" customHeight="1">
      <c r="A304" s="2940" t="s">
        <v>306</v>
      </c>
      <c r="B304" s="2940" t="s">
        <v>2959</v>
      </c>
      <c r="C304" s="2940">
        <v>5680</v>
      </c>
      <c r="D304" s="2940">
        <v>5620</v>
      </c>
      <c r="E304" s="2940">
        <v>6620</v>
      </c>
      <c r="F304" s="2940">
        <v>1050</v>
      </c>
      <c r="G304" s="2953">
        <v>3390</v>
      </c>
    </row>
    <row r="305" spans="1:7" s="2774" customFormat="1" ht="14.25" customHeight="1">
      <c r="A305" s="2940" t="s">
        <v>306</v>
      </c>
      <c r="B305" s="2940" t="s">
        <v>2965</v>
      </c>
      <c r="C305" s="2940">
        <v>5590</v>
      </c>
      <c r="D305" s="2940">
        <v>5530</v>
      </c>
      <c r="E305" s="2940">
        <v>6460</v>
      </c>
      <c r="F305" s="2940">
        <v>900</v>
      </c>
      <c r="G305" s="2953">
        <v>3340</v>
      </c>
    </row>
    <row r="306" spans="1:7" s="2774" customFormat="1" ht="14.25" customHeight="1">
      <c r="A306" s="2940" t="s">
        <v>306</v>
      </c>
      <c r="B306" s="2940" t="s">
        <v>3141</v>
      </c>
      <c r="C306" s="2940">
        <v>5560</v>
      </c>
      <c r="D306" s="2940">
        <v>5510</v>
      </c>
      <c r="E306" s="2940">
        <v>6440</v>
      </c>
      <c r="F306" s="2940">
        <v>900</v>
      </c>
      <c r="G306" s="2953">
        <v>3320</v>
      </c>
    </row>
    <row r="307" spans="1:7" s="2774" customFormat="1" ht="14.25" customHeight="1">
      <c r="A307" s="2940" t="s">
        <v>306</v>
      </c>
      <c r="B307" s="2940" t="s">
        <v>2977</v>
      </c>
      <c r="C307" s="2940">
        <v>5650</v>
      </c>
      <c r="D307" s="2940">
        <v>5600</v>
      </c>
      <c r="E307" s="2940">
        <v>6590</v>
      </c>
      <c r="F307" s="2940">
        <v>930</v>
      </c>
      <c r="G307" s="2953">
        <v>3380</v>
      </c>
    </row>
    <row r="308" spans="1:7" s="2774" customFormat="1" ht="14.25" customHeight="1">
      <c r="A308" s="2940" t="s">
        <v>306</v>
      </c>
      <c r="B308" s="2940" t="s">
        <v>3142</v>
      </c>
      <c r="C308" s="2940">
        <v>5620</v>
      </c>
      <c r="D308" s="2940">
        <v>5580</v>
      </c>
      <c r="E308" s="2940">
        <v>6540</v>
      </c>
      <c r="F308" s="2940">
        <v>910</v>
      </c>
      <c r="G308" s="2953">
        <v>3370</v>
      </c>
    </row>
    <row r="309" spans="1:7" s="2774" customFormat="1" ht="14.25" customHeight="1">
      <c r="A309" s="2940" t="s">
        <v>306</v>
      </c>
      <c r="B309" s="2940" t="s">
        <v>3143</v>
      </c>
      <c r="C309" s="2940">
        <v>5060</v>
      </c>
      <c r="D309" s="2940">
        <v>5020</v>
      </c>
      <c r="E309" s="2940">
        <v>6370</v>
      </c>
      <c r="F309" s="2940">
        <v>800</v>
      </c>
      <c r="G309" s="2953">
        <v>3020</v>
      </c>
    </row>
    <row r="310" spans="1:7" s="2774" customFormat="1" ht="14.25" customHeight="1">
      <c r="A310" s="2940" t="s">
        <v>306</v>
      </c>
      <c r="B310" s="2940" t="s">
        <v>2992</v>
      </c>
      <c r="C310" s="2940">
        <v>5150</v>
      </c>
      <c r="D310" s="2940">
        <v>5110</v>
      </c>
      <c r="E310" s="2940">
        <v>6500</v>
      </c>
      <c r="F310" s="2940">
        <v>880</v>
      </c>
      <c r="G310" s="2953">
        <v>3080</v>
      </c>
    </row>
    <row r="311" spans="1:7" s="2774" customFormat="1" ht="14.25" customHeight="1">
      <c r="A311" s="2940" t="s">
        <v>306</v>
      </c>
      <c r="B311" s="2940" t="s">
        <v>3144</v>
      </c>
      <c r="C311" s="2940">
        <v>4750</v>
      </c>
      <c r="D311" s="2940">
        <v>4710</v>
      </c>
      <c r="E311" s="2940">
        <v>5510</v>
      </c>
      <c r="F311" s="2940">
        <v>880</v>
      </c>
      <c r="G311" s="2953">
        <v>2840</v>
      </c>
    </row>
    <row r="312" spans="1:7" s="2774" customFormat="1" ht="14.25" customHeight="1">
      <c r="A312" s="2940" t="s">
        <v>306</v>
      </c>
      <c r="B312" s="2940" t="s">
        <v>3002</v>
      </c>
      <c r="C312" s="2940">
        <v>4690</v>
      </c>
      <c r="D312" s="2940">
        <v>4640</v>
      </c>
      <c r="E312" s="2940">
        <v>5420</v>
      </c>
      <c r="F312" s="2940">
        <v>800</v>
      </c>
      <c r="G312" s="2953">
        <v>2800</v>
      </c>
    </row>
    <row r="313" spans="1:7" s="2774" customFormat="1" ht="14.25" customHeight="1">
      <c r="A313" s="2940" t="s">
        <v>306</v>
      </c>
      <c r="B313" s="2940" t="s">
        <v>3007</v>
      </c>
      <c r="C313" s="2940">
        <v>4810</v>
      </c>
      <c r="D313" s="2940">
        <v>4760</v>
      </c>
      <c r="E313" s="2940">
        <v>5550</v>
      </c>
      <c r="F313" s="2940">
        <v>920</v>
      </c>
      <c r="G313" s="2953">
        <v>2870</v>
      </c>
    </row>
    <row r="314" spans="1:7" s="2774" customFormat="1" ht="14.25" customHeight="1">
      <c r="A314" s="2940" t="s">
        <v>306</v>
      </c>
      <c r="B314" s="2940" t="s">
        <v>3145</v>
      </c>
      <c r="C314" s="2940"/>
      <c r="D314" s="2940"/>
      <c r="E314" s="2940"/>
      <c r="F314" s="2940">
        <v>1020</v>
      </c>
      <c r="G314" s="2953"/>
    </row>
    <row r="315" spans="1:7" s="2774" customFormat="1" ht="14.25" customHeight="1">
      <c r="A315" s="2940" t="s">
        <v>306</v>
      </c>
      <c r="B315" s="2940" t="s">
        <v>3146</v>
      </c>
      <c r="C315" s="2940"/>
      <c r="D315" s="2940"/>
      <c r="E315" s="2940"/>
      <c r="F315" s="2940">
        <v>1050</v>
      </c>
      <c r="G315" s="2953"/>
    </row>
    <row r="316" spans="1:7" s="2774" customFormat="1" ht="14.25" customHeight="1">
      <c r="A316" s="2940" t="s">
        <v>306</v>
      </c>
      <c r="B316" s="2940" t="s">
        <v>3022</v>
      </c>
      <c r="C316" s="2940"/>
      <c r="D316" s="2940"/>
      <c r="E316" s="2940"/>
      <c r="F316" s="2940">
        <v>900</v>
      </c>
      <c r="G316" s="2953"/>
    </row>
    <row r="317" spans="1:7" s="2774" customFormat="1" ht="14.25" customHeight="1">
      <c r="A317" s="2940" t="s">
        <v>306</v>
      </c>
      <c r="B317" s="2940" t="s">
        <v>3147</v>
      </c>
      <c r="C317" s="2940"/>
      <c r="D317" s="2940"/>
      <c r="E317" s="2940"/>
      <c r="F317" s="2940">
        <v>920</v>
      </c>
      <c r="G317" s="2953"/>
    </row>
    <row r="318" spans="1:7" s="2774" customFormat="1" ht="14.25" customHeight="1">
      <c r="A318" s="2940" t="s">
        <v>306</v>
      </c>
      <c r="B318" s="2940" t="s">
        <v>3148</v>
      </c>
      <c r="C318" s="2940"/>
      <c r="D318" s="2940"/>
      <c r="E318" s="2940"/>
      <c r="F318" s="2940">
        <v>1080</v>
      </c>
      <c r="G318" s="2953"/>
    </row>
    <row r="319" spans="1:7" s="2774" customFormat="1" ht="14.25" customHeight="1">
      <c r="A319" s="2940" t="s">
        <v>306</v>
      </c>
      <c r="B319" s="2940" t="s">
        <v>3035</v>
      </c>
      <c r="C319" s="2940"/>
      <c r="D319" s="2940"/>
      <c r="E319" s="2940"/>
      <c r="F319" s="2940">
        <v>1020</v>
      </c>
      <c r="G319" s="2953"/>
    </row>
    <row r="320" spans="1:7" s="2774" customFormat="1" ht="14.25" customHeight="1">
      <c r="A320" s="2940" t="s">
        <v>306</v>
      </c>
      <c r="B320" s="2940" t="s">
        <v>3038</v>
      </c>
      <c r="C320" s="2940"/>
      <c r="D320" s="2940"/>
      <c r="E320" s="2940"/>
      <c r="F320" s="2940">
        <v>1050</v>
      </c>
      <c r="G320" s="2953"/>
    </row>
    <row r="321" spans="1:7" s="2774" customFormat="1" ht="14.25" customHeight="1">
      <c r="A321" s="2940" t="s">
        <v>306</v>
      </c>
      <c r="B321" s="2940" t="s">
        <v>3040</v>
      </c>
      <c r="C321" s="2940"/>
      <c r="D321" s="2940"/>
      <c r="E321" s="2940"/>
      <c r="F321" s="2940">
        <v>960</v>
      </c>
      <c r="G321" s="2953"/>
    </row>
    <row r="322" spans="1:7" s="2774" customFormat="1" ht="14.25" customHeight="1">
      <c r="A322" s="2940" t="s">
        <v>306</v>
      </c>
      <c r="B322" s="2940" t="s">
        <v>3042</v>
      </c>
      <c r="C322" s="2940"/>
      <c r="D322" s="2940"/>
      <c r="E322" s="2940"/>
      <c r="F322" s="2940">
        <v>960</v>
      </c>
      <c r="G322" s="2953"/>
    </row>
    <row r="323" spans="1:7" s="2774" customFormat="1" ht="14.25" customHeight="1">
      <c r="A323" s="2940" t="s">
        <v>306</v>
      </c>
      <c r="B323" s="2940" t="s">
        <v>3044</v>
      </c>
      <c r="C323" s="2940"/>
      <c r="D323" s="2940"/>
      <c r="E323" s="2940"/>
      <c r="F323" s="2940">
        <v>880</v>
      </c>
      <c r="G323" s="2953"/>
    </row>
    <row r="324" spans="1:7" s="2774" customFormat="1" ht="14.25" customHeight="1">
      <c r="A324" s="2940" t="s">
        <v>306</v>
      </c>
      <c r="B324" s="2940" t="s">
        <v>3046</v>
      </c>
      <c r="C324" s="2940"/>
      <c r="D324" s="2940"/>
      <c r="E324" s="2940"/>
      <c r="F324" s="2940">
        <v>930</v>
      </c>
      <c r="G324" s="2953"/>
    </row>
    <row r="325" spans="1:7" s="2774" customFormat="1" ht="14.25" customHeight="1">
      <c r="A325" s="2940" t="s">
        <v>306</v>
      </c>
      <c r="B325" s="2941" t="s">
        <v>3048</v>
      </c>
      <c r="C325" s="2940"/>
      <c r="D325" s="2940"/>
      <c r="E325" s="2940"/>
      <c r="F325" s="2940">
        <v>900</v>
      </c>
      <c r="G325" s="2953"/>
    </row>
    <row r="326" spans="1:7" s="2774" customFormat="1" ht="14.25" customHeight="1" thickBot="1">
      <c r="A326" s="2954" t="s">
        <v>306</v>
      </c>
      <c r="B326" s="2947" t="s">
        <v>3050</v>
      </c>
      <c r="C326" s="2947"/>
      <c r="D326" s="2947"/>
      <c r="E326" s="2947"/>
      <c r="F326" s="2947">
        <v>790</v>
      </c>
      <c r="G326" s="2955"/>
    </row>
    <row r="327" spans="1:7" s="2774" customFormat="1" ht="14.25" customHeight="1">
      <c r="A327" s="2945" t="s">
        <v>307</v>
      </c>
      <c r="B327" s="2936" t="s">
        <v>3149</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3150</v>
      </c>
      <c r="C329" s="2940">
        <v>2730</v>
      </c>
      <c r="D329" s="2940">
        <v>2690</v>
      </c>
      <c r="E329" s="2940">
        <v>3100</v>
      </c>
      <c r="F329" s="2940">
        <v>660</v>
      </c>
      <c r="G329" s="2940">
        <v>1610</v>
      </c>
    </row>
    <row r="330" spans="1:7" s="2774" customFormat="1" ht="14.25" customHeight="1">
      <c r="A330" s="2940" t="s">
        <v>307</v>
      </c>
      <c r="B330" s="2940" t="s">
        <v>3151</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2884</v>
      </c>
      <c r="C332" s="2940">
        <v>3520</v>
      </c>
      <c r="D332" s="2940">
        <v>3480</v>
      </c>
      <c r="E332" s="2940">
        <v>3830</v>
      </c>
      <c r="F332" s="2940">
        <v>720</v>
      </c>
      <c r="G332" s="2940">
        <v>2090</v>
      </c>
    </row>
    <row r="333" spans="1:7" s="2774" customFormat="1" ht="14.25" customHeight="1">
      <c r="A333" s="2940" t="s">
        <v>307</v>
      </c>
      <c r="B333" s="2940" t="s">
        <v>3152</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2894</v>
      </c>
      <c r="C336" s="2940">
        <v>3570</v>
      </c>
      <c r="D336" s="2940">
        <v>3530</v>
      </c>
      <c r="E336" s="2940">
        <v>3880</v>
      </c>
      <c r="F336" s="2940">
        <v>770</v>
      </c>
      <c r="G336" s="2940">
        <v>2110</v>
      </c>
    </row>
    <row r="337" spans="1:10" s="2774" customFormat="1" ht="14.25" customHeight="1">
      <c r="A337" s="2940" t="s">
        <v>307</v>
      </c>
      <c r="B337" s="2940" t="s">
        <v>3153</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3154</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3155</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2919</v>
      </c>
      <c r="C345" s="2940">
        <v>3190</v>
      </c>
      <c r="D345" s="2940">
        <v>3140</v>
      </c>
      <c r="E345" s="2940">
        <v>3450</v>
      </c>
      <c r="F345" s="2940">
        <v>720</v>
      </c>
      <c r="G345" s="2940">
        <v>1880</v>
      </c>
      <c r="J345" s="2774"/>
    </row>
    <row r="346" spans="1:10">
      <c r="A346" s="2940" t="s">
        <v>307</v>
      </c>
      <c r="B346" s="2940" t="s">
        <v>3156</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2928</v>
      </c>
      <c r="C348" s="2940">
        <v>4000</v>
      </c>
      <c r="D348" s="2940">
        <v>3950</v>
      </c>
      <c r="E348" s="2940">
        <v>4430</v>
      </c>
      <c r="F348" s="2940">
        <v>760</v>
      </c>
      <c r="G348" s="2940">
        <v>2360</v>
      </c>
      <c r="J348" s="2774"/>
    </row>
    <row r="349" spans="1:10">
      <c r="A349" s="2940" t="s">
        <v>307</v>
      </c>
      <c r="B349" s="2940" t="s">
        <v>2933</v>
      </c>
      <c r="C349" s="2940">
        <v>3820</v>
      </c>
      <c r="D349" s="2940">
        <v>3780</v>
      </c>
      <c r="E349" s="2940">
        <v>4170</v>
      </c>
      <c r="F349" s="2940">
        <v>710</v>
      </c>
      <c r="G349" s="2940">
        <v>2260</v>
      </c>
      <c r="J349" s="2774"/>
    </row>
    <row r="350" spans="1:10">
      <c r="A350" s="2940" t="s">
        <v>307</v>
      </c>
      <c r="B350" s="2940" t="s">
        <v>3157</v>
      </c>
      <c r="C350" s="2940">
        <v>3760</v>
      </c>
      <c r="D350" s="2940">
        <v>3730</v>
      </c>
      <c r="E350" s="2940">
        <v>4100</v>
      </c>
      <c r="F350" s="2940">
        <v>800</v>
      </c>
      <c r="G350" s="2940">
        <v>2230</v>
      </c>
      <c r="J350" s="2774"/>
    </row>
    <row r="351" spans="1:10">
      <c r="A351" s="2940" t="s">
        <v>307</v>
      </c>
      <c r="B351" s="2940" t="s">
        <v>2941</v>
      </c>
      <c r="C351" s="2940">
        <v>3610</v>
      </c>
      <c r="D351" s="2940">
        <v>3580</v>
      </c>
      <c r="E351" s="2940">
        <v>3930</v>
      </c>
      <c r="F351" s="2940">
        <v>700</v>
      </c>
      <c r="G351" s="2940">
        <v>2140</v>
      </c>
      <c r="J351" s="2774"/>
    </row>
    <row r="352" spans="1:10">
      <c r="A352" s="2940" t="s">
        <v>307</v>
      </c>
      <c r="B352" s="2940" t="s">
        <v>2946</v>
      </c>
      <c r="C352" s="2940">
        <v>3670</v>
      </c>
      <c r="D352" s="2940">
        <v>3630</v>
      </c>
      <c r="E352" s="2940">
        <v>4000</v>
      </c>
      <c r="F352" s="2940">
        <v>750</v>
      </c>
      <c r="G352" s="2940">
        <v>2180</v>
      </c>
    </row>
    <row r="353" spans="1:7" s="2775" customFormat="1">
      <c r="A353" s="2940" t="s">
        <v>307</v>
      </c>
      <c r="B353" s="2940" t="s">
        <v>3158</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2966</v>
      </c>
      <c r="C355" s="2940">
        <v>3650</v>
      </c>
      <c r="D355" s="2940">
        <v>3610</v>
      </c>
      <c r="E355" s="2940">
        <v>4200</v>
      </c>
      <c r="F355" s="2940">
        <v>640</v>
      </c>
      <c r="G355" s="2940">
        <v>2160</v>
      </c>
    </row>
    <row r="356" spans="1:7" s="2775" customFormat="1">
      <c r="A356" s="2940" t="s">
        <v>307</v>
      </c>
      <c r="B356" s="2940" t="s">
        <v>2973</v>
      </c>
      <c r="C356" s="2940">
        <v>3260</v>
      </c>
      <c r="D356" s="2940">
        <v>3230</v>
      </c>
      <c r="E356" s="2940">
        <v>3740</v>
      </c>
      <c r="F356" s="2940">
        <v>600</v>
      </c>
      <c r="G356" s="2940">
        <v>1930</v>
      </c>
    </row>
    <row r="357" spans="1:7" s="2775" customFormat="1" ht="12" thickBot="1">
      <c r="A357" s="2948" t="s">
        <v>307</v>
      </c>
      <c r="B357" s="2951" t="s">
        <v>3159</v>
      </c>
      <c r="C357" s="2951">
        <v>3690</v>
      </c>
      <c r="D357" s="2951">
        <v>3650</v>
      </c>
      <c r="E357" s="2951">
        <v>4020</v>
      </c>
      <c r="F357" s="2951">
        <v>700</v>
      </c>
      <c r="G357" s="2951">
        <v>2190</v>
      </c>
    </row>
    <row r="358" spans="1:7" s="2775" customFormat="1">
      <c r="A358" s="2945" t="s">
        <v>3160</v>
      </c>
      <c r="B358" s="2936" t="s">
        <v>3161</v>
      </c>
      <c r="C358" s="2936">
        <v>2080</v>
      </c>
      <c r="D358" s="2936">
        <v>2040</v>
      </c>
      <c r="E358" s="2936">
        <v>2010</v>
      </c>
      <c r="F358" s="2936">
        <v>530</v>
      </c>
      <c r="G358" s="2952">
        <v>1230</v>
      </c>
    </row>
    <row r="359" spans="1:7" s="2775" customFormat="1">
      <c r="A359" s="2940" t="s">
        <v>3160</v>
      </c>
      <c r="B359" s="2940" t="s">
        <v>3162</v>
      </c>
      <c r="C359" s="2940">
        <v>1850</v>
      </c>
      <c r="D359" s="2940">
        <v>1820</v>
      </c>
      <c r="E359" s="2940">
        <v>1780</v>
      </c>
      <c r="F359" s="2940">
        <v>520</v>
      </c>
      <c r="G359" s="2953">
        <v>1100</v>
      </c>
    </row>
    <row r="360" spans="1:7" s="2775" customFormat="1">
      <c r="A360" s="2940" t="s">
        <v>3160</v>
      </c>
      <c r="B360" s="2940" t="s">
        <v>3163</v>
      </c>
      <c r="C360" s="2940">
        <v>2020</v>
      </c>
      <c r="D360" s="2940">
        <v>1990</v>
      </c>
      <c r="E360" s="2940">
        <v>1950</v>
      </c>
      <c r="F360" s="2940">
        <v>500</v>
      </c>
      <c r="G360" s="2953">
        <v>1200</v>
      </c>
    </row>
    <row r="361" spans="1:7" s="2775" customFormat="1">
      <c r="A361" s="2940" t="s">
        <v>3160</v>
      </c>
      <c r="B361" s="2940" t="s">
        <v>153</v>
      </c>
      <c r="C361" s="2940">
        <v>2260</v>
      </c>
      <c r="D361" s="2940">
        <v>2220</v>
      </c>
      <c r="E361" s="2940">
        <v>2180</v>
      </c>
      <c r="F361" s="2940">
        <v>580</v>
      </c>
      <c r="G361" s="2953">
        <v>1340</v>
      </c>
    </row>
    <row r="362" spans="1:7" s="2775" customFormat="1">
      <c r="A362" s="2940" t="s">
        <v>3160</v>
      </c>
      <c r="B362" s="2940" t="s">
        <v>3164</v>
      </c>
      <c r="C362" s="2940">
        <v>2650</v>
      </c>
      <c r="D362" s="2940">
        <v>2610</v>
      </c>
      <c r="E362" s="2940">
        <v>2570</v>
      </c>
      <c r="F362" s="2940">
        <v>630</v>
      </c>
      <c r="G362" s="2953">
        <v>1570</v>
      </c>
    </row>
    <row r="363" spans="1:7" s="2775" customFormat="1">
      <c r="A363" s="2940" t="s">
        <v>3160</v>
      </c>
      <c r="B363" s="2940" t="s">
        <v>2885</v>
      </c>
      <c r="C363" s="2940">
        <v>2390</v>
      </c>
      <c r="D363" s="2940">
        <v>2360</v>
      </c>
      <c r="E363" s="2940">
        <v>2320</v>
      </c>
      <c r="F363" s="2940">
        <v>600</v>
      </c>
      <c r="G363" s="2953">
        <v>1420</v>
      </c>
    </row>
    <row r="364" spans="1:7" s="2775" customFormat="1">
      <c r="A364" s="2940" t="s">
        <v>3160</v>
      </c>
      <c r="B364" s="2940" t="s">
        <v>3165</v>
      </c>
      <c r="C364" s="2940">
        <v>2050</v>
      </c>
      <c r="D364" s="2940">
        <v>2030</v>
      </c>
      <c r="E364" s="2940">
        <v>1990</v>
      </c>
      <c r="F364" s="2940">
        <v>550</v>
      </c>
      <c r="G364" s="2953">
        <v>1220</v>
      </c>
    </row>
    <row r="365" spans="1:7" s="2775" customFormat="1">
      <c r="A365" s="2940" t="s">
        <v>3160</v>
      </c>
      <c r="B365" s="2940" t="s">
        <v>200</v>
      </c>
      <c r="C365" s="2940">
        <v>2140</v>
      </c>
      <c r="D365" s="2940">
        <v>2100</v>
      </c>
      <c r="E365" s="2940">
        <v>2060</v>
      </c>
      <c r="F365" s="2940">
        <v>540</v>
      </c>
      <c r="G365" s="2953">
        <v>1270</v>
      </c>
    </row>
    <row r="366" spans="1:7" s="2775" customFormat="1">
      <c r="A366" s="2940" t="s">
        <v>3160</v>
      </c>
      <c r="B366" s="2940" t="s">
        <v>2892</v>
      </c>
      <c r="C366" s="2940">
        <v>2410</v>
      </c>
      <c r="D366" s="2940">
        <v>2370</v>
      </c>
      <c r="E366" s="2940">
        <v>2330</v>
      </c>
      <c r="F366" s="2940">
        <v>570</v>
      </c>
      <c r="G366" s="2953">
        <v>1440</v>
      </c>
    </row>
    <row r="367" spans="1:7" s="2775" customFormat="1">
      <c r="A367" s="2940" t="s">
        <v>3160</v>
      </c>
      <c r="B367" s="2940" t="s">
        <v>3166</v>
      </c>
      <c r="C367" s="2940">
        <v>2300</v>
      </c>
      <c r="D367" s="2940">
        <v>2260</v>
      </c>
      <c r="E367" s="2940">
        <v>2220</v>
      </c>
      <c r="F367" s="2940">
        <v>560</v>
      </c>
      <c r="G367" s="2953">
        <v>1370</v>
      </c>
    </row>
    <row r="368" spans="1:7" s="2775" customFormat="1">
      <c r="A368" s="2940" t="s">
        <v>3160</v>
      </c>
      <c r="B368" s="2940" t="s">
        <v>3167</v>
      </c>
      <c r="C368" s="2940">
        <v>2430</v>
      </c>
      <c r="D368" s="2940">
        <v>2390</v>
      </c>
      <c r="E368" s="2940">
        <v>2350</v>
      </c>
      <c r="F368" s="2940">
        <v>570</v>
      </c>
      <c r="G368" s="2953">
        <v>1450</v>
      </c>
    </row>
    <row r="369" spans="1:7" s="2775" customFormat="1">
      <c r="A369" s="2940" t="s">
        <v>3160</v>
      </c>
      <c r="B369" s="2940" t="s">
        <v>214</v>
      </c>
      <c r="C369" s="2940">
        <v>2320</v>
      </c>
      <c r="D369" s="2940">
        <v>2290</v>
      </c>
      <c r="E369" s="2940">
        <v>2250</v>
      </c>
      <c r="F369" s="2940">
        <v>550</v>
      </c>
      <c r="G369" s="2953">
        <v>1380</v>
      </c>
    </row>
    <row r="370" spans="1:7" s="2775" customFormat="1">
      <c r="A370" s="2940" t="s">
        <v>3160</v>
      </c>
      <c r="B370" s="2940" t="s">
        <v>221</v>
      </c>
      <c r="C370" s="2940">
        <v>2190</v>
      </c>
      <c r="D370" s="2940">
        <v>2170</v>
      </c>
      <c r="E370" s="2940">
        <v>2130</v>
      </c>
      <c r="F370" s="2940">
        <v>530</v>
      </c>
      <c r="G370" s="2953">
        <v>1310</v>
      </c>
    </row>
    <row r="371" spans="1:7" s="2775" customFormat="1">
      <c r="A371" s="2940" t="s">
        <v>3160</v>
      </c>
      <c r="B371" s="2940" t="s">
        <v>229</v>
      </c>
      <c r="C371" s="2940">
        <v>2460</v>
      </c>
      <c r="D371" s="2940">
        <v>2420</v>
      </c>
      <c r="E371" s="2940">
        <v>2370</v>
      </c>
      <c r="F371" s="2940">
        <v>560</v>
      </c>
      <c r="G371" s="2953">
        <v>1470</v>
      </c>
    </row>
    <row r="372" spans="1:7" s="2775" customFormat="1">
      <c r="A372" s="2940" t="s">
        <v>3160</v>
      </c>
      <c r="B372" s="2940" t="s">
        <v>3168</v>
      </c>
      <c r="C372" s="2940">
        <v>2250</v>
      </c>
      <c r="D372" s="2940">
        <v>2210</v>
      </c>
      <c r="E372" s="2940">
        <v>2180</v>
      </c>
      <c r="F372" s="2940">
        <v>550</v>
      </c>
      <c r="G372" s="2953">
        <v>1340</v>
      </c>
    </row>
    <row r="373" spans="1:7" s="2775" customFormat="1">
      <c r="A373" s="2940" t="s">
        <v>3160</v>
      </c>
      <c r="B373" s="2940" t="s">
        <v>258</v>
      </c>
      <c r="C373" s="2940">
        <v>2210</v>
      </c>
      <c r="D373" s="2940">
        <v>2190</v>
      </c>
      <c r="E373" s="2940">
        <v>2150</v>
      </c>
      <c r="F373" s="2940">
        <v>530</v>
      </c>
      <c r="G373" s="2953">
        <v>1320</v>
      </c>
    </row>
    <row r="374" spans="1:7" s="2775" customFormat="1">
      <c r="A374" s="2940" t="s">
        <v>3160</v>
      </c>
      <c r="B374" s="2940" t="s">
        <v>266</v>
      </c>
      <c r="C374" s="2940">
        <v>2320</v>
      </c>
      <c r="D374" s="2940">
        <v>2280</v>
      </c>
      <c r="E374" s="2940">
        <v>2230</v>
      </c>
      <c r="F374" s="2940">
        <v>580</v>
      </c>
      <c r="G374" s="2953">
        <v>1380</v>
      </c>
    </row>
    <row r="375" spans="1:7" s="2775" customFormat="1">
      <c r="A375" s="2940" t="s">
        <v>3160</v>
      </c>
      <c r="B375" s="2940" t="s">
        <v>3169</v>
      </c>
      <c r="C375" s="2940">
        <v>2090</v>
      </c>
      <c r="D375" s="2940">
        <v>2050</v>
      </c>
      <c r="E375" s="2940">
        <v>2020</v>
      </c>
      <c r="F375" s="2940">
        <v>520</v>
      </c>
      <c r="G375" s="2953">
        <v>1240</v>
      </c>
    </row>
    <row r="376" spans="1:7" s="2775" customFormat="1">
      <c r="A376" s="2940" t="s">
        <v>3160</v>
      </c>
      <c r="B376" s="2940" t="s">
        <v>277</v>
      </c>
      <c r="C376" s="2940">
        <v>2010</v>
      </c>
      <c r="D376" s="2940">
        <v>1980</v>
      </c>
      <c r="E376" s="2940">
        <v>1940</v>
      </c>
      <c r="F376" s="2940">
        <v>540</v>
      </c>
      <c r="G376" s="2953">
        <v>1190</v>
      </c>
    </row>
    <row r="377" spans="1:7" s="2775" customFormat="1" ht="12" thickBot="1">
      <c r="A377" s="2948" t="s">
        <v>3160</v>
      </c>
      <c r="B377" s="2951" t="s">
        <v>2922</v>
      </c>
      <c r="C377" s="2951">
        <v>1930</v>
      </c>
      <c r="D377" s="2951">
        <v>1890</v>
      </c>
      <c r="E377" s="2951">
        <v>1860</v>
      </c>
      <c r="F377" s="2951">
        <v>530</v>
      </c>
      <c r="G377" s="2956">
        <v>1150</v>
      </c>
    </row>
    <row r="378" spans="1:7" s="2775" customFormat="1">
      <c r="A378" s="2957" t="s">
        <v>3170</v>
      </c>
      <c r="B378" s="2936" t="s">
        <v>3171</v>
      </c>
      <c r="C378" s="2936">
        <v>1520</v>
      </c>
      <c r="D378" s="2936">
        <v>1490</v>
      </c>
      <c r="E378" s="2936">
        <v>1460</v>
      </c>
      <c r="F378" s="2936">
        <v>460</v>
      </c>
      <c r="G378" s="2952">
        <v>940</v>
      </c>
    </row>
    <row r="379" spans="1:7" s="2775" customFormat="1">
      <c r="A379" s="2958" t="s">
        <v>3170</v>
      </c>
      <c r="B379" s="2940" t="s">
        <v>3172</v>
      </c>
      <c r="C379" s="2940">
        <v>1500</v>
      </c>
      <c r="D379" s="2940">
        <v>1470</v>
      </c>
      <c r="E379" s="2940">
        <v>1430</v>
      </c>
      <c r="F379" s="2940">
        <v>460</v>
      </c>
      <c r="G379" s="2953">
        <v>920</v>
      </c>
    </row>
    <row r="380" spans="1:7" s="2775" customFormat="1">
      <c r="A380" s="2958" t="s">
        <v>3170</v>
      </c>
      <c r="B380" s="2940" t="s">
        <v>3173</v>
      </c>
      <c r="C380" s="2940">
        <v>1620</v>
      </c>
      <c r="D380" s="2940">
        <v>1590</v>
      </c>
      <c r="E380" s="2940">
        <v>1560</v>
      </c>
      <c r="F380" s="2940">
        <v>480</v>
      </c>
      <c r="G380" s="2953">
        <v>1000</v>
      </c>
    </row>
    <row r="381" spans="1:7" s="2775" customFormat="1">
      <c r="A381" s="2958" t="s">
        <v>3170</v>
      </c>
      <c r="B381" s="2940" t="s">
        <v>3174</v>
      </c>
      <c r="C381" s="2940">
        <v>1460</v>
      </c>
      <c r="D381" s="2940">
        <v>1430</v>
      </c>
      <c r="E381" s="2940">
        <v>1390</v>
      </c>
      <c r="F381" s="2940">
        <v>450</v>
      </c>
      <c r="G381" s="2953">
        <v>900</v>
      </c>
    </row>
    <row r="382" spans="1:7" s="2775" customFormat="1">
      <c r="A382" s="2958" t="s">
        <v>3170</v>
      </c>
      <c r="B382" s="2940" t="s">
        <v>3175</v>
      </c>
      <c r="C382" s="2940">
        <v>1310</v>
      </c>
      <c r="D382" s="2940">
        <v>1280</v>
      </c>
      <c r="E382" s="2940">
        <v>1250</v>
      </c>
      <c r="F382" s="2940">
        <v>440</v>
      </c>
      <c r="G382" s="2953">
        <v>800</v>
      </c>
    </row>
    <row r="383" spans="1:7" s="2775" customFormat="1">
      <c r="A383" s="2958" t="s">
        <v>3170</v>
      </c>
      <c r="B383" s="2940" t="s">
        <v>3176</v>
      </c>
      <c r="C383" s="2940">
        <v>1260</v>
      </c>
      <c r="D383" s="2940">
        <v>1230</v>
      </c>
      <c r="E383" s="2940">
        <v>1200</v>
      </c>
      <c r="F383" s="2940">
        <v>420</v>
      </c>
      <c r="G383" s="2953">
        <v>770</v>
      </c>
    </row>
    <row r="384" spans="1:7" s="2775" customFormat="1" ht="12" thickBot="1">
      <c r="A384" s="2959" t="s">
        <v>3170</v>
      </c>
      <c r="B384" s="2947" t="s">
        <v>3177</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58" t="s">
        <v>3178</v>
      </c>
      <c r="B1" s="3558"/>
    </row>
    <row r="2" spans="1:7" ht="14.25" thickBot="1">
      <c r="A2" s="2961"/>
      <c r="B2" s="2961"/>
    </row>
    <row r="3" spans="1:7" ht="14.25" thickBot="1">
      <c r="A3" s="2961"/>
      <c r="B3" s="2961"/>
      <c r="C3" s="2962" t="s">
        <v>2808</v>
      </c>
      <c r="D3" s="2962" t="s">
        <v>2864</v>
      </c>
      <c r="E3" s="2962" t="s">
        <v>2810</v>
      </c>
      <c r="F3" s="2962" t="s">
        <v>2865</v>
      </c>
      <c r="G3" s="2962" t="s">
        <v>2628</v>
      </c>
    </row>
    <row r="4" spans="1:7" ht="14.25" thickBot="1">
      <c r="A4" s="2963" t="s">
        <v>2863</v>
      </c>
      <c r="B4" s="2964" t="s">
        <v>2869</v>
      </c>
      <c r="C4" s="2962"/>
      <c r="D4" s="2962"/>
      <c r="E4" s="2962"/>
      <c r="F4" s="2962"/>
      <c r="G4" s="2962"/>
    </row>
    <row r="5" spans="1:7">
      <c r="A5" s="2965" t="s">
        <v>2837</v>
      </c>
      <c r="B5" s="2966" t="s">
        <v>2851</v>
      </c>
      <c r="C5" s="2967">
        <v>9.8000000000000004E-2</v>
      </c>
      <c r="D5" s="2967">
        <v>8.6999999999999994E-2</v>
      </c>
      <c r="E5" s="2967">
        <v>8.6999999999999994E-2</v>
      </c>
      <c r="F5" s="2967">
        <v>9.8000000000000004E-2</v>
      </c>
      <c r="G5" s="2968">
        <v>9.5000000000000001E-2</v>
      </c>
    </row>
    <row r="6" spans="1:7">
      <c r="A6" s="2969" t="s">
        <v>144</v>
      </c>
      <c r="B6" s="2970" t="s">
        <v>2866</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2852</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2902</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2920</v>
      </c>
      <c r="C29" s="2979"/>
      <c r="D29" s="2975">
        <v>5.1999999999999998E-2</v>
      </c>
      <c r="E29" s="2975">
        <v>7.0000000000000007E-2</v>
      </c>
      <c r="F29" s="2979"/>
      <c r="G29" s="2977">
        <v>7.0999999999999994E-2</v>
      </c>
    </row>
    <row r="30" spans="1:7">
      <c r="A30" s="2980" t="s">
        <v>296</v>
      </c>
      <c r="B30" s="2966" t="s">
        <v>2853</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2839</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2923</v>
      </c>
      <c r="C50" s="2971">
        <v>9.8000000000000004E-2</v>
      </c>
      <c r="D50" s="2971">
        <v>7.2999999999999995E-2</v>
      </c>
      <c r="E50" s="2971">
        <v>7.0999999999999994E-2</v>
      </c>
      <c r="F50" s="2982"/>
      <c r="G50" s="2972">
        <v>7.2999999999999995E-2</v>
      </c>
    </row>
    <row r="51" spans="1:7">
      <c r="A51" s="2981" t="s">
        <v>296</v>
      </c>
      <c r="B51" s="2970" t="s">
        <v>2925</v>
      </c>
      <c r="C51" s="2971">
        <v>9.9000000000000005E-2</v>
      </c>
      <c r="D51" s="2971">
        <v>8.5000000000000006E-2</v>
      </c>
      <c r="E51" s="2971">
        <v>6.3E-2</v>
      </c>
      <c r="F51" s="2982"/>
      <c r="G51" s="2972">
        <v>9.6000000000000002E-2</v>
      </c>
    </row>
    <row r="52" spans="1:7">
      <c r="A52" s="2981" t="s">
        <v>296</v>
      </c>
      <c r="B52" s="2970" t="s">
        <v>2929</v>
      </c>
      <c r="C52" s="2971">
        <v>7.3999999999999996E-2</v>
      </c>
      <c r="D52" s="2971">
        <v>9.6000000000000002E-2</v>
      </c>
      <c r="E52" s="2971">
        <v>0.05</v>
      </c>
      <c r="F52" s="2982"/>
      <c r="G52" s="2972">
        <v>9.8000000000000004E-2</v>
      </c>
    </row>
    <row r="53" spans="1:7">
      <c r="A53" s="2981" t="s">
        <v>296</v>
      </c>
      <c r="B53" s="2970" t="s">
        <v>2934</v>
      </c>
      <c r="C53" s="2971">
        <v>8.5999999999999993E-2</v>
      </c>
      <c r="D53" s="2982"/>
      <c r="E53" s="2971">
        <v>9.1999999999999998E-2</v>
      </c>
      <c r="F53" s="2982"/>
      <c r="G53" s="2983"/>
    </row>
    <row r="54" spans="1:7" ht="14.25" thickBot="1">
      <c r="A54" s="2984" t="s">
        <v>296</v>
      </c>
      <c r="B54" s="2974" t="s">
        <v>2937</v>
      </c>
      <c r="C54" s="2975">
        <v>9.6000000000000002E-2</v>
      </c>
      <c r="D54" s="2976"/>
      <c r="E54" s="2985"/>
      <c r="F54" s="2976"/>
      <c r="G54" s="2986"/>
    </row>
    <row r="55" spans="1:7">
      <c r="A55" s="2980" t="s">
        <v>110</v>
      </c>
      <c r="B55" s="2966" t="s">
        <v>2854</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2935</v>
      </c>
      <c r="C78" s="2971">
        <v>0.1</v>
      </c>
      <c r="D78" s="2971">
        <v>8.5000000000000006E-2</v>
      </c>
      <c r="E78" s="2971">
        <v>9.6000000000000002E-2</v>
      </c>
      <c r="F78" s="2982"/>
      <c r="G78" s="2972">
        <v>9.6000000000000002E-2</v>
      </c>
    </row>
    <row r="79" spans="1:7">
      <c r="A79" s="2981" t="s">
        <v>110</v>
      </c>
      <c r="B79" s="2970" t="s">
        <v>2938</v>
      </c>
      <c r="C79" s="2971">
        <v>0.05</v>
      </c>
      <c r="D79" s="2971">
        <v>9.6000000000000002E-2</v>
      </c>
      <c r="E79" s="2971">
        <v>9.5000000000000001E-2</v>
      </c>
      <c r="F79" s="2982"/>
      <c r="G79" s="2972">
        <v>9.8000000000000004E-2</v>
      </c>
    </row>
    <row r="80" spans="1:7">
      <c r="A80" s="2981" t="s">
        <v>110</v>
      </c>
      <c r="B80" s="2970" t="s">
        <v>2942</v>
      </c>
      <c r="C80" s="2971">
        <v>8.5999999999999993E-2</v>
      </c>
      <c r="D80" s="2987"/>
      <c r="E80" s="2971">
        <v>0.1</v>
      </c>
      <c r="F80" s="2982"/>
      <c r="G80" s="2983"/>
    </row>
    <row r="81" spans="1:7">
      <c r="A81" s="2981" t="s">
        <v>110</v>
      </c>
      <c r="B81" s="2970" t="s">
        <v>2947</v>
      </c>
      <c r="C81" s="2971">
        <v>9.6000000000000002E-2</v>
      </c>
      <c r="D81" s="2982"/>
      <c r="E81" s="2971">
        <v>9.8000000000000004E-2</v>
      </c>
      <c r="F81" s="2982"/>
      <c r="G81" s="2983"/>
    </row>
    <row r="82" spans="1:7">
      <c r="A82" s="2981" t="s">
        <v>110</v>
      </c>
      <c r="B82" s="2970" t="s">
        <v>2954</v>
      </c>
      <c r="C82" s="2987"/>
      <c r="D82" s="2982"/>
      <c r="E82" s="2971">
        <v>7.6999999999999999E-2</v>
      </c>
      <c r="F82" s="2982"/>
      <c r="G82" s="2983"/>
    </row>
    <row r="83" spans="1:7">
      <c r="A83" s="2981" t="s">
        <v>110</v>
      </c>
      <c r="B83" s="2970" t="s">
        <v>2960</v>
      </c>
      <c r="C83" s="2982"/>
      <c r="D83" s="2982"/>
      <c r="E83" s="2982"/>
      <c r="F83" s="2971">
        <v>0.1</v>
      </c>
      <c r="G83" s="2988"/>
    </row>
    <row r="84" spans="1:7">
      <c r="A84" s="2981" t="s">
        <v>110</v>
      </c>
      <c r="B84" s="2970" t="s">
        <v>2967</v>
      </c>
      <c r="C84" s="2982"/>
      <c r="D84" s="2982"/>
      <c r="E84" s="2982"/>
      <c r="F84" s="2971">
        <v>0.1</v>
      </c>
      <c r="G84" s="2988"/>
    </row>
    <row r="85" spans="1:7">
      <c r="A85" s="2981" t="s">
        <v>110</v>
      </c>
      <c r="B85" s="2970" t="s">
        <v>2974</v>
      </c>
      <c r="C85" s="2982"/>
      <c r="D85" s="2982"/>
      <c r="E85" s="2982"/>
      <c r="F85" s="2971">
        <v>0.1</v>
      </c>
      <c r="G85" s="2988"/>
    </row>
    <row r="86" spans="1:7" ht="14.25" thickBot="1">
      <c r="A86" s="2984" t="s">
        <v>110</v>
      </c>
      <c r="B86" s="2974" t="s">
        <v>2979</v>
      </c>
      <c r="C86" s="2975">
        <v>9.8000000000000004E-2</v>
      </c>
      <c r="D86" s="2975">
        <v>9.8000000000000004E-2</v>
      </c>
      <c r="E86" s="2975">
        <v>9.6000000000000002E-2</v>
      </c>
      <c r="F86" s="2985"/>
      <c r="G86" s="2977">
        <v>0.1</v>
      </c>
    </row>
    <row r="87" spans="1:7">
      <c r="A87" s="2980" t="s">
        <v>303</v>
      </c>
      <c r="B87" s="2966" t="s">
        <v>2855</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2948</v>
      </c>
      <c r="C113" s="2971">
        <v>0.1</v>
      </c>
      <c r="D113" s="2971">
        <v>0.1</v>
      </c>
      <c r="E113" s="2982"/>
      <c r="F113" s="2982"/>
      <c r="G113" s="2972">
        <v>0.1</v>
      </c>
    </row>
    <row r="114" spans="1:7">
      <c r="A114" s="2981" t="s">
        <v>303</v>
      </c>
      <c r="B114" s="2970" t="s">
        <v>2955</v>
      </c>
      <c r="C114" s="2971">
        <v>9.7000000000000003E-2</v>
      </c>
      <c r="D114" s="2971">
        <v>9.7000000000000003E-2</v>
      </c>
      <c r="E114" s="2982"/>
      <c r="F114" s="2982"/>
      <c r="G114" s="2972">
        <v>9.9000000000000005E-2</v>
      </c>
    </row>
    <row r="115" spans="1:7">
      <c r="A115" s="2981" t="s">
        <v>303</v>
      </c>
      <c r="B115" s="2970" t="s">
        <v>2961</v>
      </c>
      <c r="C115" s="2971">
        <v>0.1</v>
      </c>
      <c r="D115" s="2971">
        <v>0.1</v>
      </c>
      <c r="E115" s="2982"/>
      <c r="F115" s="2982"/>
      <c r="G115" s="2972">
        <v>0.1</v>
      </c>
    </row>
    <row r="116" spans="1:7">
      <c r="A116" s="2981" t="s">
        <v>303</v>
      </c>
      <c r="B116" s="2970" t="s">
        <v>2968</v>
      </c>
      <c r="C116" s="2971">
        <v>0.1</v>
      </c>
      <c r="D116" s="2971">
        <v>0.1</v>
      </c>
      <c r="E116" s="2982"/>
      <c r="F116" s="2982"/>
      <c r="G116" s="2972">
        <v>0.1</v>
      </c>
    </row>
    <row r="117" spans="1:7">
      <c r="A117" s="2981" t="s">
        <v>303</v>
      </c>
      <c r="B117" s="2970" t="s">
        <v>2975</v>
      </c>
      <c r="C117" s="2971">
        <v>9.7000000000000003E-2</v>
      </c>
      <c r="D117" s="2971">
        <v>9.7000000000000003E-2</v>
      </c>
      <c r="E117" s="2982"/>
      <c r="F117" s="2982"/>
      <c r="G117" s="2972">
        <v>9.7000000000000003E-2</v>
      </c>
    </row>
    <row r="118" spans="1:7">
      <c r="A118" s="2981" t="s">
        <v>303</v>
      </c>
      <c r="B118" s="2970" t="s">
        <v>2980</v>
      </c>
      <c r="C118" s="2971">
        <v>0.1</v>
      </c>
      <c r="D118" s="2971">
        <v>0.1</v>
      </c>
      <c r="E118" s="2982"/>
      <c r="F118" s="2982"/>
      <c r="G118" s="2972">
        <v>0.1</v>
      </c>
    </row>
    <row r="119" spans="1:7">
      <c r="A119" s="2981" t="s">
        <v>303</v>
      </c>
      <c r="B119" s="2970" t="s">
        <v>2984</v>
      </c>
      <c r="C119" s="2971">
        <v>5.0999999999999997E-2</v>
      </c>
      <c r="D119" s="2971">
        <v>5.1999999999999998E-2</v>
      </c>
      <c r="E119" s="2982"/>
      <c r="F119" s="2987"/>
      <c r="G119" s="2972">
        <v>0.06</v>
      </c>
    </row>
    <row r="120" spans="1:7">
      <c r="A120" s="2981" t="s">
        <v>303</v>
      </c>
      <c r="B120" s="2970" t="s">
        <v>2988</v>
      </c>
      <c r="C120" s="2982"/>
      <c r="D120" s="2982"/>
      <c r="E120" s="2982"/>
      <c r="F120" s="2971">
        <v>0.1</v>
      </c>
      <c r="G120" s="2988"/>
    </row>
    <row r="121" spans="1:7">
      <c r="A121" s="2981" t="s">
        <v>303</v>
      </c>
      <c r="B121" s="2970" t="s">
        <v>2993</v>
      </c>
      <c r="C121" s="2982"/>
      <c r="D121" s="2982"/>
      <c r="E121" s="2982"/>
      <c r="F121" s="2971">
        <v>0.1</v>
      </c>
      <c r="G121" s="2988"/>
    </row>
    <row r="122" spans="1:7">
      <c r="A122" s="2981" t="s">
        <v>303</v>
      </c>
      <c r="B122" s="2970" t="s">
        <v>2998</v>
      </c>
      <c r="C122" s="2971">
        <v>0.1</v>
      </c>
      <c r="D122" s="2971">
        <v>0.1</v>
      </c>
      <c r="E122" s="2971">
        <v>9.8000000000000004E-2</v>
      </c>
      <c r="F122" s="2971">
        <v>0.1</v>
      </c>
      <c r="G122" s="2972">
        <v>0.1</v>
      </c>
    </row>
    <row r="123" spans="1:7">
      <c r="A123" s="2981" t="s">
        <v>303</v>
      </c>
      <c r="B123" s="2970" t="s">
        <v>3003</v>
      </c>
      <c r="C123" s="2971">
        <v>0.1</v>
      </c>
      <c r="D123" s="2971">
        <v>0.1</v>
      </c>
      <c r="E123" s="2971">
        <v>9.8000000000000004E-2</v>
      </c>
      <c r="F123" s="2971">
        <v>0.1</v>
      </c>
      <c r="G123" s="2972">
        <v>0.1</v>
      </c>
    </row>
    <row r="124" spans="1:7">
      <c r="A124" s="2981" t="s">
        <v>303</v>
      </c>
      <c r="B124" s="2970" t="s">
        <v>3008</v>
      </c>
      <c r="C124" s="2971">
        <v>0.1</v>
      </c>
      <c r="D124" s="2971">
        <v>0.1</v>
      </c>
      <c r="E124" s="2971">
        <v>9.8000000000000004E-2</v>
      </c>
      <c r="F124" s="2987"/>
      <c r="G124" s="2972">
        <v>0.1</v>
      </c>
    </row>
    <row r="125" spans="1:7">
      <c r="A125" s="2981" t="s">
        <v>303</v>
      </c>
      <c r="B125" s="2970" t="s">
        <v>3013</v>
      </c>
      <c r="C125" s="2971">
        <v>9.8000000000000004E-2</v>
      </c>
      <c r="D125" s="2971">
        <v>9.8000000000000004E-2</v>
      </c>
      <c r="E125" s="2971">
        <v>9.6000000000000002E-2</v>
      </c>
      <c r="F125" s="2987"/>
      <c r="G125" s="2972">
        <v>0.1</v>
      </c>
    </row>
    <row r="126" spans="1:7" ht="14.25" thickBot="1">
      <c r="A126" s="2984" t="s">
        <v>303</v>
      </c>
      <c r="B126" s="2974" t="s">
        <v>3179</v>
      </c>
      <c r="C126" s="2975">
        <v>0.1</v>
      </c>
      <c r="D126" s="2975">
        <v>0.1</v>
      </c>
      <c r="E126" s="2975">
        <v>9.8000000000000004E-2</v>
      </c>
      <c r="F126" s="2975">
        <v>0.1</v>
      </c>
      <c r="G126" s="2977">
        <v>0.1</v>
      </c>
    </row>
    <row r="127" spans="1:7">
      <c r="A127" s="2980" t="s">
        <v>29</v>
      </c>
      <c r="B127" s="2966" t="s">
        <v>2856</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2926</v>
      </c>
      <c r="C148" s="2971">
        <v>0.13</v>
      </c>
      <c r="D148" s="2971">
        <v>0.13</v>
      </c>
      <c r="E148" s="2971">
        <v>0.13</v>
      </c>
      <c r="F148" s="2982"/>
      <c r="G148" s="2972">
        <v>0.13</v>
      </c>
    </row>
    <row r="149" spans="1:7">
      <c r="A149" s="2981" t="s">
        <v>29</v>
      </c>
      <c r="B149" s="2970" t="s">
        <v>2930</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2949</v>
      </c>
      <c r="C153" s="2971">
        <v>0.13</v>
      </c>
      <c r="D153" s="2971">
        <v>0.13</v>
      </c>
      <c r="E153" s="2971">
        <v>0.13</v>
      </c>
      <c r="F153" s="2971">
        <v>0.13</v>
      </c>
      <c r="G153" s="2972">
        <v>0.13</v>
      </c>
    </row>
    <row r="154" spans="1:7">
      <c r="A154" s="2981" t="s">
        <v>29</v>
      </c>
      <c r="B154" s="2970" t="s">
        <v>2956</v>
      </c>
      <c r="C154" s="2971">
        <v>0.121</v>
      </c>
      <c r="D154" s="2971">
        <v>0.121</v>
      </c>
      <c r="E154" s="2971">
        <v>0.105</v>
      </c>
      <c r="F154" s="2971">
        <v>0.121</v>
      </c>
      <c r="G154" s="2972">
        <v>0.123</v>
      </c>
    </row>
    <row r="155" spans="1:7">
      <c r="A155" s="2981" t="s">
        <v>29</v>
      </c>
      <c r="B155" s="2970" t="s">
        <v>2962</v>
      </c>
      <c r="C155" s="2971">
        <v>0.1</v>
      </c>
      <c r="D155" s="2971">
        <v>0.1</v>
      </c>
      <c r="E155" s="2971">
        <v>0.1</v>
      </c>
      <c r="F155" s="2971">
        <v>0.1</v>
      </c>
      <c r="G155" s="2972">
        <v>0.1</v>
      </c>
    </row>
    <row r="156" spans="1:7">
      <c r="A156" s="2981" t="s">
        <v>29</v>
      </c>
      <c r="B156" s="2970" t="s">
        <v>2969</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2989</v>
      </c>
      <c r="C160" s="2971">
        <v>0.13</v>
      </c>
      <c r="D160" s="2971">
        <v>0.13</v>
      </c>
      <c r="E160" s="2971">
        <v>0.124</v>
      </c>
      <c r="F160" s="2971">
        <v>0.126</v>
      </c>
      <c r="G160" s="2972">
        <v>0.13</v>
      </c>
    </row>
    <row r="161" spans="1:7">
      <c r="A161" s="2981" t="s">
        <v>29</v>
      </c>
      <c r="B161" s="2970" t="s">
        <v>2994</v>
      </c>
      <c r="C161" s="2971">
        <v>0.13</v>
      </c>
      <c r="D161" s="2971">
        <v>0.13</v>
      </c>
      <c r="E161" s="2971">
        <v>0.124</v>
      </c>
      <c r="F161" s="2971">
        <v>0.127</v>
      </c>
      <c r="G161" s="2972">
        <v>0.13</v>
      </c>
    </row>
    <row r="162" spans="1:7">
      <c r="A162" s="2981" t="s">
        <v>29</v>
      </c>
      <c r="B162" s="2970" t="s">
        <v>2999</v>
      </c>
      <c r="C162" s="2971">
        <v>0.1</v>
      </c>
      <c r="D162" s="2971">
        <v>0.1</v>
      </c>
      <c r="E162" s="2971">
        <v>0.1</v>
      </c>
      <c r="F162" s="2971">
        <v>0.121</v>
      </c>
      <c r="G162" s="2972">
        <v>0.105</v>
      </c>
    </row>
    <row r="163" spans="1:7">
      <c r="A163" s="2981" t="s">
        <v>29</v>
      </c>
      <c r="B163" s="2970" t="s">
        <v>3004</v>
      </c>
      <c r="C163" s="2971">
        <v>0.1</v>
      </c>
      <c r="D163" s="2971">
        <v>0.1</v>
      </c>
      <c r="E163" s="2971">
        <v>0.1</v>
      </c>
      <c r="F163" s="2971">
        <v>0.1</v>
      </c>
      <c r="G163" s="2972">
        <v>0.1</v>
      </c>
    </row>
    <row r="164" spans="1:7">
      <c r="A164" s="2981" t="s">
        <v>29</v>
      </c>
      <c r="B164" s="2970" t="s">
        <v>3009</v>
      </c>
      <c r="C164" s="2987"/>
      <c r="D164" s="2987"/>
      <c r="E164" s="2987"/>
      <c r="F164" s="2971">
        <v>0.1</v>
      </c>
      <c r="G164" s="2983"/>
    </row>
    <row r="165" spans="1:7">
      <c r="A165" s="2981" t="s">
        <v>29</v>
      </c>
      <c r="B165" s="2970" t="s">
        <v>3180</v>
      </c>
      <c r="C165" s="2971">
        <v>0.126</v>
      </c>
      <c r="D165" s="2971">
        <v>0.126</v>
      </c>
      <c r="E165" s="2971">
        <v>0.11899999999999999</v>
      </c>
      <c r="F165" s="2971">
        <v>0.13</v>
      </c>
      <c r="G165" s="2972">
        <v>0.128</v>
      </c>
    </row>
    <row r="166" spans="1:7">
      <c r="A166" s="2981" t="s">
        <v>29</v>
      </c>
      <c r="B166" s="2970" t="s">
        <v>3019</v>
      </c>
      <c r="C166" s="2971">
        <v>0.129</v>
      </c>
      <c r="D166" s="2971">
        <v>0.129</v>
      </c>
      <c r="E166" s="2971">
        <v>0.123</v>
      </c>
      <c r="F166" s="2971">
        <v>0.128</v>
      </c>
      <c r="G166" s="2972">
        <v>0.13</v>
      </c>
    </row>
    <row r="167" spans="1:7">
      <c r="A167" s="2981" t="s">
        <v>29</v>
      </c>
      <c r="B167" s="2970" t="s">
        <v>3023</v>
      </c>
      <c r="C167" s="2971">
        <v>0.125</v>
      </c>
      <c r="D167" s="2971">
        <v>0.125</v>
      </c>
      <c r="E167" s="2971">
        <v>0.11700000000000001</v>
      </c>
      <c r="F167" s="2971">
        <v>0.13</v>
      </c>
      <c r="G167" s="2972">
        <v>0.126</v>
      </c>
    </row>
    <row r="168" spans="1:7">
      <c r="A168" s="2981" t="s">
        <v>29</v>
      </c>
      <c r="B168" s="2970" t="s">
        <v>3028</v>
      </c>
      <c r="C168" s="2971">
        <v>0.128</v>
      </c>
      <c r="D168" s="2971">
        <v>0.128</v>
      </c>
      <c r="E168" s="2971">
        <v>0.123</v>
      </c>
      <c r="F168" s="2982"/>
      <c r="G168" s="2972">
        <v>0.13</v>
      </c>
    </row>
    <row r="169" spans="1:7">
      <c r="A169" s="2981" t="s">
        <v>29</v>
      </c>
      <c r="B169" s="2970" t="s">
        <v>3181</v>
      </c>
      <c r="C169" s="2987"/>
      <c r="D169" s="2987"/>
      <c r="E169" s="2987"/>
      <c r="F169" s="2971">
        <v>0.05</v>
      </c>
      <c r="G169" s="2983"/>
    </row>
    <row r="170" spans="1:7">
      <c r="A170" s="2981" t="s">
        <v>29</v>
      </c>
      <c r="B170" s="2970" t="s">
        <v>3182</v>
      </c>
      <c r="C170" s="2987"/>
      <c r="D170" s="2987"/>
      <c r="E170" s="2987"/>
      <c r="F170" s="2971">
        <v>0.05</v>
      </c>
      <c r="G170" s="2983"/>
    </row>
    <row r="171" spans="1:7">
      <c r="A171" s="2981" t="s">
        <v>29</v>
      </c>
      <c r="B171" s="2970" t="s">
        <v>3183</v>
      </c>
      <c r="C171" s="2987"/>
      <c r="D171" s="2987"/>
      <c r="E171" s="2987"/>
      <c r="F171" s="2971">
        <v>0.05</v>
      </c>
      <c r="G171" s="2988"/>
    </row>
    <row r="172" spans="1:7">
      <c r="A172" s="2981" t="s">
        <v>29</v>
      </c>
      <c r="B172" s="2970" t="s">
        <v>3184</v>
      </c>
      <c r="C172" s="2987"/>
      <c r="D172" s="2987"/>
      <c r="E172" s="2987"/>
      <c r="F172" s="2971">
        <v>0.05</v>
      </c>
      <c r="G172" s="2988"/>
    </row>
    <row r="173" spans="1:7">
      <c r="A173" s="2981" t="s">
        <v>29</v>
      </c>
      <c r="B173" s="2970" t="s">
        <v>3185</v>
      </c>
      <c r="C173" s="2987"/>
      <c r="D173" s="2987"/>
      <c r="E173" s="2987"/>
      <c r="F173" s="2971">
        <v>0.05</v>
      </c>
      <c r="G173" s="2983"/>
    </row>
    <row r="174" spans="1:7">
      <c r="A174" s="2981" t="s">
        <v>29</v>
      </c>
      <c r="B174" s="2970" t="s">
        <v>3186</v>
      </c>
      <c r="C174" s="2987"/>
      <c r="D174" s="2987"/>
      <c r="E174" s="2987"/>
      <c r="F174" s="2971">
        <v>0.05</v>
      </c>
      <c r="G174" s="2983"/>
    </row>
    <row r="175" spans="1:7">
      <c r="A175" s="2981" t="s">
        <v>29</v>
      </c>
      <c r="B175" s="2970" t="s">
        <v>3187</v>
      </c>
      <c r="C175" s="2987"/>
      <c r="D175" s="2987"/>
      <c r="E175" s="2987"/>
      <c r="F175" s="2971">
        <v>0.05</v>
      </c>
      <c r="G175" s="2983"/>
    </row>
    <row r="176" spans="1:7">
      <c r="A176" s="2981" t="s">
        <v>29</v>
      </c>
      <c r="B176" s="2970" t="s">
        <v>3188</v>
      </c>
      <c r="C176" s="2987"/>
      <c r="D176" s="2987"/>
      <c r="E176" s="2987"/>
      <c r="F176" s="2971">
        <v>0.05</v>
      </c>
      <c r="G176" s="2983"/>
    </row>
    <row r="177" spans="1:7">
      <c r="A177" s="2981" t="s">
        <v>29</v>
      </c>
      <c r="B177" s="2970" t="s">
        <v>3189</v>
      </c>
      <c r="C177" s="2982"/>
      <c r="D177" s="2982"/>
      <c r="E177" s="2982"/>
      <c r="F177" s="2971">
        <v>0.05</v>
      </c>
      <c r="G177" s="2988"/>
    </row>
    <row r="178" spans="1:7">
      <c r="A178" s="2981" t="s">
        <v>29</v>
      </c>
      <c r="B178" s="2970" t="s">
        <v>3190</v>
      </c>
      <c r="C178" s="2982"/>
      <c r="D178" s="2982"/>
      <c r="E178" s="2982"/>
      <c r="F178" s="2971">
        <v>0.05</v>
      </c>
      <c r="G178" s="2988"/>
    </row>
    <row r="179" spans="1:7">
      <c r="A179" s="2981" t="s">
        <v>29</v>
      </c>
      <c r="B179" s="2970" t="s">
        <v>3191</v>
      </c>
      <c r="C179" s="2982"/>
      <c r="D179" s="2982"/>
      <c r="E179" s="2982"/>
      <c r="F179" s="2971">
        <v>0.05</v>
      </c>
      <c r="G179" s="2988"/>
    </row>
    <row r="180" spans="1:7">
      <c r="A180" s="2981" t="s">
        <v>29</v>
      </c>
      <c r="B180" s="2970" t="s">
        <v>3192</v>
      </c>
      <c r="C180" s="2982"/>
      <c r="D180" s="2982"/>
      <c r="E180" s="2982"/>
      <c r="F180" s="2971">
        <v>0.05</v>
      </c>
      <c r="G180" s="2988"/>
    </row>
    <row r="181" spans="1:7">
      <c r="A181" s="2981" t="s">
        <v>29</v>
      </c>
      <c r="B181" s="2970" t="s">
        <v>3193</v>
      </c>
      <c r="C181" s="2982"/>
      <c r="D181" s="2982"/>
      <c r="E181" s="2982"/>
      <c r="F181" s="2971">
        <v>0.05</v>
      </c>
      <c r="G181" s="2988"/>
    </row>
    <row r="182" spans="1:7">
      <c r="A182" s="2981" t="s">
        <v>29</v>
      </c>
      <c r="B182" s="2970" t="s">
        <v>3194</v>
      </c>
      <c r="C182" s="2982"/>
      <c r="D182" s="2982"/>
      <c r="E182" s="2982"/>
      <c r="F182" s="2971">
        <v>0.05</v>
      </c>
      <c r="G182" s="2988"/>
    </row>
    <row r="183" spans="1:7">
      <c r="A183" s="2981" t="s">
        <v>29</v>
      </c>
      <c r="B183" s="2970" t="s">
        <v>3195</v>
      </c>
      <c r="C183" s="2982"/>
      <c r="D183" s="2982"/>
      <c r="E183" s="2982"/>
      <c r="F183" s="2971">
        <v>0.05</v>
      </c>
      <c r="G183" s="2988"/>
    </row>
    <row r="184" spans="1:7">
      <c r="A184" s="2981" t="s">
        <v>29</v>
      </c>
      <c r="B184" s="2970" t="s">
        <v>3196</v>
      </c>
      <c r="C184" s="2982"/>
      <c r="D184" s="2982"/>
      <c r="E184" s="2982"/>
      <c r="F184" s="2971">
        <v>0.05</v>
      </c>
      <c r="G184" s="2988"/>
    </row>
    <row r="185" spans="1:7">
      <c r="A185" s="2981" t="s">
        <v>29</v>
      </c>
      <c r="B185" s="2970" t="s">
        <v>3197</v>
      </c>
      <c r="C185" s="2982"/>
      <c r="D185" s="2982"/>
      <c r="E185" s="2982"/>
      <c r="F185" s="2971">
        <v>0.05</v>
      </c>
      <c r="G185" s="2988"/>
    </row>
    <row r="186" spans="1:7">
      <c r="A186" s="2981" t="s">
        <v>29</v>
      </c>
      <c r="B186" s="2970" t="s">
        <v>3198</v>
      </c>
      <c r="C186" s="2982"/>
      <c r="D186" s="2982"/>
      <c r="E186" s="2982"/>
      <c r="F186" s="2971">
        <v>0.05</v>
      </c>
      <c r="G186" s="2988"/>
    </row>
    <row r="187" spans="1:7">
      <c r="A187" s="2981" t="s">
        <v>29</v>
      </c>
      <c r="B187" s="2970" t="s">
        <v>3199</v>
      </c>
      <c r="C187" s="2982"/>
      <c r="D187" s="2982"/>
      <c r="E187" s="2982"/>
      <c r="F187" s="2971">
        <v>0.05</v>
      </c>
      <c r="G187" s="2988"/>
    </row>
    <row r="188" spans="1:7">
      <c r="A188" s="2981" t="s">
        <v>29</v>
      </c>
      <c r="B188" s="2970" t="s">
        <v>3200</v>
      </c>
      <c r="C188" s="2982"/>
      <c r="D188" s="2982"/>
      <c r="E188" s="2982"/>
      <c r="F188" s="2971">
        <v>0.05</v>
      </c>
      <c r="G188" s="2988"/>
    </row>
    <row r="189" spans="1:7" ht="14.25" thickBot="1">
      <c r="A189" s="2984" t="s">
        <v>29</v>
      </c>
      <c r="B189" s="2974" t="s">
        <v>3201</v>
      </c>
      <c r="C189" s="2976"/>
      <c r="D189" s="2976"/>
      <c r="E189" s="2976"/>
      <c r="F189" s="2975">
        <v>0.05</v>
      </c>
      <c r="G189" s="2989"/>
    </row>
    <row r="190" spans="1:7">
      <c r="A190" s="2980" t="s">
        <v>304</v>
      </c>
      <c r="B190" s="2966" t="s">
        <v>2857</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2893</v>
      </c>
      <c r="C199" s="2971">
        <v>0.13</v>
      </c>
      <c r="D199" s="2971">
        <v>0.13</v>
      </c>
      <c r="E199" s="2971">
        <v>0.13</v>
      </c>
      <c r="F199" s="2971">
        <v>0.13</v>
      </c>
      <c r="G199" s="2972">
        <v>0.13</v>
      </c>
    </row>
    <row r="200" spans="1:7">
      <c r="A200" s="2981" t="s">
        <v>304</v>
      </c>
      <c r="B200" s="2970" t="s">
        <v>2896</v>
      </c>
      <c r="C200" s="2987"/>
      <c r="D200" s="2987"/>
      <c r="E200" s="2987"/>
      <c r="F200" s="2971">
        <v>0.13</v>
      </c>
      <c r="G200" s="2983"/>
    </row>
    <row r="201" spans="1:7">
      <c r="A201" s="2981" t="s">
        <v>304</v>
      </c>
      <c r="B201" s="2970" t="s">
        <v>2901</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2904</v>
      </c>
      <c r="C203" s="2971">
        <v>0.129</v>
      </c>
      <c r="D203" s="2971">
        <v>0.129</v>
      </c>
      <c r="E203" s="2971">
        <v>0.13</v>
      </c>
      <c r="F203" s="2971">
        <v>0.13</v>
      </c>
      <c r="G203" s="2972">
        <v>0.13</v>
      </c>
    </row>
    <row r="204" spans="1:7">
      <c r="A204" s="2981" t="s">
        <v>304</v>
      </c>
      <c r="B204" s="2970" t="s">
        <v>2907</v>
      </c>
      <c r="C204" s="2971">
        <v>0.129</v>
      </c>
      <c r="D204" s="2971">
        <v>0.129</v>
      </c>
      <c r="E204" s="2971">
        <v>0.123</v>
      </c>
      <c r="F204" s="2971">
        <v>0.13</v>
      </c>
      <c r="G204" s="2972">
        <v>0.13</v>
      </c>
    </row>
    <row r="205" spans="1:7">
      <c r="A205" s="2981" t="s">
        <v>304</v>
      </c>
      <c r="B205" s="2970" t="s">
        <v>2909</v>
      </c>
      <c r="C205" s="2971">
        <v>0.13</v>
      </c>
      <c r="D205" s="2971">
        <v>0.13</v>
      </c>
      <c r="E205" s="2971">
        <v>0.13</v>
      </c>
      <c r="F205" s="2971">
        <v>0.13</v>
      </c>
      <c r="G205" s="2972">
        <v>0.13</v>
      </c>
    </row>
    <row r="206" spans="1:7">
      <c r="A206" s="2981" t="s">
        <v>304</v>
      </c>
      <c r="B206" s="2970" t="s">
        <v>2912</v>
      </c>
      <c r="C206" s="2971">
        <v>0.13</v>
      </c>
      <c r="D206" s="2971">
        <v>0.13</v>
      </c>
      <c r="E206" s="2971">
        <v>0.13</v>
      </c>
      <c r="F206" s="2971">
        <v>0.128</v>
      </c>
      <c r="G206" s="2972">
        <v>0.13</v>
      </c>
    </row>
    <row r="207" spans="1:7">
      <c r="A207" s="2981" t="s">
        <v>304</v>
      </c>
      <c r="B207" s="2970" t="s">
        <v>2914</v>
      </c>
      <c r="C207" s="2971">
        <v>0.13</v>
      </c>
      <c r="D207" s="2971">
        <v>0.13</v>
      </c>
      <c r="E207" s="2971">
        <v>0.13</v>
      </c>
      <c r="F207" s="2971">
        <v>0.13</v>
      </c>
      <c r="G207" s="2972">
        <v>0.13</v>
      </c>
    </row>
    <row r="208" spans="1:7">
      <c r="A208" s="2981" t="s">
        <v>304</v>
      </c>
      <c r="B208" s="2970" t="s">
        <v>2917</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2924</v>
      </c>
      <c r="C210" s="2971">
        <v>0.121</v>
      </c>
      <c r="D210" s="2971">
        <v>0.121</v>
      </c>
      <c r="E210" s="2971">
        <v>0.125</v>
      </c>
      <c r="F210" s="2971">
        <v>0.13</v>
      </c>
      <c r="G210" s="2972">
        <v>0.123</v>
      </c>
    </row>
    <row r="211" spans="1:7">
      <c r="A211" s="2981" t="s">
        <v>304</v>
      </c>
      <c r="B211" s="2970" t="s">
        <v>2927</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2939</v>
      </c>
      <c r="C214" s="2971">
        <v>0.128</v>
      </c>
      <c r="D214" s="2971">
        <v>0.128</v>
      </c>
      <c r="E214" s="2971">
        <v>0.13</v>
      </c>
      <c r="F214" s="2971">
        <v>0.13</v>
      </c>
      <c r="G214" s="2972">
        <v>0.13</v>
      </c>
    </row>
    <row r="215" spans="1:7">
      <c r="A215" s="2981" t="s">
        <v>304</v>
      </c>
      <c r="B215" s="2970" t="s">
        <v>2943</v>
      </c>
      <c r="C215" s="2971">
        <v>0.13</v>
      </c>
      <c r="D215" s="2971">
        <v>0.13</v>
      </c>
      <c r="E215" s="2971">
        <v>0.13</v>
      </c>
      <c r="F215" s="2971">
        <v>0.129</v>
      </c>
      <c r="G215" s="2972">
        <v>0.13</v>
      </c>
    </row>
    <row r="216" spans="1:7">
      <c r="A216" s="2981" t="s">
        <v>304</v>
      </c>
      <c r="B216" s="2970" t="s">
        <v>2950</v>
      </c>
      <c r="C216" s="2971">
        <v>0.13</v>
      </c>
      <c r="D216" s="2971">
        <v>0.13</v>
      </c>
      <c r="E216" s="2971">
        <v>0.13</v>
      </c>
      <c r="F216" s="2971">
        <v>0.13</v>
      </c>
      <c r="G216" s="2972">
        <v>0.13</v>
      </c>
    </row>
    <row r="217" spans="1:7">
      <c r="A217" s="2981" t="s">
        <v>304</v>
      </c>
      <c r="B217" s="2970" t="s">
        <v>2957</v>
      </c>
      <c r="C217" s="2971">
        <v>0.129</v>
      </c>
      <c r="D217" s="2971">
        <v>0.129</v>
      </c>
      <c r="E217" s="2971">
        <v>0.13</v>
      </c>
      <c r="F217" s="2971">
        <v>0.13</v>
      </c>
      <c r="G217" s="2972">
        <v>0.13</v>
      </c>
    </row>
    <row r="218" spans="1:7">
      <c r="A218" s="2981" t="s">
        <v>304</v>
      </c>
      <c r="B218" s="2970" t="s">
        <v>2963</v>
      </c>
      <c r="C218" s="2982"/>
      <c r="D218" s="2982"/>
      <c r="E218" s="2982"/>
      <c r="F218" s="2971">
        <v>0.05</v>
      </c>
      <c r="G218" s="2988"/>
    </row>
    <row r="219" spans="1:7">
      <c r="A219" s="2981" t="s">
        <v>304</v>
      </c>
      <c r="B219" s="2970" t="s">
        <v>2970</v>
      </c>
      <c r="C219" s="2982"/>
      <c r="D219" s="2982"/>
      <c r="E219" s="2982"/>
      <c r="F219" s="2971">
        <v>0.05</v>
      </c>
      <c r="G219" s="2988"/>
    </row>
    <row r="220" spans="1:7">
      <c r="A220" s="2981" t="s">
        <v>304</v>
      </c>
      <c r="B220" s="2970" t="s">
        <v>2976</v>
      </c>
      <c r="C220" s="2982"/>
      <c r="D220" s="2982"/>
      <c r="E220" s="2982"/>
      <c r="F220" s="2971">
        <v>0.05</v>
      </c>
      <c r="G220" s="2988"/>
    </row>
    <row r="221" spans="1:7">
      <c r="A221" s="2981" t="s">
        <v>304</v>
      </c>
      <c r="B221" s="2970" t="s">
        <v>2981</v>
      </c>
      <c r="C221" s="2982"/>
      <c r="D221" s="2982"/>
      <c r="E221" s="2982"/>
      <c r="F221" s="2971">
        <v>0.05</v>
      </c>
      <c r="G221" s="2988"/>
    </row>
    <row r="222" spans="1:7">
      <c r="A222" s="2981" t="s">
        <v>304</v>
      </c>
      <c r="B222" s="2970" t="s">
        <v>2985</v>
      </c>
      <c r="C222" s="2982"/>
      <c r="D222" s="2982"/>
      <c r="E222" s="2982"/>
      <c r="F222" s="2971">
        <v>0.05</v>
      </c>
      <c r="G222" s="2988"/>
    </row>
    <row r="223" spans="1:7">
      <c r="A223" s="2981" t="s">
        <v>304</v>
      </c>
      <c r="B223" s="2970" t="s">
        <v>2990</v>
      </c>
      <c r="C223" s="2982"/>
      <c r="D223" s="2982"/>
      <c r="E223" s="2982"/>
      <c r="F223" s="2971">
        <v>0.05</v>
      </c>
      <c r="G223" s="2988"/>
    </row>
    <row r="224" spans="1:7">
      <c r="A224" s="2981" t="s">
        <v>304</v>
      </c>
      <c r="B224" s="2970" t="s">
        <v>2995</v>
      </c>
      <c r="C224" s="2982"/>
      <c r="D224" s="2982"/>
      <c r="E224" s="2982"/>
      <c r="F224" s="2971">
        <v>0.05</v>
      </c>
      <c r="G224" s="2988"/>
    </row>
    <row r="225" spans="1:7">
      <c r="A225" s="2981" t="s">
        <v>304</v>
      </c>
      <c r="B225" s="2970" t="s">
        <v>3000</v>
      </c>
      <c r="C225" s="2982"/>
      <c r="D225" s="2982"/>
      <c r="E225" s="2982"/>
      <c r="F225" s="2971">
        <v>0.05</v>
      </c>
      <c r="G225" s="2988"/>
    </row>
    <row r="226" spans="1:7">
      <c r="A226" s="2981" t="s">
        <v>304</v>
      </c>
      <c r="B226" s="2970" t="s">
        <v>3202</v>
      </c>
      <c r="C226" s="2982"/>
      <c r="D226" s="2982"/>
      <c r="E226" s="2982"/>
      <c r="F226" s="2971">
        <v>0.05</v>
      </c>
      <c r="G226" s="2988"/>
    </row>
    <row r="227" spans="1:7">
      <c r="A227" s="2981" t="s">
        <v>304</v>
      </c>
      <c r="B227" s="2970" t="s">
        <v>3203</v>
      </c>
      <c r="C227" s="2982"/>
      <c r="D227" s="2982"/>
      <c r="E227" s="2982"/>
      <c r="F227" s="2971">
        <v>0.05</v>
      </c>
      <c r="G227" s="2988"/>
    </row>
    <row r="228" spans="1:7">
      <c r="A228" s="2981" t="s">
        <v>304</v>
      </c>
      <c r="B228" s="2970" t="s">
        <v>3204</v>
      </c>
      <c r="C228" s="2982"/>
      <c r="D228" s="2982"/>
      <c r="E228" s="2982"/>
      <c r="F228" s="2971">
        <v>0.05</v>
      </c>
      <c r="G228" s="2988"/>
    </row>
    <row r="229" spans="1:7">
      <c r="A229" s="2981" t="s">
        <v>304</v>
      </c>
      <c r="B229" s="2970" t="s">
        <v>3205</v>
      </c>
      <c r="C229" s="2982"/>
      <c r="D229" s="2982"/>
      <c r="E229" s="2982"/>
      <c r="F229" s="2971">
        <v>0.05</v>
      </c>
      <c r="G229" s="2988"/>
    </row>
    <row r="230" spans="1:7">
      <c r="A230" s="2981" t="s">
        <v>304</v>
      </c>
      <c r="B230" s="2970" t="s">
        <v>3206</v>
      </c>
      <c r="C230" s="2982"/>
      <c r="D230" s="2982"/>
      <c r="E230" s="2982"/>
      <c r="F230" s="2971">
        <v>0.05</v>
      </c>
      <c r="G230" s="2988"/>
    </row>
    <row r="231" spans="1:7">
      <c r="A231" s="2981" t="s">
        <v>304</v>
      </c>
      <c r="B231" s="2970" t="s">
        <v>3207</v>
      </c>
      <c r="C231" s="2982"/>
      <c r="D231" s="2982"/>
      <c r="E231" s="2982"/>
      <c r="F231" s="2971">
        <v>0.05</v>
      </c>
      <c r="G231" s="2988"/>
    </row>
    <row r="232" spans="1:7">
      <c r="A232" s="2981" t="s">
        <v>304</v>
      </c>
      <c r="B232" s="2970" t="s">
        <v>3208</v>
      </c>
      <c r="C232" s="2982"/>
      <c r="D232" s="2982"/>
      <c r="E232" s="2982"/>
      <c r="F232" s="2971">
        <v>0.05</v>
      </c>
      <c r="G232" s="2988"/>
    </row>
    <row r="233" spans="1:7" ht="14.25" thickBot="1">
      <c r="A233" s="2984" t="s">
        <v>304</v>
      </c>
      <c r="B233" s="2974" t="s">
        <v>3209</v>
      </c>
      <c r="C233" s="2976"/>
      <c r="D233" s="2976"/>
      <c r="E233" s="2976"/>
      <c r="F233" s="2975">
        <v>0.05</v>
      </c>
      <c r="G233" s="2989"/>
    </row>
    <row r="234" spans="1:7">
      <c r="A234" s="2980" t="s">
        <v>305</v>
      </c>
      <c r="B234" s="2966" t="s">
        <v>2858</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2878</v>
      </c>
      <c r="C238" s="2971">
        <v>0.14899999999999999</v>
      </c>
      <c r="D238" s="2971">
        <v>0.14899999999999999</v>
      </c>
      <c r="E238" s="2971">
        <v>0.15</v>
      </c>
      <c r="F238" s="2971">
        <v>0.15</v>
      </c>
      <c r="G238" s="2972">
        <v>0.15</v>
      </c>
    </row>
    <row r="239" spans="1:7">
      <c r="A239" s="2981" t="s">
        <v>305</v>
      </c>
      <c r="B239" s="2970" t="s">
        <v>2882</v>
      </c>
      <c r="C239" s="2971">
        <v>0.15</v>
      </c>
      <c r="D239" s="2971">
        <v>0.15</v>
      </c>
      <c r="E239" s="2971">
        <v>0.15</v>
      </c>
      <c r="F239" s="2971">
        <v>0.15</v>
      </c>
      <c r="G239" s="2972">
        <v>0.15</v>
      </c>
    </row>
    <row r="240" spans="1:7">
      <c r="A240" s="2981" t="s">
        <v>305</v>
      </c>
      <c r="B240" s="2970" t="s">
        <v>2887</v>
      </c>
      <c r="C240" s="2971">
        <v>0.15</v>
      </c>
      <c r="D240" s="2971">
        <v>0.15</v>
      </c>
      <c r="E240" s="2971">
        <v>0.15</v>
      </c>
      <c r="F240" s="2971">
        <v>0.15</v>
      </c>
      <c r="G240" s="2972">
        <v>0.15</v>
      </c>
    </row>
    <row r="241" spans="1:7">
      <c r="A241" s="2981" t="s">
        <v>305</v>
      </c>
      <c r="B241" s="2970" t="s">
        <v>2891</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2897</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2905</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2910</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2918</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2931</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2940</v>
      </c>
      <c r="C258" s="2971">
        <v>0.14299999999999999</v>
      </c>
      <c r="D258" s="2971">
        <v>0.14299999999999999</v>
      </c>
      <c r="E258" s="2971">
        <v>0.15</v>
      </c>
      <c r="F258" s="2971">
        <v>0.14799999999999999</v>
      </c>
      <c r="G258" s="2972">
        <v>0.14599999999999999</v>
      </c>
    </row>
    <row r="259" spans="1:7">
      <c r="A259" s="2981" t="s">
        <v>305</v>
      </c>
      <c r="B259" s="2970" t="s">
        <v>2944</v>
      </c>
      <c r="C259" s="2971">
        <v>0.14399999999999999</v>
      </c>
      <c r="D259" s="2971">
        <v>0.14399999999999999</v>
      </c>
      <c r="E259" s="2971">
        <v>0.14899999999999999</v>
      </c>
      <c r="F259" s="2971">
        <v>0.14699999999999999</v>
      </c>
      <c r="G259" s="2972">
        <v>0.14599999999999999</v>
      </c>
    </row>
    <row r="260" spans="1:7">
      <c r="A260" s="2981" t="s">
        <v>305</v>
      </c>
      <c r="B260" s="2970" t="s">
        <v>2951</v>
      </c>
      <c r="C260" s="2971">
        <v>0.109</v>
      </c>
      <c r="D260" s="2971">
        <v>0.111</v>
      </c>
      <c r="E260" s="2971">
        <v>0.13100000000000001</v>
      </c>
      <c r="F260" s="2971">
        <v>0.126</v>
      </c>
      <c r="G260" s="2972">
        <v>0.11899999999999999</v>
      </c>
    </row>
    <row r="261" spans="1:7">
      <c r="A261" s="2981" t="s">
        <v>305</v>
      </c>
      <c r="B261" s="2970" t="s">
        <v>2958</v>
      </c>
      <c r="C261" s="2971">
        <v>0.1</v>
      </c>
      <c r="D261" s="2971">
        <v>0.1</v>
      </c>
      <c r="E261" s="2971">
        <v>0.11799999999999999</v>
      </c>
      <c r="F261" s="2971">
        <v>0.108</v>
      </c>
      <c r="G261" s="2972">
        <v>0.107</v>
      </c>
    </row>
    <row r="262" spans="1:7">
      <c r="A262" s="2981" t="s">
        <v>305</v>
      </c>
      <c r="B262" s="2970" t="s">
        <v>2964</v>
      </c>
      <c r="C262" s="2971">
        <v>0.1</v>
      </c>
      <c r="D262" s="2971">
        <v>0.1</v>
      </c>
      <c r="E262" s="2971">
        <v>0.1</v>
      </c>
      <c r="F262" s="2971">
        <v>0.14099999999999999</v>
      </c>
      <c r="G262" s="2972">
        <v>0.1</v>
      </c>
    </row>
    <row r="263" spans="1:7">
      <c r="A263" s="2981" t="s">
        <v>305</v>
      </c>
      <c r="B263" s="2970" t="s">
        <v>2971</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2982</v>
      </c>
      <c r="C265" s="2982"/>
      <c r="D265" s="2982"/>
      <c r="E265" s="2982"/>
      <c r="F265" s="2971">
        <v>0.05</v>
      </c>
      <c r="G265" s="2988"/>
    </row>
    <row r="266" spans="1:7">
      <c r="A266" s="2981" t="s">
        <v>305</v>
      </c>
      <c r="B266" s="2970" t="s">
        <v>2986</v>
      </c>
      <c r="C266" s="2982"/>
      <c r="D266" s="2982"/>
      <c r="E266" s="2982"/>
      <c r="F266" s="2971">
        <v>0.05</v>
      </c>
      <c r="G266" s="2988"/>
    </row>
    <row r="267" spans="1:7">
      <c r="A267" s="2981" t="s">
        <v>305</v>
      </c>
      <c r="B267" s="2970" t="s">
        <v>2991</v>
      </c>
      <c r="C267" s="2982"/>
      <c r="D267" s="2982"/>
      <c r="E267" s="2982"/>
      <c r="F267" s="2971">
        <v>0.05</v>
      </c>
      <c r="G267" s="2988"/>
    </row>
    <row r="268" spans="1:7">
      <c r="A268" s="2981" t="s">
        <v>305</v>
      </c>
      <c r="B268" s="2970" t="s">
        <v>2996</v>
      </c>
      <c r="C268" s="2982"/>
      <c r="D268" s="2982"/>
      <c r="E268" s="2982"/>
      <c r="F268" s="2971">
        <v>0.05</v>
      </c>
      <c r="G268" s="2988"/>
    </row>
    <row r="269" spans="1:7">
      <c r="A269" s="2981" t="s">
        <v>305</v>
      </c>
      <c r="B269" s="2970" t="s">
        <v>3001</v>
      </c>
      <c r="C269" s="2982"/>
      <c r="D269" s="2982"/>
      <c r="E269" s="2982"/>
      <c r="F269" s="2971">
        <v>0.05</v>
      </c>
      <c r="G269" s="2988"/>
    </row>
    <row r="270" spans="1:7">
      <c r="A270" s="2981" t="s">
        <v>305</v>
      </c>
      <c r="B270" s="2970" t="s">
        <v>3006</v>
      </c>
      <c r="C270" s="2982"/>
      <c r="D270" s="2982"/>
      <c r="E270" s="2982"/>
      <c r="F270" s="2971">
        <v>0.05</v>
      </c>
      <c r="G270" s="2988"/>
    </row>
    <row r="271" spans="1:7">
      <c r="A271" s="2981" t="s">
        <v>305</v>
      </c>
      <c r="B271" s="2970" t="s">
        <v>3210</v>
      </c>
      <c r="C271" s="2982"/>
      <c r="D271" s="2982"/>
      <c r="E271" s="2982"/>
      <c r="F271" s="2971">
        <v>0.05</v>
      </c>
      <c r="G271" s="2988"/>
    </row>
    <row r="272" spans="1:7">
      <c r="A272" s="2981" t="s">
        <v>305</v>
      </c>
      <c r="B272" s="2970" t="s">
        <v>3211</v>
      </c>
      <c r="C272" s="2982"/>
      <c r="D272" s="2982"/>
      <c r="E272" s="2982"/>
      <c r="F272" s="2971">
        <v>0.05</v>
      </c>
      <c r="G272" s="2988"/>
    </row>
    <row r="273" spans="1:7">
      <c r="A273" s="2981" t="s">
        <v>305</v>
      </c>
      <c r="B273" s="2970" t="s">
        <v>3212</v>
      </c>
      <c r="C273" s="2982"/>
      <c r="D273" s="2982"/>
      <c r="E273" s="2982"/>
      <c r="F273" s="2971">
        <v>0.05</v>
      </c>
      <c r="G273" s="2988"/>
    </row>
    <row r="274" spans="1:7">
      <c r="A274" s="2981" t="s">
        <v>305</v>
      </c>
      <c r="B274" s="2970" t="s">
        <v>3213</v>
      </c>
      <c r="C274" s="2982"/>
      <c r="D274" s="2982"/>
      <c r="E274" s="2982"/>
      <c r="F274" s="2971">
        <v>0.05</v>
      </c>
      <c r="G274" s="2988"/>
    </row>
    <row r="275" spans="1:7">
      <c r="A275" s="2981" t="s">
        <v>305</v>
      </c>
      <c r="B275" s="2970" t="s">
        <v>3214</v>
      </c>
      <c r="C275" s="2982"/>
      <c r="D275" s="2982"/>
      <c r="E275" s="2982"/>
      <c r="F275" s="2971">
        <v>0.05</v>
      </c>
      <c r="G275" s="2988"/>
    </row>
    <row r="276" spans="1:7" ht="14.25" thickBot="1">
      <c r="A276" s="2984" t="s">
        <v>305</v>
      </c>
      <c r="B276" s="2974" t="s">
        <v>3215</v>
      </c>
      <c r="C276" s="2976"/>
      <c r="D276" s="2976"/>
      <c r="E276" s="2976"/>
      <c r="F276" s="2975">
        <v>0.05</v>
      </c>
      <c r="G276" s="2989"/>
    </row>
    <row r="277" spans="1:7">
      <c r="A277" s="2980" t="s">
        <v>306</v>
      </c>
      <c r="B277" s="2966" t="s">
        <v>2859</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2871</v>
      </c>
      <c r="C279" s="2971">
        <v>0.15</v>
      </c>
      <c r="D279" s="2971">
        <v>0.15</v>
      </c>
      <c r="E279" s="2971">
        <v>0.15</v>
      </c>
      <c r="F279" s="2971">
        <v>0.15</v>
      </c>
      <c r="G279" s="2972">
        <v>0.15</v>
      </c>
    </row>
    <row r="280" spans="1:7">
      <c r="A280" s="2981" t="s">
        <v>306</v>
      </c>
      <c r="B280" s="2970" t="s">
        <v>2875</v>
      </c>
      <c r="C280" s="2971">
        <v>0.15</v>
      </c>
      <c r="D280" s="2971">
        <v>0.15</v>
      </c>
      <c r="E280" s="2971">
        <v>0.15</v>
      </c>
      <c r="F280" s="2971">
        <v>0.15</v>
      </c>
      <c r="G280" s="2972">
        <v>0.15</v>
      </c>
    </row>
    <row r="281" spans="1:7">
      <c r="A281" s="2981" t="s">
        <v>306</v>
      </c>
      <c r="B281" s="2970" t="s">
        <v>2879</v>
      </c>
      <c r="C281" s="2971">
        <v>0.15</v>
      </c>
      <c r="D281" s="2971">
        <v>0.15</v>
      </c>
      <c r="E281" s="2971">
        <v>0.15</v>
      </c>
      <c r="F281" s="2971">
        <v>0.15</v>
      </c>
      <c r="G281" s="2972">
        <v>0.15</v>
      </c>
    </row>
    <row r="282" spans="1:7">
      <c r="A282" s="2981" t="s">
        <v>306</v>
      </c>
      <c r="B282" s="2970" t="s">
        <v>2883</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2898</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2903</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2913</v>
      </c>
      <c r="C293" s="2971">
        <v>0.15</v>
      </c>
      <c r="D293" s="2971">
        <v>0.15</v>
      </c>
      <c r="E293" s="2971">
        <v>0.15</v>
      </c>
      <c r="F293" s="2971">
        <v>0.14499999999999999</v>
      </c>
      <c r="G293" s="2972">
        <v>0.15</v>
      </c>
    </row>
    <row r="294" spans="1:7">
      <c r="A294" s="2981" t="s">
        <v>306</v>
      </c>
      <c r="B294" s="2970" t="s">
        <v>2915</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2932</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2945</v>
      </c>
      <c r="C302" s="2971">
        <v>0.15</v>
      </c>
      <c r="D302" s="2971">
        <v>0.15</v>
      </c>
      <c r="E302" s="2971">
        <v>0.15</v>
      </c>
      <c r="F302" s="2971">
        <v>0.14699999999999999</v>
      </c>
      <c r="G302" s="2972">
        <v>0.15</v>
      </c>
    </row>
    <row r="303" spans="1:7">
      <c r="A303" s="2981" t="s">
        <v>306</v>
      </c>
      <c r="B303" s="2970" t="s">
        <v>2952</v>
      </c>
      <c r="C303" s="2971">
        <v>0.15</v>
      </c>
      <c r="D303" s="2971">
        <v>0.15</v>
      </c>
      <c r="E303" s="2971">
        <v>0.15</v>
      </c>
      <c r="F303" s="2971">
        <v>0.14199999999999999</v>
      </c>
      <c r="G303" s="2972">
        <v>0.15</v>
      </c>
    </row>
    <row r="304" spans="1:7">
      <c r="A304" s="2981" t="s">
        <v>306</v>
      </c>
      <c r="B304" s="2970" t="s">
        <v>2959</v>
      </c>
      <c r="C304" s="2971">
        <v>0.15</v>
      </c>
      <c r="D304" s="2971">
        <v>0.15</v>
      </c>
      <c r="E304" s="2971">
        <v>0.15</v>
      </c>
      <c r="F304" s="2971">
        <v>0.14499999999999999</v>
      </c>
      <c r="G304" s="2972">
        <v>0.15</v>
      </c>
    </row>
    <row r="305" spans="1:7">
      <c r="A305" s="2981" t="s">
        <v>306</v>
      </c>
      <c r="B305" s="2970" t="s">
        <v>2965</v>
      </c>
      <c r="C305" s="2971">
        <v>0.15</v>
      </c>
      <c r="D305" s="2971">
        <v>0.15</v>
      </c>
      <c r="E305" s="2971">
        <v>0.15</v>
      </c>
      <c r="F305" s="2971">
        <v>0.111</v>
      </c>
      <c r="G305" s="2972">
        <v>0.15</v>
      </c>
    </row>
    <row r="306" spans="1:7">
      <c r="A306" s="2981" t="s">
        <v>306</v>
      </c>
      <c r="B306" s="2970" t="s">
        <v>2972</v>
      </c>
      <c r="C306" s="2971">
        <v>0.15</v>
      </c>
      <c r="D306" s="2971">
        <v>0.15</v>
      </c>
      <c r="E306" s="2971">
        <v>0.15</v>
      </c>
      <c r="F306" s="2971">
        <v>0.126</v>
      </c>
      <c r="G306" s="2972">
        <v>0.15</v>
      </c>
    </row>
    <row r="307" spans="1:7">
      <c r="A307" s="2981" t="s">
        <v>306</v>
      </c>
      <c r="B307" s="2970" t="s">
        <v>2977</v>
      </c>
      <c r="C307" s="2971">
        <v>0.15</v>
      </c>
      <c r="D307" s="2971">
        <v>0.15</v>
      </c>
      <c r="E307" s="2971">
        <v>0.15</v>
      </c>
      <c r="F307" s="2971">
        <v>0.12</v>
      </c>
      <c r="G307" s="2972">
        <v>0.15</v>
      </c>
    </row>
    <row r="308" spans="1:7">
      <c r="A308" s="2981" t="s">
        <v>306</v>
      </c>
      <c r="B308" s="2970" t="s">
        <v>2983</v>
      </c>
      <c r="C308" s="2971">
        <v>0.15</v>
      </c>
      <c r="D308" s="2971">
        <v>0.15</v>
      </c>
      <c r="E308" s="2971">
        <v>0.15</v>
      </c>
      <c r="F308" s="2971">
        <v>0.13</v>
      </c>
      <c r="G308" s="2972">
        <v>0.15</v>
      </c>
    </row>
    <row r="309" spans="1:7">
      <c r="A309" s="2981" t="s">
        <v>306</v>
      </c>
      <c r="B309" s="2970" t="s">
        <v>2987</v>
      </c>
      <c r="C309" s="2971">
        <v>0.15</v>
      </c>
      <c r="D309" s="2971">
        <v>0.15</v>
      </c>
      <c r="E309" s="2971">
        <v>0.15</v>
      </c>
      <c r="F309" s="2971">
        <v>0.14099999999999999</v>
      </c>
      <c r="G309" s="2972">
        <v>0.15</v>
      </c>
    </row>
    <row r="310" spans="1:7">
      <c r="A310" s="2981" t="s">
        <v>306</v>
      </c>
      <c r="B310" s="2970" t="s">
        <v>2992</v>
      </c>
      <c r="C310" s="2971">
        <v>0.15</v>
      </c>
      <c r="D310" s="2971">
        <v>0.15</v>
      </c>
      <c r="E310" s="2971">
        <v>0.15</v>
      </c>
      <c r="F310" s="2971">
        <v>0.15</v>
      </c>
      <c r="G310" s="2972">
        <v>0.15</v>
      </c>
    </row>
    <row r="311" spans="1:7">
      <c r="A311" s="2981" t="s">
        <v>306</v>
      </c>
      <c r="B311" s="2970" t="s">
        <v>2997</v>
      </c>
      <c r="C311" s="2971">
        <v>0.13200000000000001</v>
      </c>
      <c r="D311" s="2971">
        <v>0.13300000000000001</v>
      </c>
      <c r="E311" s="2971">
        <v>0.14499999999999999</v>
      </c>
      <c r="F311" s="2971">
        <v>0.14199999999999999</v>
      </c>
      <c r="G311" s="2972">
        <v>0.14000000000000001</v>
      </c>
    </row>
    <row r="312" spans="1:7">
      <c r="A312" s="2981" t="s">
        <v>306</v>
      </c>
      <c r="B312" s="2970" t="s">
        <v>3002</v>
      </c>
      <c r="C312" s="2971">
        <v>0.13800000000000001</v>
      </c>
      <c r="D312" s="2971">
        <v>0.14000000000000001</v>
      </c>
      <c r="E312" s="2971">
        <v>0.14599999999999999</v>
      </c>
      <c r="F312" s="2971">
        <v>0.14899999999999999</v>
      </c>
      <c r="G312" s="2972">
        <v>0.14199999999999999</v>
      </c>
    </row>
    <row r="313" spans="1:7">
      <c r="A313" s="2981" t="s">
        <v>306</v>
      </c>
      <c r="B313" s="2970" t="s">
        <v>3007</v>
      </c>
      <c r="C313" s="2971">
        <v>0.125</v>
      </c>
      <c r="D313" s="2971">
        <v>0.127</v>
      </c>
      <c r="E313" s="2971">
        <v>0.14399999999999999</v>
      </c>
      <c r="F313" s="2971">
        <v>0.115</v>
      </c>
      <c r="G313" s="2972">
        <v>0.13600000000000001</v>
      </c>
    </row>
    <row r="314" spans="1:7">
      <c r="A314" s="2981" t="s">
        <v>306</v>
      </c>
      <c r="B314" s="2970" t="s">
        <v>3216</v>
      </c>
      <c r="C314" s="2987"/>
      <c r="D314" s="2987"/>
      <c r="E314" s="2987"/>
      <c r="F314" s="2971">
        <v>0.05</v>
      </c>
      <c r="G314" s="2988"/>
    </row>
    <row r="315" spans="1:7">
      <c r="A315" s="2981" t="s">
        <v>306</v>
      </c>
      <c r="B315" s="2970" t="s">
        <v>3217</v>
      </c>
      <c r="C315" s="2987"/>
      <c r="D315" s="2987"/>
      <c r="E315" s="2987"/>
      <c r="F315" s="2971">
        <v>0.05</v>
      </c>
      <c r="G315" s="2988"/>
    </row>
    <row r="316" spans="1:7">
      <c r="A316" s="2981" t="s">
        <v>306</v>
      </c>
      <c r="B316" s="2970" t="s">
        <v>3218</v>
      </c>
      <c r="C316" s="2982"/>
      <c r="D316" s="2982"/>
      <c r="E316" s="2982"/>
      <c r="F316" s="2971">
        <v>0.05</v>
      </c>
      <c r="G316" s="2988"/>
    </row>
    <row r="317" spans="1:7">
      <c r="A317" s="2981" t="s">
        <v>306</v>
      </c>
      <c r="B317" s="2970" t="s">
        <v>3219</v>
      </c>
      <c r="C317" s="2982"/>
      <c r="D317" s="2982"/>
      <c r="E317" s="2982"/>
      <c r="F317" s="2971">
        <v>0.05</v>
      </c>
      <c r="G317" s="2988"/>
    </row>
    <row r="318" spans="1:7">
      <c r="A318" s="2981" t="s">
        <v>306</v>
      </c>
      <c r="B318" s="2970" t="s">
        <v>3220</v>
      </c>
      <c r="C318" s="2982"/>
      <c r="D318" s="2982"/>
      <c r="E318" s="2982"/>
      <c r="F318" s="2971">
        <v>0.05</v>
      </c>
      <c r="G318" s="2988"/>
    </row>
    <row r="319" spans="1:7">
      <c r="A319" s="2981" t="s">
        <v>306</v>
      </c>
      <c r="B319" s="2970" t="s">
        <v>3221</v>
      </c>
      <c r="C319" s="2982"/>
      <c r="D319" s="2982"/>
      <c r="E319" s="2982"/>
      <c r="F319" s="2971">
        <v>0.05</v>
      </c>
      <c r="G319" s="2988"/>
    </row>
    <row r="320" spans="1:7">
      <c r="A320" s="2981" t="s">
        <v>306</v>
      </c>
      <c r="B320" s="2970" t="s">
        <v>3222</v>
      </c>
      <c r="C320" s="2982"/>
      <c r="D320" s="2982"/>
      <c r="E320" s="2982"/>
      <c r="F320" s="2971">
        <v>0.05</v>
      </c>
      <c r="G320" s="2988"/>
    </row>
    <row r="321" spans="1:7">
      <c r="A321" s="2981" t="s">
        <v>306</v>
      </c>
      <c r="B321" s="2970" t="s">
        <v>3223</v>
      </c>
      <c r="C321" s="2982"/>
      <c r="D321" s="2982"/>
      <c r="E321" s="2982"/>
      <c r="F321" s="2971">
        <v>0.05</v>
      </c>
      <c r="G321" s="2988"/>
    </row>
    <row r="322" spans="1:7">
      <c r="A322" s="2981" t="s">
        <v>306</v>
      </c>
      <c r="B322" s="2970" t="s">
        <v>3224</v>
      </c>
      <c r="C322" s="2982"/>
      <c r="D322" s="2982"/>
      <c r="E322" s="2982"/>
      <c r="F322" s="2971">
        <v>0.05</v>
      </c>
      <c r="G322" s="2988"/>
    </row>
    <row r="323" spans="1:7">
      <c r="A323" s="2981" t="s">
        <v>306</v>
      </c>
      <c r="B323" s="2970" t="s">
        <v>3225</v>
      </c>
      <c r="C323" s="2982"/>
      <c r="D323" s="2982"/>
      <c r="E323" s="2982"/>
      <c r="F323" s="2971">
        <v>0.05</v>
      </c>
      <c r="G323" s="2988"/>
    </row>
    <row r="324" spans="1:7">
      <c r="A324" s="2981" t="s">
        <v>306</v>
      </c>
      <c r="B324" s="2970" t="s">
        <v>3226</v>
      </c>
      <c r="C324" s="2982"/>
      <c r="D324" s="2982"/>
      <c r="E324" s="2982"/>
      <c r="F324" s="2971">
        <v>0.05</v>
      </c>
      <c r="G324" s="2988"/>
    </row>
    <row r="325" spans="1:7">
      <c r="A325" s="2981" t="s">
        <v>306</v>
      </c>
      <c r="B325" s="2970" t="s">
        <v>3227</v>
      </c>
      <c r="C325" s="2982"/>
      <c r="D325" s="2982"/>
      <c r="E325" s="2982"/>
      <c r="F325" s="2971">
        <v>0.05</v>
      </c>
      <c r="G325" s="2988"/>
    </row>
    <row r="326" spans="1:7" ht="14.25" thickBot="1">
      <c r="A326" s="2984" t="s">
        <v>306</v>
      </c>
      <c r="B326" s="2974" t="s">
        <v>3228</v>
      </c>
      <c r="C326" s="2976"/>
      <c r="D326" s="2976"/>
      <c r="E326" s="2976"/>
      <c r="F326" s="2975">
        <v>0.05</v>
      </c>
      <c r="G326" s="2989"/>
    </row>
    <row r="327" spans="1:7">
      <c r="A327" s="2980" t="s">
        <v>307</v>
      </c>
      <c r="B327" s="2966" t="s">
        <v>2860</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2872</v>
      </c>
      <c r="C329" s="2971">
        <v>0.15</v>
      </c>
      <c r="D329" s="2971">
        <v>0.15</v>
      </c>
      <c r="E329" s="2971">
        <v>0.15</v>
      </c>
      <c r="F329" s="2971">
        <v>0.15</v>
      </c>
      <c r="G329" s="2972">
        <v>0.15</v>
      </c>
    </row>
    <row r="330" spans="1:7">
      <c r="A330" s="2981" t="s">
        <v>307</v>
      </c>
      <c r="B330" s="2970" t="s">
        <v>2876</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2884</v>
      </c>
      <c r="C332" s="2971">
        <v>0.15</v>
      </c>
      <c r="D332" s="2971">
        <v>0.15</v>
      </c>
      <c r="E332" s="2971">
        <v>0.15</v>
      </c>
      <c r="F332" s="2971">
        <v>0.15</v>
      </c>
      <c r="G332" s="2972">
        <v>0.15</v>
      </c>
    </row>
    <row r="333" spans="1:7">
      <c r="A333" s="2981" t="s">
        <v>307</v>
      </c>
      <c r="B333" s="2970" t="s">
        <v>2888</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2894</v>
      </c>
      <c r="C336" s="2971">
        <v>0.15</v>
      </c>
      <c r="D336" s="2971">
        <v>0.15</v>
      </c>
      <c r="E336" s="2971">
        <v>0.15</v>
      </c>
      <c r="F336" s="2971">
        <v>0.14199999999999999</v>
      </c>
      <c r="G336" s="2972">
        <v>0.15</v>
      </c>
    </row>
    <row r="337" spans="1:7">
      <c r="A337" s="2981" t="s">
        <v>307</v>
      </c>
      <c r="B337" s="2970" t="s">
        <v>2899</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2906</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2911</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2919</v>
      </c>
      <c r="C345" s="2971">
        <v>0.15</v>
      </c>
      <c r="D345" s="2971">
        <v>0.15</v>
      </c>
      <c r="E345" s="2971">
        <v>0.15</v>
      </c>
      <c r="F345" s="2971">
        <v>0.13800000000000001</v>
      </c>
      <c r="G345" s="2972">
        <v>0.15</v>
      </c>
    </row>
    <row r="346" spans="1:7">
      <c r="A346" s="2981" t="s">
        <v>307</v>
      </c>
      <c r="B346" s="2970" t="s">
        <v>2921</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2928</v>
      </c>
      <c r="C348" s="2971">
        <v>0.15</v>
      </c>
      <c r="D348" s="2971">
        <v>0.15</v>
      </c>
      <c r="E348" s="2971">
        <v>0.15</v>
      </c>
      <c r="F348" s="2971">
        <v>0.14399999999999999</v>
      </c>
      <c r="G348" s="2972">
        <v>0.15</v>
      </c>
    </row>
    <row r="349" spans="1:7">
      <c r="A349" s="2981" t="s">
        <v>307</v>
      </c>
      <c r="B349" s="2970" t="s">
        <v>2933</v>
      </c>
      <c r="C349" s="2971">
        <v>0.15</v>
      </c>
      <c r="D349" s="2971">
        <v>0.15</v>
      </c>
      <c r="E349" s="2971">
        <v>0.15</v>
      </c>
      <c r="F349" s="2971">
        <v>0.15</v>
      </c>
      <c r="G349" s="2972">
        <v>0.15</v>
      </c>
    </row>
    <row r="350" spans="1:7">
      <c r="A350" s="2981" t="s">
        <v>307</v>
      </c>
      <c r="B350" s="2970" t="s">
        <v>2936</v>
      </c>
      <c r="C350" s="2971">
        <v>0.15</v>
      </c>
      <c r="D350" s="2971">
        <v>0.15</v>
      </c>
      <c r="E350" s="2971">
        <v>0.15</v>
      </c>
      <c r="F350" s="2971">
        <v>0.14699999999999999</v>
      </c>
      <c r="G350" s="2972">
        <v>0.15</v>
      </c>
    </row>
    <row r="351" spans="1:7">
      <c r="A351" s="2981" t="s">
        <v>307</v>
      </c>
      <c r="B351" s="2970" t="s">
        <v>2941</v>
      </c>
      <c r="C351" s="2971">
        <v>0.15</v>
      </c>
      <c r="D351" s="2971">
        <v>0.15</v>
      </c>
      <c r="E351" s="2971">
        <v>0.15</v>
      </c>
      <c r="F351" s="2971">
        <v>0.13</v>
      </c>
      <c r="G351" s="2972">
        <v>0.15</v>
      </c>
    </row>
    <row r="352" spans="1:7">
      <c r="A352" s="2981" t="s">
        <v>307</v>
      </c>
      <c r="B352" s="2970" t="s">
        <v>2946</v>
      </c>
      <c r="C352" s="2971">
        <v>0.15</v>
      </c>
      <c r="D352" s="2971">
        <v>0.15</v>
      </c>
      <c r="E352" s="2971">
        <v>0.15</v>
      </c>
      <c r="F352" s="2971">
        <v>0.14599999999999999</v>
      </c>
      <c r="G352" s="2972">
        <v>0.15</v>
      </c>
    </row>
    <row r="353" spans="1:7">
      <c r="A353" s="2981" t="s">
        <v>307</v>
      </c>
      <c r="B353" s="2970" t="s">
        <v>2953</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2966</v>
      </c>
      <c r="C355" s="2971">
        <v>0.15</v>
      </c>
      <c r="D355" s="2971">
        <v>0.15</v>
      </c>
      <c r="E355" s="2971">
        <v>0.15</v>
      </c>
      <c r="F355" s="2971">
        <v>0.15</v>
      </c>
      <c r="G355" s="2972">
        <v>0.15</v>
      </c>
    </row>
    <row r="356" spans="1:7">
      <c r="A356" s="2981" t="s">
        <v>307</v>
      </c>
      <c r="B356" s="2970" t="s">
        <v>2973</v>
      </c>
      <c r="C356" s="2971">
        <v>0.15</v>
      </c>
      <c r="D356" s="2971">
        <v>0.15</v>
      </c>
      <c r="E356" s="2971">
        <v>0.15</v>
      </c>
      <c r="F356" s="2971">
        <v>0.15</v>
      </c>
      <c r="G356" s="2972">
        <v>0.15</v>
      </c>
    </row>
    <row r="357" spans="1:7" ht="14.25" thickBot="1">
      <c r="A357" s="2984" t="s">
        <v>307</v>
      </c>
      <c r="B357" s="2974" t="s">
        <v>2978</v>
      </c>
      <c r="C357" s="2975">
        <v>0.126</v>
      </c>
      <c r="D357" s="2975">
        <v>0.127</v>
      </c>
      <c r="E357" s="2975">
        <v>0.14299999999999999</v>
      </c>
      <c r="F357" s="2975">
        <v>0.125</v>
      </c>
      <c r="G357" s="2977">
        <v>0.129</v>
      </c>
    </row>
    <row r="358" spans="1:7">
      <c r="A358" s="2980" t="s">
        <v>2847</v>
      </c>
      <c r="B358" s="2966" t="s">
        <v>2861</v>
      </c>
      <c r="C358" s="2967">
        <v>0.15</v>
      </c>
      <c r="D358" s="2967">
        <v>0.15</v>
      </c>
      <c r="E358" s="2967">
        <v>0.15</v>
      </c>
      <c r="F358" s="2967">
        <v>0.15</v>
      </c>
      <c r="G358" s="2968">
        <v>0.15</v>
      </c>
    </row>
    <row r="359" spans="1:7">
      <c r="A359" s="2981" t="s">
        <v>2847</v>
      </c>
      <c r="B359" s="2970" t="s">
        <v>2867</v>
      </c>
      <c r="C359" s="2971">
        <v>0.1</v>
      </c>
      <c r="D359" s="2971">
        <v>0.1</v>
      </c>
      <c r="E359" s="2971">
        <v>0.1</v>
      </c>
      <c r="F359" s="2971">
        <v>0.1</v>
      </c>
      <c r="G359" s="2972">
        <v>0.1</v>
      </c>
    </row>
    <row r="360" spans="1:7">
      <c r="A360" s="2981" t="s">
        <v>2847</v>
      </c>
      <c r="B360" s="2970" t="s">
        <v>2873</v>
      </c>
      <c r="C360" s="2971">
        <v>0.15</v>
      </c>
      <c r="D360" s="2971">
        <v>0.15</v>
      </c>
      <c r="E360" s="2971">
        <v>0.15</v>
      </c>
      <c r="F360" s="2971">
        <v>0.14899999999999999</v>
      </c>
      <c r="G360" s="2972">
        <v>0.15</v>
      </c>
    </row>
    <row r="361" spans="1:7">
      <c r="A361" s="2981" t="s">
        <v>2847</v>
      </c>
      <c r="B361" s="2970" t="s">
        <v>153</v>
      </c>
      <c r="C361" s="2971">
        <v>0.15</v>
      </c>
      <c r="D361" s="2971">
        <v>0.15</v>
      </c>
      <c r="E361" s="2971">
        <v>0.15</v>
      </c>
      <c r="F361" s="2971">
        <v>0.115</v>
      </c>
      <c r="G361" s="2972">
        <v>0.15</v>
      </c>
    </row>
    <row r="362" spans="1:7">
      <c r="A362" s="2981" t="s">
        <v>2847</v>
      </c>
      <c r="B362" s="2970" t="s">
        <v>2880</v>
      </c>
      <c r="C362" s="2971">
        <v>0.15</v>
      </c>
      <c r="D362" s="2971">
        <v>0.15</v>
      </c>
      <c r="E362" s="2971">
        <v>0.15</v>
      </c>
      <c r="F362" s="2971">
        <v>0.106</v>
      </c>
      <c r="G362" s="2972">
        <v>0.15</v>
      </c>
    </row>
    <row r="363" spans="1:7">
      <c r="A363" s="2981" t="s">
        <v>2847</v>
      </c>
      <c r="B363" s="2970" t="s">
        <v>2885</v>
      </c>
      <c r="C363" s="2971">
        <v>0.15</v>
      </c>
      <c r="D363" s="2971">
        <v>0.15</v>
      </c>
      <c r="E363" s="2971">
        <v>0.15</v>
      </c>
      <c r="F363" s="2971">
        <v>0.14699999999999999</v>
      </c>
      <c r="G363" s="2972">
        <v>0.15</v>
      </c>
    </row>
    <row r="364" spans="1:7">
      <c r="A364" s="2981" t="s">
        <v>2847</v>
      </c>
      <c r="B364" s="2970" t="s">
        <v>2889</v>
      </c>
      <c r="C364" s="2971">
        <v>0.15</v>
      </c>
      <c r="D364" s="2971">
        <v>0.15</v>
      </c>
      <c r="E364" s="2971">
        <v>0.15</v>
      </c>
      <c r="F364" s="2971">
        <v>0.14799999999999999</v>
      </c>
      <c r="G364" s="2972">
        <v>0.15</v>
      </c>
    </row>
    <row r="365" spans="1:7">
      <c r="A365" s="2981" t="s">
        <v>2847</v>
      </c>
      <c r="B365" s="2970" t="s">
        <v>200</v>
      </c>
      <c r="C365" s="2971">
        <v>0.15</v>
      </c>
      <c r="D365" s="2971">
        <v>0.15</v>
      </c>
      <c r="E365" s="2971">
        <v>0.15</v>
      </c>
      <c r="F365" s="2971">
        <v>0.15</v>
      </c>
      <c r="G365" s="2972">
        <v>0.15</v>
      </c>
    </row>
    <row r="366" spans="1:7">
      <c r="A366" s="2981" t="s">
        <v>2847</v>
      </c>
      <c r="B366" s="2970" t="s">
        <v>2892</v>
      </c>
      <c r="C366" s="2971">
        <v>0.15</v>
      </c>
      <c r="D366" s="2971">
        <v>0.15</v>
      </c>
      <c r="E366" s="2971">
        <v>0.15</v>
      </c>
      <c r="F366" s="2971">
        <v>0.15</v>
      </c>
      <c r="G366" s="2972">
        <v>0.15</v>
      </c>
    </row>
    <row r="367" spans="1:7">
      <c r="A367" s="2981" t="s">
        <v>2847</v>
      </c>
      <c r="B367" s="2970" t="s">
        <v>2895</v>
      </c>
      <c r="C367" s="2971">
        <v>0.15</v>
      </c>
      <c r="D367" s="2971">
        <v>0.15</v>
      </c>
      <c r="E367" s="2971">
        <v>0.15</v>
      </c>
      <c r="F367" s="2971">
        <v>0.14699999999999999</v>
      </c>
      <c r="G367" s="2972">
        <v>0.15</v>
      </c>
    </row>
    <row r="368" spans="1:7">
      <c r="A368" s="2981" t="s">
        <v>2847</v>
      </c>
      <c r="B368" s="2970" t="s">
        <v>2900</v>
      </c>
      <c r="C368" s="2971">
        <v>0.15</v>
      </c>
      <c r="D368" s="2971">
        <v>0.15</v>
      </c>
      <c r="E368" s="2971">
        <v>0.15</v>
      </c>
      <c r="F368" s="2971">
        <v>0.13600000000000001</v>
      </c>
      <c r="G368" s="2972">
        <v>0.15</v>
      </c>
    </row>
    <row r="369" spans="1:7">
      <c r="A369" s="2981" t="s">
        <v>2847</v>
      </c>
      <c r="B369" s="2970" t="s">
        <v>214</v>
      </c>
      <c r="C369" s="2971">
        <v>0.15</v>
      </c>
      <c r="D369" s="2971">
        <v>0.15</v>
      </c>
      <c r="E369" s="2971">
        <v>0.15</v>
      </c>
      <c r="F369" s="2971">
        <v>0.14399999999999999</v>
      </c>
      <c r="G369" s="2972">
        <v>0.15</v>
      </c>
    </row>
    <row r="370" spans="1:7">
      <c r="A370" s="2981" t="s">
        <v>2847</v>
      </c>
      <c r="B370" s="2970" t="s">
        <v>221</v>
      </c>
      <c r="C370" s="2971">
        <v>0.15</v>
      </c>
      <c r="D370" s="2971">
        <v>0.15</v>
      </c>
      <c r="E370" s="2971">
        <v>0.15</v>
      </c>
      <c r="F370" s="2971">
        <v>0.14599999999999999</v>
      </c>
      <c r="G370" s="2972">
        <v>0.15</v>
      </c>
    </row>
    <row r="371" spans="1:7">
      <c r="A371" s="2981" t="s">
        <v>2847</v>
      </c>
      <c r="B371" s="2970" t="s">
        <v>229</v>
      </c>
      <c r="C371" s="2971">
        <v>0.15</v>
      </c>
      <c r="D371" s="2971">
        <v>0.15</v>
      </c>
      <c r="E371" s="2971">
        <v>0.15</v>
      </c>
      <c r="F371" s="2971">
        <v>0.12</v>
      </c>
      <c r="G371" s="2972">
        <v>0.15</v>
      </c>
    </row>
    <row r="372" spans="1:7">
      <c r="A372" s="2981" t="s">
        <v>2847</v>
      </c>
      <c r="B372" s="2970" t="s">
        <v>2908</v>
      </c>
      <c r="C372" s="2971">
        <v>0.15</v>
      </c>
      <c r="D372" s="2971">
        <v>0.15</v>
      </c>
      <c r="E372" s="2971">
        <v>0.15</v>
      </c>
      <c r="F372" s="2971">
        <v>0.14299999999999999</v>
      </c>
      <c r="G372" s="2972">
        <v>0.15</v>
      </c>
    </row>
    <row r="373" spans="1:7">
      <c r="A373" s="2981" t="s">
        <v>2847</v>
      </c>
      <c r="B373" s="2970" t="s">
        <v>258</v>
      </c>
      <c r="C373" s="2971">
        <v>0.15</v>
      </c>
      <c r="D373" s="2971">
        <v>0.15</v>
      </c>
      <c r="E373" s="2971">
        <v>0.15</v>
      </c>
      <c r="F373" s="2971">
        <v>0.14599999999999999</v>
      </c>
      <c r="G373" s="2972">
        <v>0.15</v>
      </c>
    </row>
    <row r="374" spans="1:7">
      <c r="A374" s="2981" t="s">
        <v>2847</v>
      </c>
      <c r="B374" s="2970" t="s">
        <v>266</v>
      </c>
      <c r="C374" s="2971">
        <v>0.15</v>
      </c>
      <c r="D374" s="2971">
        <v>0.15</v>
      </c>
      <c r="E374" s="2971">
        <v>0.15</v>
      </c>
      <c r="F374" s="2971">
        <v>0.14399999999999999</v>
      </c>
      <c r="G374" s="2972">
        <v>0.15</v>
      </c>
    </row>
    <row r="375" spans="1:7">
      <c r="A375" s="2981" t="s">
        <v>2847</v>
      </c>
      <c r="B375" s="2970" t="s">
        <v>2916</v>
      </c>
      <c r="C375" s="2971">
        <v>0.15</v>
      </c>
      <c r="D375" s="2971">
        <v>0.15</v>
      </c>
      <c r="E375" s="2971">
        <v>0.15</v>
      </c>
      <c r="F375" s="2971">
        <v>0.13</v>
      </c>
      <c r="G375" s="2972">
        <v>0.15</v>
      </c>
    </row>
    <row r="376" spans="1:7">
      <c r="A376" s="2981" t="s">
        <v>2847</v>
      </c>
      <c r="B376" s="2970" t="s">
        <v>277</v>
      </c>
      <c r="C376" s="2971">
        <v>0.15</v>
      </c>
      <c r="D376" s="2971">
        <v>0.15</v>
      </c>
      <c r="E376" s="2971">
        <v>0.15</v>
      </c>
      <c r="F376" s="2971">
        <v>0.14199999999999999</v>
      </c>
      <c r="G376" s="2972">
        <v>0.15</v>
      </c>
    </row>
    <row r="377" spans="1:7" ht="14.25" thickBot="1">
      <c r="A377" s="2984" t="s">
        <v>2847</v>
      </c>
      <c r="B377" s="2974" t="s">
        <v>2922</v>
      </c>
      <c r="C377" s="2975">
        <v>0.15</v>
      </c>
      <c r="D377" s="2975">
        <v>0.15</v>
      </c>
      <c r="E377" s="2975">
        <v>0.15</v>
      </c>
      <c r="F377" s="2975">
        <v>0.14000000000000001</v>
      </c>
      <c r="G377" s="2977">
        <v>0.15</v>
      </c>
    </row>
    <row r="378" spans="1:7">
      <c r="A378" s="2980" t="s">
        <v>2848</v>
      </c>
      <c r="B378" s="2966" t="s">
        <v>2862</v>
      </c>
      <c r="C378" s="2967">
        <v>0.15</v>
      </c>
      <c r="D378" s="2967">
        <v>0.15</v>
      </c>
      <c r="E378" s="2967">
        <v>0.15</v>
      </c>
      <c r="F378" s="2967">
        <v>0.107</v>
      </c>
      <c r="G378" s="2968">
        <v>0.15</v>
      </c>
    </row>
    <row r="379" spans="1:7">
      <c r="A379" s="2981" t="s">
        <v>2848</v>
      </c>
      <c r="B379" s="2970" t="s">
        <v>2868</v>
      </c>
      <c r="C379" s="2971">
        <v>0.15</v>
      </c>
      <c r="D379" s="2971">
        <v>0.15</v>
      </c>
      <c r="E379" s="2971">
        <v>0.15</v>
      </c>
      <c r="F379" s="2971">
        <v>0.115</v>
      </c>
      <c r="G379" s="2972">
        <v>0.14899999999999999</v>
      </c>
    </row>
    <row r="380" spans="1:7">
      <c r="A380" s="2981" t="s">
        <v>2848</v>
      </c>
      <c r="B380" s="2970" t="s">
        <v>2874</v>
      </c>
      <c r="C380" s="2971">
        <v>0.15</v>
      </c>
      <c r="D380" s="2971">
        <v>0.15</v>
      </c>
      <c r="E380" s="2971">
        <v>0.15</v>
      </c>
      <c r="F380" s="2971">
        <v>0.1</v>
      </c>
      <c r="G380" s="2972">
        <v>0.14799999999999999</v>
      </c>
    </row>
    <row r="381" spans="1:7">
      <c r="A381" s="2981" t="s">
        <v>2848</v>
      </c>
      <c r="B381" s="2970" t="s">
        <v>2877</v>
      </c>
      <c r="C381" s="2971">
        <v>0.15</v>
      </c>
      <c r="D381" s="2971">
        <v>0.15</v>
      </c>
      <c r="E381" s="2971">
        <v>0.15</v>
      </c>
      <c r="F381" s="2971">
        <v>0.126</v>
      </c>
      <c r="G381" s="2972">
        <v>0.15</v>
      </c>
    </row>
    <row r="382" spans="1:7">
      <c r="A382" s="2981" t="s">
        <v>2848</v>
      </c>
      <c r="B382" s="2970" t="s">
        <v>2881</v>
      </c>
      <c r="C382" s="2971">
        <v>0.15</v>
      </c>
      <c r="D382" s="2971">
        <v>0.15</v>
      </c>
      <c r="E382" s="2971">
        <v>0.15</v>
      </c>
      <c r="F382" s="2971">
        <v>0.15</v>
      </c>
      <c r="G382" s="2972">
        <v>0.15</v>
      </c>
    </row>
    <row r="383" spans="1:7">
      <c r="A383" s="2981" t="s">
        <v>2848</v>
      </c>
      <c r="B383" s="2970" t="s">
        <v>2886</v>
      </c>
      <c r="C383" s="2971">
        <v>0.15</v>
      </c>
      <c r="D383" s="2971">
        <v>0.15</v>
      </c>
      <c r="E383" s="2971">
        <v>0.15</v>
      </c>
      <c r="F383" s="2971">
        <v>0.14699999999999999</v>
      </c>
      <c r="G383" s="2972">
        <v>0.15</v>
      </c>
    </row>
    <row r="384" spans="1:7" ht="14.25" thickBot="1">
      <c r="A384" s="2991" t="s">
        <v>2848</v>
      </c>
      <c r="B384" s="2992" t="s">
        <v>2890</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06"/>
  </cols>
  <sheetData>
    <row r="1" spans="1:6">
      <c r="A1" s="3559" t="s">
        <v>3229</v>
      </c>
      <c r="B1" s="3559"/>
      <c r="C1" s="3559"/>
      <c r="D1" s="3559"/>
      <c r="E1" s="3559"/>
      <c r="F1" s="3560"/>
    </row>
    <row r="2" spans="1:6">
      <c r="A2" s="2995" t="s">
        <v>3230</v>
      </c>
    </row>
    <row r="3" spans="1:6">
      <c r="A3" s="2995" t="s">
        <v>3231</v>
      </c>
      <c r="F3" s="2996" t="s">
        <v>3232</v>
      </c>
    </row>
    <row r="4" spans="1:6">
      <c r="A4" s="2997" t="s">
        <v>672</v>
      </c>
      <c r="B4" s="2997" t="s">
        <v>673</v>
      </c>
      <c r="C4" s="2997" t="s">
        <v>21</v>
      </c>
      <c r="D4" s="2997" t="s">
        <v>674</v>
      </c>
      <c r="E4" s="2997" t="s">
        <v>3</v>
      </c>
      <c r="F4" s="2997" t="s">
        <v>3233</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0">
        <f>基准地价修正!G23</f>
        <v>45639</v>
      </c>
      <c r="B1" s="2922" t="s">
        <v>3379</v>
      </c>
      <c r="C1" s="2923"/>
      <c r="D1" s="2923"/>
      <c r="E1" s="2923"/>
      <c r="F1" s="2923"/>
      <c r="G1" s="2923"/>
      <c r="H1" s="2923"/>
      <c r="I1" s="2923"/>
      <c r="J1" s="2889"/>
      <c r="K1" s="2923" t="s">
        <v>454</v>
      </c>
      <c r="L1" s="2923"/>
      <c r="M1" s="2923"/>
      <c r="N1" s="2923"/>
      <c r="O1" s="2923"/>
      <c r="P1" s="2923"/>
      <c r="Q1" s="2889"/>
      <c r="R1" s="3561" t="s">
        <v>456</v>
      </c>
      <c r="S1" s="3562"/>
      <c r="T1" s="3562"/>
      <c r="U1" s="3562"/>
      <c r="V1" s="3562"/>
      <c r="W1" s="3562"/>
      <c r="X1" s="2889"/>
      <c r="Y1" s="3561" t="s">
        <v>457</v>
      </c>
      <c r="Z1" s="3562"/>
      <c r="AA1" s="3562"/>
      <c r="AB1" s="3562"/>
      <c r="AC1" s="3562"/>
      <c r="AD1" s="3562"/>
    </row>
    <row r="2" spans="1:30" s="2006" customFormat="1" ht="14.25" thickBot="1">
      <c r="B2" s="2874"/>
      <c r="C2" s="2875"/>
      <c r="D2" s="2007" t="s">
        <v>2807</v>
      </c>
      <c r="E2" s="2008" t="s">
        <v>2808</v>
      </c>
      <c r="F2" s="2008" t="s">
        <v>2809</v>
      </c>
      <c r="G2" s="2008" t="s">
        <v>2810</v>
      </c>
      <c r="H2" s="2008" t="s">
        <v>2811</v>
      </c>
      <c r="I2" s="2008" t="s">
        <v>2628</v>
      </c>
      <c r="J2" s="2876"/>
      <c r="K2" s="2007" t="s">
        <v>2807</v>
      </c>
      <c r="L2" s="2008" t="s">
        <v>2808</v>
      </c>
      <c r="M2" s="2008" t="s">
        <v>2809</v>
      </c>
      <c r="N2" s="2008" t="s">
        <v>2810</v>
      </c>
      <c r="O2" s="2008" t="s">
        <v>2812</v>
      </c>
      <c r="P2" s="2008" t="s">
        <v>2628</v>
      </c>
      <c r="Q2" s="2876"/>
      <c r="R2" s="2007" t="s">
        <v>2807</v>
      </c>
      <c r="S2" s="2008" t="s">
        <v>2808</v>
      </c>
      <c r="T2" s="2008" t="s">
        <v>2809</v>
      </c>
      <c r="U2" s="2008" t="s">
        <v>2813</v>
      </c>
      <c r="V2" s="2008" t="s">
        <v>2814</v>
      </c>
      <c r="W2" s="2008" t="s">
        <v>2628</v>
      </c>
      <c r="X2" s="2876"/>
      <c r="Y2" s="2007" t="s">
        <v>2807</v>
      </c>
      <c r="Z2" s="2008" t="s">
        <v>2808</v>
      </c>
      <c r="AA2" s="2008" t="s">
        <v>2809</v>
      </c>
      <c r="AB2" s="2008" t="s">
        <v>2815</v>
      </c>
      <c r="AC2" s="2008" t="s">
        <v>2814</v>
      </c>
      <c r="AD2" s="2008" t="s">
        <v>2628</v>
      </c>
    </row>
    <row r="3" spans="1:30" s="2879" customFormat="1" ht="12.75">
      <c r="A3" s="2877" t="s">
        <v>2816</v>
      </c>
      <c r="B3" s="2878"/>
      <c r="D3" s="2879">
        <f>ROUND(AVERAGEIF(D4:D21,"&lt;&gt;0"),2)</f>
        <v>0.47</v>
      </c>
      <c r="E3" s="2879">
        <f t="shared" ref="E3:H3" si="0">ROUND(AVERAGEIF(E4:E21,"&lt;&gt;0"),2)</f>
        <v>0.3</v>
      </c>
      <c r="F3" s="2879">
        <f t="shared" si="0"/>
        <v>0.04</v>
      </c>
      <c r="G3" s="2879">
        <f t="shared" si="0"/>
        <v>0.51</v>
      </c>
      <c r="H3" s="2879">
        <f t="shared" si="0"/>
        <v>0.55000000000000004</v>
      </c>
      <c r="I3" s="2879">
        <f>F3</f>
        <v>0.04</v>
      </c>
      <c r="J3" s="2880"/>
      <c r="K3" s="2881">
        <f>ROUND(AVERAGEIF(K4:K21,"&lt;&gt;0"),4)</f>
        <v>4.7000000000000002E-3</v>
      </c>
      <c r="L3" s="2882">
        <f t="shared" ref="L3:O3" si="1">ROUND(AVERAGEIF(L4:L21,"&lt;&gt;0"),4)</f>
        <v>3.0000000000000001E-3</v>
      </c>
      <c r="M3" s="2882">
        <f t="shared" si="1"/>
        <v>4.0000000000000002E-4</v>
      </c>
      <c r="N3" s="2882">
        <f t="shared" si="1"/>
        <v>5.1000000000000004E-3</v>
      </c>
      <c r="O3" s="2882">
        <f t="shared" si="1"/>
        <v>5.4999999999999997E-3</v>
      </c>
      <c r="P3" s="2882">
        <f>M3</f>
        <v>4.0000000000000002E-4</v>
      </c>
      <c r="Q3" s="2880"/>
      <c r="R3" s="2883">
        <f>ROUND(SUMPRODUCT(PRODUCT(1+K4:K21)),4)</f>
        <v>1.0723</v>
      </c>
      <c r="S3" s="2884">
        <f t="shared" ref="S3:V3" si="2">ROUND(SUMPRODUCT(PRODUCT(1+L4:L21)),4)</f>
        <v>1.0465</v>
      </c>
      <c r="T3" s="2884">
        <f t="shared" si="2"/>
        <v>1.0054000000000001</v>
      </c>
      <c r="U3" s="2884">
        <f t="shared" si="2"/>
        <v>1.0790999999999999</v>
      </c>
      <c r="V3" s="2884">
        <f t="shared" si="2"/>
        <v>1.0857000000000001</v>
      </c>
      <c r="W3" s="2883">
        <f>T3</f>
        <v>1.0054000000000001</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5" customFormat="1" ht="12.75">
      <c r="B4" s="2021"/>
      <c r="J4" s="2889"/>
      <c r="K4" s="2890"/>
      <c r="L4" s="2891"/>
      <c r="M4" s="2891"/>
      <c r="N4" s="2891"/>
      <c r="O4" s="2891"/>
      <c r="P4" s="2891"/>
      <c r="Q4" s="2889"/>
      <c r="R4" s="2023"/>
      <c r="S4" s="2892"/>
      <c r="T4" s="2893"/>
      <c r="U4" s="2023"/>
      <c r="V4" s="2894"/>
      <c r="W4" s="2023"/>
      <c r="X4" s="2889"/>
      <c r="Y4" s="2024"/>
      <c r="Z4" s="2895"/>
      <c r="AA4" s="2896"/>
      <c r="AB4" s="2024"/>
      <c r="AC4" s="2897"/>
      <c r="AD4" s="2024"/>
    </row>
    <row r="5" spans="1:30" s="2041" customFormat="1" ht="12.75">
      <c r="A5" s="2036" t="s">
        <v>3375</v>
      </c>
      <c r="B5" s="2027">
        <v>2025</v>
      </c>
      <c r="C5" s="2038">
        <v>1</v>
      </c>
      <c r="D5" s="2003">
        <v>0</v>
      </c>
      <c r="E5" s="2003">
        <v>0</v>
      </c>
      <c r="F5" s="2003">
        <v>0</v>
      </c>
      <c r="G5" s="2003">
        <v>0</v>
      </c>
      <c r="H5" s="2003">
        <v>0</v>
      </c>
      <c r="I5" s="2004">
        <f t="shared" ref="I5" si="4">F5</f>
        <v>0</v>
      </c>
      <c r="J5" s="2899"/>
      <c r="K5" s="2039">
        <f t="shared" ref="K5" si="5">D5/100</f>
        <v>0</v>
      </c>
      <c r="L5" s="2024">
        <f t="shared" ref="L5" si="6">E5/100</f>
        <v>0</v>
      </c>
      <c r="M5" s="2024">
        <f t="shared" ref="M5" si="7">F5/100</f>
        <v>0</v>
      </c>
      <c r="N5" s="2024">
        <f t="shared" ref="N5" si="8">G5/100</f>
        <v>0</v>
      </c>
      <c r="O5" s="2024">
        <f t="shared" ref="O5" si="9">H5/100</f>
        <v>0</v>
      </c>
      <c r="P5" s="2024">
        <f>M5</f>
        <v>0</v>
      </c>
      <c r="Q5" s="2899"/>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899"/>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9" customFormat="1" ht="12.75">
      <c r="A6" s="2900" t="s">
        <v>3384</v>
      </c>
      <c r="B6" s="2901">
        <v>2024</v>
      </c>
      <c r="C6" s="2902">
        <v>4</v>
      </c>
      <c r="D6" s="2903">
        <v>0</v>
      </c>
      <c r="E6" s="2903">
        <v>0</v>
      </c>
      <c r="F6" s="2903">
        <v>0</v>
      </c>
      <c r="G6" s="2903">
        <v>0</v>
      </c>
      <c r="H6" s="2904">
        <v>0</v>
      </c>
      <c r="I6" s="2905">
        <f t="shared" ref="I6" si="15">F6</f>
        <v>0</v>
      </c>
      <c r="J6" s="2906"/>
      <c r="K6" s="2907">
        <f t="shared" ref="K6" si="16">D6/100</f>
        <v>0</v>
      </c>
      <c r="L6" s="2908">
        <f t="shared" ref="L6" si="17">E6/100</f>
        <v>0</v>
      </c>
      <c r="M6" s="2908">
        <f t="shared" ref="M6" si="18">F6/100</f>
        <v>0</v>
      </c>
      <c r="N6" s="2908">
        <f t="shared" ref="N6" si="19">G6/100</f>
        <v>0</v>
      </c>
      <c r="O6" s="2908">
        <f t="shared" ref="O6" si="20">H6/100</f>
        <v>0</v>
      </c>
      <c r="P6" s="2908">
        <f>M6</f>
        <v>0</v>
      </c>
      <c r="Q6" s="2906"/>
      <c r="R6" s="2906">
        <f>ROUND(IF(项目基本情况!$B$8="出让",SUMPRODUCT(PRODUCT(1+K6:$K$21)),SUMPRODUCT(PRODUCT(1+K6:$K$20))),4)</f>
        <v>1.0620000000000001</v>
      </c>
      <c r="S6" s="2906">
        <f>ROUND(IF(项目基本情况!$B$8="出让",SUMPRODUCT(PRODUCT(1+L6:$L$21)),SUMPRODUCT(PRODUCT(1+L6:$L$20))),4)</f>
        <v>1.0448</v>
      </c>
      <c r="T6" s="2906">
        <f>ROUND(IF(项目基本情况!$B$8="出让",SUMPRODUCT(PRODUCT(1+M6:$M$21)),SUMPRODUCT(PRODUCT(1+M6:$M$20))),4)</f>
        <v>1.0079</v>
      </c>
      <c r="U6" s="2906">
        <f>ROUND(IF(项目基本情况!$B$8="出让",SUMPRODUCT(PRODUCT(1+N6:$N$21)),SUMPRODUCT(PRODUCT(1+N6:$N$20))),4)</f>
        <v>1.0672999999999999</v>
      </c>
      <c r="V6" s="2906">
        <f>ROUND(IF(项目基本情况!$B$8="出让",SUMPRODUCT(PRODUCT(1+O6:$O$21)),SUMPRODUCT(PRODUCT(1+O6:$O$20))),4)</f>
        <v>1.0818000000000001</v>
      </c>
      <c r="W6" s="2906">
        <f>T6</f>
        <v>1.0079</v>
      </c>
      <c r="X6" s="2906"/>
      <c r="Y6" s="2908">
        <f>IF(D6=0,0,ROUND(AVERAGE(D6:D19)/100,4))</f>
        <v>0</v>
      </c>
      <c r="Z6" s="2908">
        <f t="shared" ref="Z6" si="21">IF(E6=0,0,ROUND(AVERAGE(E6:E19)/100,4))</f>
        <v>0</v>
      </c>
      <c r="AA6" s="2908">
        <f t="shared" ref="AA6" si="22">IF(F6=0,0,ROUND(AVERAGE(F6:F19)/100,4))</f>
        <v>0</v>
      </c>
      <c r="AB6" s="2908">
        <f t="shared" ref="AB6" si="23">IF(G6=0,0,ROUND(AVERAGE(G6:G19)/100,4))</f>
        <v>0</v>
      </c>
      <c r="AC6" s="2908">
        <f t="shared" ref="AC6" si="24">IF(H6=0,0,ROUND(AVERAGE(H6:H19)/100,4))</f>
        <v>0</v>
      </c>
      <c r="AD6" s="2908">
        <f t="shared" ref="AD6" si="25">AA6</f>
        <v>0</v>
      </c>
    </row>
    <row r="7" spans="1:30" s="2041" customFormat="1" ht="12.75">
      <c r="A7" s="2036" t="s">
        <v>3383</v>
      </c>
      <c r="B7" s="2027">
        <v>2024</v>
      </c>
      <c r="C7" s="2038">
        <v>3</v>
      </c>
      <c r="D7" s="2003">
        <v>-1.19</v>
      </c>
      <c r="E7" s="2003">
        <v>-0.47</v>
      </c>
      <c r="F7" s="2003">
        <v>-0.28999999999999998</v>
      </c>
      <c r="G7" s="2003">
        <v>-0.74</v>
      </c>
      <c r="H7" s="2003">
        <v>-0.21</v>
      </c>
      <c r="I7" s="2004">
        <f t="shared" ref="I7" si="26">F7</f>
        <v>-0.28999999999999998</v>
      </c>
      <c r="J7" s="2899"/>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9"/>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9"/>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898" t="s">
        <v>3376</v>
      </c>
      <c r="B8" s="2027">
        <v>2024</v>
      </c>
      <c r="C8" s="2038">
        <v>2</v>
      </c>
      <c r="D8" s="2003">
        <v>-0.59</v>
      </c>
      <c r="E8" s="2003">
        <v>-0.21</v>
      </c>
      <c r="F8" s="2003">
        <v>-1.38</v>
      </c>
      <c r="G8" s="2003">
        <v>-1.24</v>
      </c>
      <c r="H8" s="2910">
        <v>0.34</v>
      </c>
      <c r="I8" s="2004">
        <f t="shared" ref="I8:I21" si="37">F8</f>
        <v>-1.38</v>
      </c>
      <c r="J8" s="2899"/>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9"/>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9"/>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898" t="s">
        <v>3372</v>
      </c>
      <c r="B9" s="2027">
        <v>2024</v>
      </c>
      <c r="C9" s="2038">
        <v>1</v>
      </c>
      <c r="D9" s="2003">
        <v>0.08</v>
      </c>
      <c r="E9" s="2003">
        <v>0.46</v>
      </c>
      <c r="F9" s="2003">
        <v>-0.16</v>
      </c>
      <c r="G9" s="2003">
        <v>0.26</v>
      </c>
      <c r="H9" s="2910">
        <v>0.59</v>
      </c>
      <c r="I9" s="2004">
        <v>0</v>
      </c>
      <c r="J9" s="2899"/>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9"/>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9"/>
      <c r="Y9" s="2024"/>
      <c r="Z9" s="2024"/>
      <c r="AA9" s="2024"/>
      <c r="AB9" s="2024"/>
      <c r="AC9" s="2024"/>
      <c r="AD9" s="2024"/>
    </row>
    <row r="10" spans="1:30" s="2041" customFormat="1" ht="12.75">
      <c r="A10" s="2898" t="s">
        <v>3368</v>
      </c>
      <c r="B10" s="2027">
        <v>2023</v>
      </c>
      <c r="C10" s="2038">
        <v>4</v>
      </c>
      <c r="D10" s="2003">
        <v>0.19</v>
      </c>
      <c r="E10" s="2003">
        <v>0.24</v>
      </c>
      <c r="F10" s="2003">
        <v>-0.16</v>
      </c>
      <c r="G10" s="2003">
        <v>0.17</v>
      </c>
      <c r="H10" s="2910">
        <v>0.61</v>
      </c>
      <c r="I10" s="2004">
        <f>F10</f>
        <v>-0.16</v>
      </c>
      <c r="J10" s="2899"/>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9"/>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9"/>
      <c r="Y10" s="2024"/>
      <c r="Z10" s="2024"/>
      <c r="AA10" s="2024"/>
      <c r="AB10" s="2024"/>
      <c r="AC10" s="2024"/>
      <c r="AD10" s="2024"/>
    </row>
    <row r="11" spans="1:30" s="2041" customFormat="1" ht="12.75">
      <c r="A11" s="2898" t="s">
        <v>3367</v>
      </c>
      <c r="B11" s="2027">
        <v>2023</v>
      </c>
      <c r="C11" s="2038">
        <v>3</v>
      </c>
      <c r="D11" s="2003">
        <v>0.25</v>
      </c>
      <c r="E11" s="2003">
        <v>0.5</v>
      </c>
      <c r="F11" s="2003">
        <v>0.31</v>
      </c>
      <c r="G11" s="2003">
        <v>0.21</v>
      </c>
      <c r="H11" s="2910">
        <v>0.43</v>
      </c>
      <c r="I11" s="2004">
        <f t="shared" si="37"/>
        <v>0.31</v>
      </c>
      <c r="J11" s="2899"/>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9"/>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9"/>
      <c r="Y11" s="2024"/>
      <c r="Z11" s="2024"/>
      <c r="AA11" s="2024"/>
      <c r="AB11" s="2024"/>
      <c r="AC11" s="2024"/>
      <c r="AD11" s="2024"/>
    </row>
    <row r="12" spans="1:30" s="2041" customFormat="1" ht="12.75">
      <c r="A12" s="2898" t="s">
        <v>3365</v>
      </c>
      <c r="B12" s="2027">
        <v>2023</v>
      </c>
      <c r="C12" s="2038">
        <v>2</v>
      </c>
      <c r="D12" s="2003">
        <v>0.91</v>
      </c>
      <c r="E12" s="2003">
        <v>0.66</v>
      </c>
      <c r="F12" s="2003">
        <v>0.47</v>
      </c>
      <c r="G12" s="2003">
        <v>0.96</v>
      </c>
      <c r="H12" s="2910">
        <v>0.71</v>
      </c>
      <c r="I12" s="2004">
        <f t="shared" si="37"/>
        <v>0.47</v>
      </c>
      <c r="J12" s="2899"/>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9"/>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9"/>
      <c r="Y12" s="2024"/>
      <c r="Z12" s="2024"/>
      <c r="AA12" s="2024"/>
      <c r="AB12" s="2024"/>
      <c r="AC12" s="2024"/>
      <c r="AD12" s="2024"/>
    </row>
    <row r="13" spans="1:30" s="2041" customFormat="1" ht="12.75">
      <c r="A13" s="2898" t="s">
        <v>3364</v>
      </c>
      <c r="B13" s="2027">
        <v>2023</v>
      </c>
      <c r="C13" s="2038">
        <v>1</v>
      </c>
      <c r="D13" s="2003">
        <v>0.89</v>
      </c>
      <c r="E13" s="2003">
        <v>0.74</v>
      </c>
      <c r="F13" s="2003">
        <v>0.56999999999999995</v>
      </c>
      <c r="G13" s="2003">
        <v>0.92</v>
      </c>
      <c r="H13" s="2910">
        <v>0.5</v>
      </c>
      <c r="I13" s="2004">
        <f t="shared" si="37"/>
        <v>0.56999999999999995</v>
      </c>
      <c r="J13" s="2899"/>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9"/>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9"/>
      <c r="Y13" s="2024"/>
      <c r="Z13" s="2024"/>
      <c r="AA13" s="2024"/>
      <c r="AB13" s="2024"/>
      <c r="AC13" s="2024"/>
      <c r="AD13" s="2024"/>
    </row>
    <row r="14" spans="1:30" s="2041" customFormat="1" ht="12.75">
      <c r="A14" s="2898" t="s">
        <v>3363</v>
      </c>
      <c r="B14" s="2027">
        <v>2022</v>
      </c>
      <c r="C14" s="2038">
        <v>4</v>
      </c>
      <c r="D14" s="2003">
        <v>0.62</v>
      </c>
      <c r="E14" s="2003">
        <v>0.2</v>
      </c>
      <c r="F14" s="2003">
        <v>0.11</v>
      </c>
      <c r="G14" s="2003">
        <v>0.69</v>
      </c>
      <c r="H14" s="2910">
        <v>0.53</v>
      </c>
      <c r="I14" s="2004">
        <f t="shared" si="37"/>
        <v>0.11</v>
      </c>
      <c r="J14" s="2899"/>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9"/>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9"/>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898" t="s">
        <v>3361</v>
      </c>
      <c r="B15" s="2027">
        <v>2022</v>
      </c>
      <c r="C15" s="2038">
        <v>3</v>
      </c>
      <c r="D15" s="2003">
        <v>0.66</v>
      </c>
      <c r="E15" s="2003">
        <v>0.32</v>
      </c>
      <c r="F15" s="2003">
        <v>0.23</v>
      </c>
      <c r="G15" s="2003">
        <v>0.72</v>
      </c>
      <c r="H15" s="2910">
        <v>0.63</v>
      </c>
      <c r="I15" s="2004">
        <f t="shared" si="37"/>
        <v>0.23</v>
      </c>
      <c r="J15" s="2899"/>
      <c r="K15" s="2039">
        <f t="shared" si="38"/>
        <v>6.6E-3</v>
      </c>
      <c r="L15" s="2024">
        <f t="shared" si="38"/>
        <v>3.2000000000000002E-3</v>
      </c>
      <c r="M15" s="2024">
        <f t="shared" si="38"/>
        <v>2.3E-3</v>
      </c>
      <c r="N15" s="2024">
        <f t="shared" si="38"/>
        <v>7.1999999999999998E-3</v>
      </c>
      <c r="O15" s="2024">
        <f t="shared" si="38"/>
        <v>6.3E-3</v>
      </c>
      <c r="P15" s="2024">
        <f t="shared" si="58"/>
        <v>2.3E-3</v>
      </c>
      <c r="Q15" s="2899"/>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9"/>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898" t="s">
        <v>3352</v>
      </c>
      <c r="B16" s="2027">
        <v>2022</v>
      </c>
      <c r="C16" s="2038">
        <v>2</v>
      </c>
      <c r="D16" s="2003">
        <v>0.93</v>
      </c>
      <c r="E16" s="2003">
        <v>0.15</v>
      </c>
      <c r="F16" s="2003">
        <v>0.01</v>
      </c>
      <c r="G16" s="2003">
        <v>1.05</v>
      </c>
      <c r="H16" s="2910">
        <v>1.08</v>
      </c>
      <c r="I16" s="2004">
        <f t="shared" si="37"/>
        <v>0.01</v>
      </c>
      <c r="J16" s="2899"/>
      <c r="K16" s="2039">
        <f t="shared" si="38"/>
        <v>9.300000000000001E-3</v>
      </c>
      <c r="L16" s="2024">
        <f t="shared" si="38"/>
        <v>1.5E-3</v>
      </c>
      <c r="M16" s="2024">
        <f t="shared" si="38"/>
        <v>1E-4</v>
      </c>
      <c r="N16" s="2024">
        <f t="shared" si="38"/>
        <v>1.0500000000000001E-2</v>
      </c>
      <c r="O16" s="2024">
        <f t="shared" si="38"/>
        <v>1.0800000000000001E-2</v>
      </c>
      <c r="P16" s="2024">
        <f t="shared" si="58"/>
        <v>1E-4</v>
      </c>
      <c r="Q16" s="2899"/>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9"/>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898" t="s">
        <v>2817</v>
      </c>
      <c r="B17" s="2027">
        <v>2022</v>
      </c>
      <c r="C17" s="2038">
        <v>1</v>
      </c>
      <c r="D17" s="2003">
        <v>0.89</v>
      </c>
      <c r="E17" s="2003">
        <v>0.44</v>
      </c>
      <c r="F17" s="2003">
        <v>0.37</v>
      </c>
      <c r="G17" s="2003">
        <v>0.96</v>
      </c>
      <c r="H17" s="2910">
        <v>0.64</v>
      </c>
      <c r="I17" s="2004">
        <f t="shared" si="37"/>
        <v>0.37</v>
      </c>
      <c r="J17" s="2899"/>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9"/>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9"/>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898" t="s">
        <v>2818</v>
      </c>
      <c r="B18" s="2027">
        <v>2021</v>
      </c>
      <c r="C18" s="2038">
        <v>4</v>
      </c>
      <c r="D18" s="2003">
        <v>1.03</v>
      </c>
      <c r="E18" s="2003">
        <v>0.24</v>
      </c>
      <c r="F18" s="2003">
        <v>7.0000000000000007E-2</v>
      </c>
      <c r="G18" s="2003">
        <v>1.17</v>
      </c>
      <c r="H18" s="2910">
        <v>0.55000000000000004</v>
      </c>
      <c r="I18" s="2004">
        <f t="shared" si="37"/>
        <v>7.0000000000000007E-2</v>
      </c>
      <c r="J18" s="2899"/>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9"/>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9"/>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898" t="s">
        <v>2819</v>
      </c>
      <c r="B19" s="2027">
        <v>2021</v>
      </c>
      <c r="C19" s="2038">
        <v>3</v>
      </c>
      <c r="D19" s="2003">
        <v>0.47</v>
      </c>
      <c r="E19" s="2003">
        <v>0.41</v>
      </c>
      <c r="F19" s="2003">
        <v>0.24</v>
      </c>
      <c r="G19" s="2003">
        <v>0.48</v>
      </c>
      <c r="H19" s="2910">
        <v>0.48</v>
      </c>
      <c r="I19" s="2004">
        <f t="shared" si="37"/>
        <v>0.24</v>
      </c>
      <c r="J19" s="2899"/>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9"/>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9"/>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898" t="s">
        <v>2820</v>
      </c>
      <c r="B20" s="2027">
        <v>2021</v>
      </c>
      <c r="C20" s="2038">
        <v>2</v>
      </c>
      <c r="D20" s="2003">
        <v>0.92</v>
      </c>
      <c r="E20" s="2003">
        <v>0.72</v>
      </c>
      <c r="F20" s="2003">
        <v>0.41</v>
      </c>
      <c r="G20" s="2003">
        <v>0.95</v>
      </c>
      <c r="H20" s="2910">
        <v>1.01</v>
      </c>
      <c r="I20" s="2004">
        <f t="shared" si="37"/>
        <v>0.41</v>
      </c>
      <c r="J20" s="2899"/>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9"/>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9"/>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1" customFormat="1" thickBot="1">
      <c r="A21" s="2911" t="s">
        <v>2821</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4.25" thickTop="1"/>
    <row r="23" spans="1:30">
      <c r="A23" s="3136" t="s">
        <v>3382</v>
      </c>
    </row>
    <row r="24" spans="1:30">
      <c r="I24" s="1402" t="s">
        <v>2822</v>
      </c>
    </row>
    <row r="26" spans="1:30" s="2005" customFormat="1" ht="12.75">
      <c r="B26" s="2922" t="s">
        <v>3380</v>
      </c>
      <c r="C26" s="2923"/>
      <c r="D26" s="2923"/>
      <c r="E26" s="2923"/>
      <c r="F26" s="2923"/>
      <c r="G26" s="2923"/>
      <c r="H26" s="2923"/>
      <c r="I26" s="2923"/>
      <c r="J26" s="2889"/>
      <c r="K26" s="2923" t="s">
        <v>2823</v>
      </c>
      <c r="L26" s="2923"/>
      <c r="M26" s="2923"/>
      <c r="N26" s="2923"/>
      <c r="O26" s="2923"/>
      <c r="P26" s="2923"/>
      <c r="Q26" s="2889"/>
      <c r="R26" s="3561" t="s">
        <v>2824</v>
      </c>
      <c r="S26" s="3562"/>
      <c r="T26" s="3562"/>
      <c r="U26" s="3562"/>
      <c r="V26" s="3562"/>
      <c r="W26" s="3562"/>
      <c r="X26" s="2889"/>
      <c r="Y26" s="3561" t="s">
        <v>2825</v>
      </c>
      <c r="Z26" s="3562"/>
      <c r="AA26" s="3562"/>
      <c r="AB26" s="3562"/>
      <c r="AC26" s="3562"/>
      <c r="AD26" s="3562"/>
    </row>
    <row r="27" spans="1:30" s="2006" customFormat="1" ht="14.25" thickBot="1">
      <c r="B27" s="2874"/>
      <c r="C27" s="2875"/>
      <c r="D27" s="2007" t="s">
        <v>2826</v>
      </c>
      <c r="E27" s="2008" t="s">
        <v>2827</v>
      </c>
      <c r="F27" s="2008" t="s">
        <v>2828</v>
      </c>
      <c r="G27" s="2008" t="s">
        <v>2829</v>
      </c>
      <c r="H27" s="2008"/>
      <c r="I27" s="2008" t="s">
        <v>2830</v>
      </c>
      <c r="J27" s="2876"/>
      <c r="K27" s="2007" t="s">
        <v>2826</v>
      </c>
      <c r="L27" s="2008" t="s">
        <v>2827</v>
      </c>
      <c r="M27" s="2008" t="s">
        <v>2828</v>
      </c>
      <c r="N27" s="2008" t="s">
        <v>2829</v>
      </c>
      <c r="O27" s="2008"/>
      <c r="P27" s="2008" t="s">
        <v>2830</v>
      </c>
      <c r="Q27" s="2876"/>
      <c r="R27" s="2007" t="s">
        <v>2826</v>
      </c>
      <c r="S27" s="2008" t="s">
        <v>2827</v>
      </c>
      <c r="T27" s="2008" t="s">
        <v>2828</v>
      </c>
      <c r="U27" s="2008" t="s">
        <v>2829</v>
      </c>
      <c r="V27" s="2008"/>
      <c r="W27" s="2008" t="s">
        <v>2830</v>
      </c>
      <c r="X27" s="2876"/>
      <c r="Y27" s="2007" t="s">
        <v>2826</v>
      </c>
      <c r="Z27" s="2008" t="s">
        <v>2827</v>
      </c>
      <c r="AA27" s="2008" t="s">
        <v>2828</v>
      </c>
      <c r="AB27" s="2008" t="s">
        <v>2829</v>
      </c>
      <c r="AC27" s="2008"/>
      <c r="AD27" s="2008" t="s">
        <v>2830</v>
      </c>
    </row>
    <row r="28" spans="1:30" s="2879" customFormat="1" ht="12.75">
      <c r="A28" s="2877" t="s">
        <v>2831</v>
      </c>
      <c r="B28" s="2878"/>
      <c r="E28" s="2879">
        <f t="shared" ref="E28:G28" si="65">ROUND(AVERAGEIF(E29:E46,"&lt;&gt;0"),2)</f>
        <v>0.26</v>
      </c>
      <c r="F28" s="2879">
        <f t="shared" si="65"/>
        <v>0.19</v>
      </c>
      <c r="G28" s="2879">
        <f t="shared" si="65"/>
        <v>0.38</v>
      </c>
      <c r="I28" s="2879">
        <f>F28</f>
        <v>0.19</v>
      </c>
      <c r="J28" s="2880"/>
      <c r="K28" s="2881"/>
      <c r="L28" s="2882">
        <f t="shared" ref="L28:N28" si="66">ROUND(AVERAGEIF(L29:L46,"&lt;&gt;0"),4)</f>
        <v>2.5999999999999999E-3</v>
      </c>
      <c r="M28" s="2882">
        <f t="shared" si="66"/>
        <v>1.9E-3</v>
      </c>
      <c r="N28" s="2882">
        <f t="shared" si="66"/>
        <v>3.8E-3</v>
      </c>
      <c r="O28" s="2882"/>
      <c r="P28" s="2882">
        <f>M28</f>
        <v>1.9E-3</v>
      </c>
      <c r="Q28" s="2880"/>
      <c r="R28" s="2883"/>
      <c r="S28" s="2884">
        <f>ROUND(SUMPRODUCT(PRODUCT(1+L29:L46)),4)</f>
        <v>1.04</v>
      </c>
      <c r="T28" s="2884">
        <f t="shared" ref="T28:U28" si="67">ROUND(SUMPRODUCT(PRODUCT(1+M29:M46)),4)</f>
        <v>1.0293000000000001</v>
      </c>
      <c r="U28" s="2884">
        <f t="shared" si="67"/>
        <v>1.0583</v>
      </c>
      <c r="V28" s="2884"/>
      <c r="W28" s="2883">
        <f>T28</f>
        <v>1.0293000000000001</v>
      </c>
      <c r="X28" s="2880"/>
      <c r="Y28" s="2885"/>
      <c r="Z28" s="2886">
        <f t="shared" ref="Z28:AB28" si="68">ROUND(AVERAGEIF(Z29:Z46,"&lt;&gt;0"),4)</f>
        <v>4.1000000000000003E-3</v>
      </c>
      <c r="AA28" s="2887">
        <f t="shared" si="68"/>
        <v>3.3E-3</v>
      </c>
      <c r="AB28" s="2885">
        <f t="shared" si="68"/>
        <v>8.0999999999999996E-3</v>
      </c>
      <c r="AC28" s="2888"/>
      <c r="AD28" s="2885">
        <f>AA28</f>
        <v>3.3E-3</v>
      </c>
    </row>
    <row r="29" spans="1:30" s="2005" customFormat="1" ht="12.75">
      <c r="B29" s="2021"/>
      <c r="J29" s="2889"/>
      <c r="K29" s="2890"/>
      <c r="L29" s="2891"/>
      <c r="M29" s="2891"/>
      <c r="N29" s="2891"/>
      <c r="O29" s="2891"/>
      <c r="P29" s="2891"/>
      <c r="Q29" s="2889"/>
      <c r="R29" s="2023"/>
      <c r="S29" s="2892"/>
      <c r="T29" s="2893"/>
      <c r="U29" s="2023"/>
      <c r="V29" s="2894"/>
      <c r="W29" s="2023"/>
      <c r="X29" s="2889"/>
      <c r="Y29" s="2024"/>
      <c r="Z29" s="2895"/>
      <c r="AA29" s="2896"/>
      <c r="AB29" s="2024"/>
      <c r="AC29" s="2897"/>
      <c r="AD29" s="2024"/>
    </row>
    <row r="30" spans="1:30" s="2041" customFormat="1" ht="12.75">
      <c r="A30" s="2036" t="s">
        <v>3375</v>
      </c>
      <c r="B30" s="2027">
        <v>2025</v>
      </c>
      <c r="C30" s="2038">
        <v>1</v>
      </c>
      <c r="D30" s="2003"/>
      <c r="E30" s="2003">
        <v>0</v>
      </c>
      <c r="F30" s="2003">
        <v>0</v>
      </c>
      <c r="G30" s="2003">
        <v>0</v>
      </c>
      <c r="H30" s="2003"/>
      <c r="I30" s="2004">
        <f t="shared" ref="I30" si="69">F30</f>
        <v>0</v>
      </c>
      <c r="J30" s="2899"/>
      <c r="K30" s="2039"/>
      <c r="L30" s="2024">
        <f t="shared" ref="L30" si="70">E30/100</f>
        <v>0</v>
      </c>
      <c r="M30" s="2024">
        <f t="shared" ref="M30" si="71">F30/100</f>
        <v>0</v>
      </c>
      <c r="N30" s="2024">
        <f t="shared" ref="N30" si="72">G30/100</f>
        <v>0</v>
      </c>
      <c r="O30" s="2024"/>
      <c r="P30" s="2024">
        <f>M30</f>
        <v>0</v>
      </c>
      <c r="Q30" s="2899"/>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899"/>
      <c r="Y30" s="2024"/>
      <c r="Z30" s="2895">
        <f t="shared" ref="Z30" si="73">IF(E30=0,0,ROUND(AVERAGE(E30:E43)/100,4))</f>
        <v>0</v>
      </c>
      <c r="AA30" s="2895">
        <f t="shared" ref="AA30" si="74">IF(F30=0,0,ROUND(AVERAGE(F30:F43)/100,4))</f>
        <v>0</v>
      </c>
      <c r="AB30" s="2895">
        <f t="shared" ref="AB30" si="75">IF(G30=0,0,ROUND(AVERAGE(G30:G43)/100,4))</f>
        <v>0</v>
      </c>
      <c r="AC30" s="2897"/>
      <c r="AD30" s="2024">
        <f>IF(I30=0,0,ROUND(AVERAGE(I30:I43)/100,4))</f>
        <v>0</v>
      </c>
    </row>
    <row r="31" spans="1:30" s="2909" customFormat="1" ht="12.75">
      <c r="A31" s="2900" t="s">
        <v>3377</v>
      </c>
      <c r="B31" s="2901">
        <v>2024</v>
      </c>
      <c r="C31" s="2902">
        <v>4</v>
      </c>
      <c r="D31" s="2903"/>
      <c r="E31" s="2903">
        <v>0</v>
      </c>
      <c r="F31" s="2903">
        <v>0</v>
      </c>
      <c r="G31" s="2903">
        <v>0</v>
      </c>
      <c r="H31" s="2904"/>
      <c r="I31" s="2905">
        <f t="shared" ref="I31" si="76">F31</f>
        <v>0</v>
      </c>
      <c r="J31" s="2906"/>
      <c r="K31" s="2907"/>
      <c r="L31" s="2908">
        <f t="shared" ref="L31" si="77">E31/100</f>
        <v>0</v>
      </c>
      <c r="M31" s="2908">
        <f t="shared" ref="M31" si="78">F31/100</f>
        <v>0</v>
      </c>
      <c r="N31" s="2908">
        <f t="shared" ref="N31" si="79">G31/100</f>
        <v>0</v>
      </c>
      <c r="O31" s="2908"/>
      <c r="P31" s="2908">
        <f>M31</f>
        <v>0</v>
      </c>
      <c r="Q31" s="2906"/>
      <c r="R31" s="2906"/>
      <c r="S31" s="2906">
        <f>ROUND(IF(项目基本情况!$B$8="出让",SUMPRODUCT(PRODUCT(1+L31:L$46)),SUMPRODUCT(PRODUCT(1+L31:L$45))),4)</f>
        <v>1.0364</v>
      </c>
      <c r="T31" s="2906">
        <f>ROUND(IF(项目基本情况!$B$8="出让",SUMPRODUCT(PRODUCT(1+M31:M$46)),SUMPRODUCT(PRODUCT(1+M31:M$45))),4)</f>
        <v>1.0244</v>
      </c>
      <c r="U31" s="2906">
        <f>ROUND(IF(项目基本情况!$B$8="出让",SUMPRODUCT(PRODUCT(1+N31:N$46)),SUMPRODUCT(PRODUCT(1+N31:N$45))),4)</f>
        <v>1.048</v>
      </c>
      <c r="V31" s="2906"/>
      <c r="W31" s="2906">
        <f>T31</f>
        <v>1.0244</v>
      </c>
      <c r="X31" s="2906"/>
      <c r="Y31" s="2908"/>
      <c r="Z31" s="2924">
        <f t="shared" ref="Z31" si="80">IF(E31=0,0,ROUND(AVERAGE(E31:E44)/100,4))</f>
        <v>0</v>
      </c>
      <c r="AA31" s="2925">
        <f t="shared" ref="AA31" si="81">IF(F31=0,0,ROUND(AVERAGE(F31:F44)/100,4))</f>
        <v>0</v>
      </c>
      <c r="AB31" s="2908">
        <f t="shared" ref="AB31" si="82">IF(G31=0,0,ROUND(AVERAGE(G31:G44)/100,4))</f>
        <v>0</v>
      </c>
      <c r="AC31" s="2926"/>
      <c r="AD31" s="2908">
        <f>IF(I31=0,0,ROUND(AVERAGE(I31:I44)/100,4))</f>
        <v>0</v>
      </c>
    </row>
    <row r="32" spans="1:30" s="2041" customFormat="1" ht="12.75">
      <c r="A32" s="2036" t="s">
        <v>3370</v>
      </c>
      <c r="B32" s="2027">
        <v>2024</v>
      </c>
      <c r="C32" s="2038">
        <v>3</v>
      </c>
      <c r="D32" s="2003"/>
      <c r="E32" s="2003">
        <v>-0.66</v>
      </c>
      <c r="F32" s="2003">
        <v>-0.52</v>
      </c>
      <c r="G32" s="2003">
        <v>-2.87</v>
      </c>
      <c r="H32" s="2003"/>
      <c r="I32" s="2004">
        <f t="shared" ref="I32" si="83">F32</f>
        <v>-0.52</v>
      </c>
      <c r="J32" s="2899"/>
      <c r="K32" s="2039"/>
      <c r="L32" s="2024">
        <f t="shared" ref="L32" si="84">E32/100</f>
        <v>-6.6E-3</v>
      </c>
      <c r="M32" s="2024">
        <f t="shared" ref="M32" si="85">F32/100</f>
        <v>-5.1999999999999998E-3</v>
      </c>
      <c r="N32" s="2024">
        <f t="shared" ref="N32" si="86">G32/100</f>
        <v>-2.87E-2</v>
      </c>
      <c r="O32" s="2024"/>
      <c r="P32" s="2024">
        <f>M32</f>
        <v>-5.1999999999999998E-3</v>
      </c>
      <c r="Q32" s="2899"/>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9"/>
      <c r="Y32" s="2024"/>
      <c r="Z32" s="2895">
        <f t="shared" ref="Z32:AB33" si="87">IF(E32=0,0,ROUND(AVERAGE(E32:E45)/100,4))</f>
        <v>2.5999999999999999E-3</v>
      </c>
      <c r="AA32" s="2895">
        <f t="shared" si="87"/>
        <v>1.6999999999999999E-3</v>
      </c>
      <c r="AB32" s="2895">
        <f t="shared" si="87"/>
        <v>3.3999999999999998E-3</v>
      </c>
      <c r="AC32" s="2897"/>
      <c r="AD32" s="2024">
        <f>IF(I32=0,0,ROUND(AVERAGE(I32:I45)/100,4))</f>
        <v>1.6999999999999999E-3</v>
      </c>
    </row>
    <row r="33" spans="1:30" s="2041" customFormat="1" ht="12.75">
      <c r="A33" s="2898" t="s">
        <v>3378</v>
      </c>
      <c r="B33" s="2027">
        <v>2024</v>
      </c>
      <c r="C33" s="2038">
        <v>2</v>
      </c>
      <c r="D33" s="2003"/>
      <c r="E33" s="2003">
        <v>-0.31</v>
      </c>
      <c r="F33" s="2003">
        <v>-0.39</v>
      </c>
      <c r="G33" s="2003">
        <v>1.23</v>
      </c>
      <c r="H33" s="2910"/>
      <c r="I33" s="2004">
        <f t="shared" ref="I33:I46" si="88">F33</f>
        <v>-0.39</v>
      </c>
      <c r="J33" s="2899"/>
      <c r="K33" s="2039"/>
      <c r="L33" s="2024">
        <f t="shared" ref="L33:N46" si="89">E33/100</f>
        <v>-3.0999999999999999E-3</v>
      </c>
      <c r="M33" s="2024">
        <f t="shared" si="89"/>
        <v>-3.9000000000000003E-3</v>
      </c>
      <c r="N33" s="2024">
        <f t="shared" si="89"/>
        <v>1.23E-2</v>
      </c>
      <c r="O33" s="2024"/>
      <c r="P33" s="2024">
        <f>M33</f>
        <v>-3.9000000000000003E-3</v>
      </c>
      <c r="Q33" s="2899"/>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9"/>
      <c r="Y33" s="2024"/>
      <c r="Z33" s="2895">
        <f t="shared" si="87"/>
        <v>3.3E-3</v>
      </c>
      <c r="AA33" s="2896">
        <f t="shared" si="87"/>
        <v>2.3999999999999998E-3</v>
      </c>
      <c r="AB33" s="2024">
        <f t="shared" si="87"/>
        <v>6.1999999999999998E-3</v>
      </c>
      <c r="AC33" s="2897"/>
      <c r="AD33" s="2024">
        <f>IF(I33=0,0,ROUND(AVERAGE(I33:I46)/100,4))</f>
        <v>2.3999999999999998E-3</v>
      </c>
    </row>
    <row r="34" spans="1:30" s="2041" customFormat="1" ht="12.75">
      <c r="A34" s="2898" t="s">
        <v>3371</v>
      </c>
      <c r="B34" s="2027">
        <v>2024</v>
      </c>
      <c r="C34" s="2038">
        <v>1</v>
      </c>
      <c r="D34" s="2003"/>
      <c r="E34" s="2003">
        <v>0.25</v>
      </c>
      <c r="F34" s="2003">
        <v>0.4</v>
      </c>
      <c r="G34" s="2003">
        <v>-0.63</v>
      </c>
      <c r="H34" s="2910"/>
      <c r="I34" s="2004">
        <f t="shared" ref="I34:I35" si="90">F34</f>
        <v>0.4</v>
      </c>
      <c r="J34" s="2899"/>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9"/>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9"/>
      <c r="Y34" s="2024"/>
      <c r="Z34" s="2895"/>
      <c r="AA34" s="2896"/>
      <c r="AB34" s="2024"/>
      <c r="AC34" s="2897"/>
      <c r="AD34" s="2024"/>
    </row>
    <row r="35" spans="1:30" s="2041" customFormat="1" ht="12.75">
      <c r="A35" s="2898" t="s">
        <v>3369</v>
      </c>
      <c r="B35" s="2027">
        <v>2023</v>
      </c>
      <c r="C35" s="2038">
        <v>4</v>
      </c>
      <c r="D35" s="2003"/>
      <c r="E35" s="2003">
        <v>7.0000000000000007E-2</v>
      </c>
      <c r="F35" s="2003">
        <v>0.09</v>
      </c>
      <c r="G35" s="2003">
        <v>0.03</v>
      </c>
      <c r="H35" s="2910"/>
      <c r="I35" s="2004">
        <f t="shared" si="90"/>
        <v>0.09</v>
      </c>
      <c r="J35" s="2899"/>
      <c r="K35" s="2039"/>
      <c r="L35" s="2024">
        <f t="shared" si="89"/>
        <v>7.000000000000001E-4</v>
      </c>
      <c r="M35" s="2024">
        <f t="shared" si="89"/>
        <v>8.9999999999999998E-4</v>
      </c>
      <c r="N35" s="2024">
        <f t="shared" si="89"/>
        <v>2.9999999999999997E-4</v>
      </c>
      <c r="O35" s="2024"/>
      <c r="P35" s="2024">
        <f t="shared" ref="P35" si="96">M35</f>
        <v>8.9999999999999998E-4</v>
      </c>
      <c r="Q35" s="2899"/>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9"/>
      <c r="Y35" s="2024"/>
      <c r="Z35" s="2895"/>
      <c r="AA35" s="2896"/>
      <c r="AB35" s="2024"/>
      <c r="AC35" s="2897"/>
      <c r="AD35" s="2024"/>
    </row>
    <row r="36" spans="1:30" s="2041" customFormat="1" ht="12.75">
      <c r="A36" s="2898" t="s">
        <v>3367</v>
      </c>
      <c r="B36" s="2027">
        <v>2023</v>
      </c>
      <c r="C36" s="2038">
        <v>3</v>
      </c>
      <c r="D36" s="2003"/>
      <c r="E36" s="2003">
        <v>0.35</v>
      </c>
      <c r="F36" s="2003">
        <v>0.17</v>
      </c>
      <c r="G36" s="2003">
        <v>0.52</v>
      </c>
      <c r="H36" s="2910"/>
      <c r="I36" s="2004">
        <f t="shared" si="88"/>
        <v>0.17</v>
      </c>
      <c r="J36" s="2899"/>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9"/>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9"/>
      <c r="Y36" s="2024"/>
      <c r="Z36" s="2895"/>
      <c r="AA36" s="2896"/>
      <c r="AB36" s="2024"/>
      <c r="AC36" s="2897"/>
      <c r="AD36" s="2024"/>
    </row>
    <row r="37" spans="1:30" s="2041" customFormat="1" ht="12.75">
      <c r="A37" s="2898" t="s">
        <v>3366</v>
      </c>
      <c r="B37" s="2027">
        <v>2023</v>
      </c>
      <c r="C37" s="2038">
        <v>2</v>
      </c>
      <c r="D37" s="2003"/>
      <c r="E37" s="2003">
        <v>0.5</v>
      </c>
      <c r="F37" s="2003">
        <v>0.45</v>
      </c>
      <c r="G37" s="2003">
        <v>0.89</v>
      </c>
      <c r="H37" s="2910"/>
      <c r="I37" s="2004">
        <f t="shared" si="88"/>
        <v>0.45</v>
      </c>
      <c r="J37" s="2899"/>
      <c r="K37" s="2039"/>
      <c r="L37" s="2024">
        <f t="shared" si="98"/>
        <v>5.0000000000000001E-3</v>
      </c>
      <c r="M37" s="2024">
        <f t="shared" si="99"/>
        <v>4.5000000000000005E-3</v>
      </c>
      <c r="N37" s="2024">
        <f t="shared" si="100"/>
        <v>8.8999999999999999E-3</v>
      </c>
      <c r="O37" s="2024"/>
      <c r="P37" s="2024">
        <f t="shared" si="101"/>
        <v>4.5000000000000005E-3</v>
      </c>
      <c r="Q37" s="2899"/>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9"/>
      <c r="Y37" s="2024"/>
      <c r="Z37" s="2895"/>
      <c r="AA37" s="2896"/>
      <c r="AB37" s="2024"/>
      <c r="AC37" s="2897"/>
      <c r="AD37" s="2024"/>
    </row>
    <row r="38" spans="1:30" s="2041" customFormat="1" ht="12.75">
      <c r="A38" s="2898" t="s">
        <v>3364</v>
      </c>
      <c r="B38" s="2027">
        <v>2023</v>
      </c>
      <c r="C38" s="2038">
        <v>1</v>
      </c>
      <c r="D38" s="2003"/>
      <c r="E38" s="2003">
        <v>0.55000000000000004</v>
      </c>
      <c r="F38" s="2003">
        <v>0.59</v>
      </c>
      <c r="G38" s="2003">
        <v>0.64</v>
      </c>
      <c r="H38" s="2910"/>
      <c r="I38" s="2004">
        <f t="shared" si="88"/>
        <v>0.59</v>
      </c>
      <c r="J38" s="2899"/>
      <c r="K38" s="2039"/>
      <c r="L38" s="2024">
        <f t="shared" si="98"/>
        <v>5.5000000000000005E-3</v>
      </c>
      <c r="M38" s="2024">
        <f t="shared" si="99"/>
        <v>5.8999999999999999E-3</v>
      </c>
      <c r="N38" s="2024">
        <f t="shared" si="100"/>
        <v>6.4000000000000003E-3</v>
      </c>
      <c r="O38" s="2024"/>
      <c r="P38" s="2024">
        <f t="shared" si="101"/>
        <v>5.8999999999999999E-3</v>
      </c>
      <c r="Q38" s="2899"/>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9"/>
      <c r="Y38" s="2024"/>
      <c r="Z38" s="2895"/>
      <c r="AA38" s="2896"/>
      <c r="AB38" s="2024"/>
      <c r="AC38" s="2897"/>
      <c r="AD38" s="2024"/>
    </row>
    <row r="39" spans="1:30" s="2041" customFormat="1" ht="12.75">
      <c r="A39" s="2898" t="s">
        <v>3363</v>
      </c>
      <c r="B39" s="2027">
        <v>2022</v>
      </c>
      <c r="C39" s="2038">
        <v>4</v>
      </c>
      <c r="D39" s="2003"/>
      <c r="E39" s="2003">
        <v>0.45</v>
      </c>
      <c r="F39" s="2003">
        <v>0.2</v>
      </c>
      <c r="G39" s="2003">
        <v>0.38</v>
      </c>
      <c r="H39" s="2910"/>
      <c r="I39" s="2004">
        <f t="shared" si="88"/>
        <v>0.2</v>
      </c>
      <c r="J39" s="2899"/>
      <c r="K39" s="2039"/>
      <c r="L39" s="2024">
        <f t="shared" si="89"/>
        <v>4.5000000000000005E-3</v>
      </c>
      <c r="M39" s="2024">
        <f t="shared" si="89"/>
        <v>2E-3</v>
      </c>
      <c r="N39" s="2024">
        <f t="shared" si="89"/>
        <v>3.8E-3</v>
      </c>
      <c r="O39" s="2024"/>
      <c r="P39" s="2024">
        <f t="shared" ref="P39:P46" si="103">M39</f>
        <v>2E-3</v>
      </c>
      <c r="Q39" s="2899"/>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9"/>
      <c r="Y39" s="2024"/>
      <c r="Z39" s="2895">
        <f t="shared" ref="Z39:AD46" si="105">IF(E39=0,0,ROUND(AVERAGE(E39:E47)/100,4))</f>
        <v>4.0000000000000001E-3</v>
      </c>
      <c r="AA39" s="2896">
        <f t="shared" si="105"/>
        <v>2.5999999999999999E-3</v>
      </c>
      <c r="AB39" s="2024">
        <f t="shared" si="105"/>
        <v>7.4000000000000003E-3</v>
      </c>
      <c r="AC39" s="2897"/>
      <c r="AD39" s="2024">
        <f t="shared" si="105"/>
        <v>2.5999999999999999E-3</v>
      </c>
    </row>
    <row r="40" spans="1:30" s="2041" customFormat="1" ht="12.75">
      <c r="A40" s="2898" t="s">
        <v>3362</v>
      </c>
      <c r="B40" s="2027">
        <v>2022</v>
      </c>
      <c r="C40" s="2038">
        <v>3</v>
      </c>
      <c r="D40" s="2003"/>
      <c r="E40" s="2003">
        <v>0.3</v>
      </c>
      <c r="F40" s="2003">
        <v>0.28999999999999998</v>
      </c>
      <c r="G40" s="2003">
        <v>0.83</v>
      </c>
      <c r="H40" s="2910"/>
      <c r="I40" s="2004">
        <f t="shared" si="88"/>
        <v>0.28999999999999998</v>
      </c>
      <c r="J40" s="2899"/>
      <c r="K40" s="2039"/>
      <c r="L40" s="2024">
        <f t="shared" si="89"/>
        <v>3.0000000000000001E-3</v>
      </c>
      <c r="M40" s="2024">
        <f t="shared" si="89"/>
        <v>2.8999999999999998E-3</v>
      </c>
      <c r="N40" s="2024">
        <f t="shared" si="89"/>
        <v>8.3000000000000001E-3</v>
      </c>
      <c r="O40" s="2024"/>
      <c r="P40" s="2024">
        <f t="shared" si="103"/>
        <v>2.8999999999999998E-3</v>
      </c>
      <c r="Q40" s="2899"/>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9"/>
      <c r="Y40" s="2024"/>
      <c r="Z40" s="2895">
        <f t="shared" si="105"/>
        <v>3.8999999999999998E-3</v>
      </c>
      <c r="AA40" s="2896">
        <f t="shared" si="105"/>
        <v>2.7000000000000001E-3</v>
      </c>
      <c r="AB40" s="2024">
        <f t="shared" si="105"/>
        <v>7.9000000000000008E-3</v>
      </c>
      <c r="AC40" s="2897"/>
      <c r="AD40" s="2024">
        <f t="shared" si="105"/>
        <v>2.7000000000000001E-3</v>
      </c>
    </row>
    <row r="41" spans="1:30" s="2041" customFormat="1" ht="12.75">
      <c r="A41" s="2898" t="s">
        <v>3352</v>
      </c>
      <c r="B41" s="2027">
        <v>2022</v>
      </c>
      <c r="C41" s="2038">
        <v>2</v>
      </c>
      <c r="D41" s="2003"/>
      <c r="E41" s="2003">
        <v>-0.11</v>
      </c>
      <c r="F41" s="2003">
        <v>-0.13</v>
      </c>
      <c r="G41" s="2003">
        <v>0.53</v>
      </c>
      <c r="H41" s="2910"/>
      <c r="I41" s="2004">
        <f t="shared" si="88"/>
        <v>-0.13</v>
      </c>
      <c r="J41" s="2899"/>
      <c r="K41" s="2039"/>
      <c r="L41" s="2024">
        <f t="shared" si="89"/>
        <v>-1.1000000000000001E-3</v>
      </c>
      <c r="M41" s="2024">
        <f t="shared" si="89"/>
        <v>-1.2999999999999999E-3</v>
      </c>
      <c r="N41" s="2024">
        <f t="shared" si="89"/>
        <v>5.3E-3</v>
      </c>
      <c r="O41" s="2024"/>
      <c r="P41" s="2024">
        <f t="shared" si="103"/>
        <v>-1.2999999999999999E-3</v>
      </c>
      <c r="Q41" s="2899"/>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9"/>
      <c r="Y41" s="2024"/>
      <c r="Z41" s="2895">
        <f t="shared" si="105"/>
        <v>4.1000000000000003E-3</v>
      </c>
      <c r="AA41" s="2896">
        <f t="shared" si="105"/>
        <v>2.7000000000000001E-3</v>
      </c>
      <c r="AB41" s="2024">
        <f t="shared" si="105"/>
        <v>7.9000000000000008E-3</v>
      </c>
      <c r="AC41" s="2897"/>
      <c r="AD41" s="2024">
        <f t="shared" si="105"/>
        <v>2.7000000000000001E-3</v>
      </c>
    </row>
    <row r="42" spans="1:30" s="2041" customFormat="1" ht="12.75">
      <c r="A42" s="2898" t="s">
        <v>2832</v>
      </c>
      <c r="B42" s="2027">
        <v>2022</v>
      </c>
      <c r="C42" s="2038">
        <v>1</v>
      </c>
      <c r="D42" s="2003"/>
      <c r="E42" s="2003">
        <v>0.6</v>
      </c>
      <c r="F42" s="2003">
        <v>0.45</v>
      </c>
      <c r="G42" s="2003">
        <v>0.53</v>
      </c>
      <c r="H42" s="2910"/>
      <c r="I42" s="2004">
        <f t="shared" si="88"/>
        <v>0.45</v>
      </c>
      <c r="J42" s="2899"/>
      <c r="K42" s="2039"/>
      <c r="L42" s="2024">
        <f t="shared" si="89"/>
        <v>6.0000000000000001E-3</v>
      </c>
      <c r="M42" s="2024">
        <f t="shared" si="89"/>
        <v>4.5000000000000005E-3</v>
      </c>
      <c r="N42" s="2024">
        <f t="shared" si="89"/>
        <v>5.3E-3</v>
      </c>
      <c r="O42" s="2024"/>
      <c r="P42" s="2024">
        <f t="shared" si="103"/>
        <v>4.5000000000000005E-3</v>
      </c>
      <c r="Q42" s="2899"/>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9"/>
      <c r="Y42" s="2024"/>
      <c r="Z42" s="2895">
        <f t="shared" si="105"/>
        <v>5.1000000000000004E-3</v>
      </c>
      <c r="AA42" s="2896">
        <f t="shared" si="105"/>
        <v>3.5000000000000001E-3</v>
      </c>
      <c r="AB42" s="2024">
        <f t="shared" si="105"/>
        <v>8.3999999999999995E-3</v>
      </c>
      <c r="AC42" s="2897"/>
      <c r="AD42" s="2024">
        <f t="shared" si="105"/>
        <v>3.5000000000000001E-3</v>
      </c>
    </row>
    <row r="43" spans="1:30" s="2041" customFormat="1" ht="12.75">
      <c r="A43" s="2898" t="s">
        <v>2833</v>
      </c>
      <c r="B43" s="2027">
        <v>2021</v>
      </c>
      <c r="C43" s="2038">
        <v>4</v>
      </c>
      <c r="D43" s="2003"/>
      <c r="E43" s="2003">
        <v>0.57999999999999996</v>
      </c>
      <c r="F43" s="2003">
        <v>0.08</v>
      </c>
      <c r="G43" s="2003">
        <v>0.68</v>
      </c>
      <c r="H43" s="2910"/>
      <c r="I43" s="2004">
        <f t="shared" si="88"/>
        <v>0.08</v>
      </c>
      <c r="J43" s="2899"/>
      <c r="K43" s="2039"/>
      <c r="L43" s="2024">
        <f t="shared" si="89"/>
        <v>5.7999999999999996E-3</v>
      </c>
      <c r="M43" s="2024">
        <f t="shared" si="89"/>
        <v>8.0000000000000004E-4</v>
      </c>
      <c r="N43" s="2024">
        <f t="shared" si="89"/>
        <v>6.8000000000000005E-3</v>
      </c>
      <c r="O43" s="2024"/>
      <c r="P43" s="2024">
        <f t="shared" si="103"/>
        <v>8.0000000000000004E-4</v>
      </c>
      <c r="Q43" s="2899"/>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9"/>
      <c r="Y43" s="2024"/>
      <c r="Z43" s="2895">
        <f t="shared" si="105"/>
        <v>4.8999999999999998E-3</v>
      </c>
      <c r="AA43" s="2896">
        <f t="shared" si="105"/>
        <v>3.3E-3</v>
      </c>
      <c r="AB43" s="2024">
        <f t="shared" si="105"/>
        <v>9.1999999999999998E-3</v>
      </c>
      <c r="AC43" s="2897"/>
      <c r="AD43" s="2024">
        <f t="shared" si="105"/>
        <v>3.3E-3</v>
      </c>
    </row>
    <row r="44" spans="1:30" s="2041" customFormat="1" ht="12.75">
      <c r="A44" s="2898" t="s">
        <v>2834</v>
      </c>
      <c r="B44" s="2027">
        <v>2021</v>
      </c>
      <c r="C44" s="2038">
        <v>3</v>
      </c>
      <c r="D44" s="2003"/>
      <c r="E44" s="2003">
        <v>0.47</v>
      </c>
      <c r="F44" s="2003">
        <v>0.28000000000000003</v>
      </c>
      <c r="G44" s="2003">
        <v>0.91</v>
      </c>
      <c r="H44" s="2910"/>
      <c r="I44" s="2004">
        <f t="shared" si="88"/>
        <v>0.28000000000000003</v>
      </c>
      <c r="J44" s="2899"/>
      <c r="K44" s="2039"/>
      <c r="L44" s="2024">
        <f t="shared" si="89"/>
        <v>4.6999999999999993E-3</v>
      </c>
      <c r="M44" s="2024">
        <f t="shared" si="89"/>
        <v>2.8000000000000004E-3</v>
      </c>
      <c r="N44" s="2024">
        <f t="shared" si="89"/>
        <v>9.1000000000000004E-3</v>
      </c>
      <c r="O44" s="2024"/>
      <c r="P44" s="2024">
        <f t="shared" si="103"/>
        <v>2.8000000000000004E-3</v>
      </c>
      <c r="Q44" s="2899"/>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9"/>
      <c r="Y44" s="2024"/>
      <c r="Z44" s="2895">
        <f t="shared" si="105"/>
        <v>4.5999999999999999E-3</v>
      </c>
      <c r="AA44" s="2896">
        <f t="shared" si="105"/>
        <v>4.1000000000000003E-3</v>
      </c>
      <c r="AB44" s="2024">
        <f t="shared" si="105"/>
        <v>0.01</v>
      </c>
      <c r="AC44" s="2897"/>
      <c r="AD44" s="2024">
        <f t="shared" si="105"/>
        <v>4.1000000000000003E-3</v>
      </c>
    </row>
    <row r="45" spans="1:30" s="2041" customFormat="1" ht="12.75">
      <c r="A45" s="2898" t="s">
        <v>2835</v>
      </c>
      <c r="B45" s="2027">
        <v>2021</v>
      </c>
      <c r="C45" s="2038">
        <v>2</v>
      </c>
      <c r="D45" s="2003"/>
      <c r="E45" s="2003">
        <v>0.55000000000000004</v>
      </c>
      <c r="F45" s="2003">
        <v>0.46</v>
      </c>
      <c r="G45" s="2003">
        <v>1.1000000000000001</v>
      </c>
      <c r="H45" s="2910"/>
      <c r="I45" s="2004">
        <f t="shared" si="88"/>
        <v>0.46</v>
      </c>
      <c r="J45" s="2899"/>
      <c r="K45" s="2039"/>
      <c r="L45" s="2024">
        <f t="shared" si="89"/>
        <v>5.5000000000000005E-3</v>
      </c>
      <c r="M45" s="2024">
        <f t="shared" si="89"/>
        <v>4.5999999999999999E-3</v>
      </c>
      <c r="N45" s="2024">
        <f t="shared" si="89"/>
        <v>1.1000000000000001E-2</v>
      </c>
      <c r="O45" s="2024"/>
      <c r="P45" s="2024">
        <f t="shared" si="103"/>
        <v>4.5999999999999999E-3</v>
      </c>
      <c r="Q45" s="2899"/>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9"/>
      <c r="Y45" s="2024"/>
      <c r="Z45" s="2895">
        <f t="shared" si="105"/>
        <v>4.4999999999999997E-3</v>
      </c>
      <c r="AA45" s="2896">
        <f t="shared" si="105"/>
        <v>4.7000000000000002E-3</v>
      </c>
      <c r="AB45" s="2024">
        <f t="shared" si="105"/>
        <v>1.04E-2</v>
      </c>
      <c r="AC45" s="2897"/>
      <c r="AD45" s="2024">
        <f t="shared" si="105"/>
        <v>4.7000000000000002E-3</v>
      </c>
    </row>
    <row r="46" spans="1:30" s="2921" customFormat="1" thickBot="1">
      <c r="A46" s="2911" t="s">
        <v>2821</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4.25" thickTop="1"/>
    <row r="48" spans="1:30">
      <c r="A48" s="3136"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66" t="s">
        <v>452</v>
      </c>
      <c r="C1" s="3566"/>
      <c r="D1" s="3566"/>
      <c r="E1" s="3566"/>
      <c r="F1" s="3566"/>
      <c r="G1" s="3562" t="s">
        <v>453</v>
      </c>
      <c r="H1" s="3562"/>
      <c r="I1" s="3562"/>
      <c r="J1" s="3562"/>
      <c r="K1" s="3562"/>
      <c r="L1" s="3562"/>
      <c r="N1" s="3562" t="s">
        <v>454</v>
      </c>
      <c r="O1" s="3562"/>
      <c r="P1" s="3562"/>
      <c r="Q1" s="3562"/>
      <c r="S1" s="3562" t="s">
        <v>455</v>
      </c>
      <c r="T1" s="3562"/>
      <c r="U1" s="3562"/>
      <c r="V1" s="3562"/>
      <c r="X1" s="3561" t="s">
        <v>456</v>
      </c>
      <c r="Y1" s="3562"/>
      <c r="Z1" s="3562"/>
      <c r="AA1" s="3562"/>
      <c r="AB1" s="3562"/>
      <c r="AD1" s="3561" t="s">
        <v>457</v>
      </c>
      <c r="AE1" s="3562"/>
      <c r="AF1" s="3562"/>
      <c r="AG1" s="3562"/>
      <c r="AH1" s="3562"/>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2113</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3360</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3357</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2114</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3358</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3359</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2433</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2310</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2309</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2308</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2305</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2304</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2129</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2127</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2126</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2125</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2123</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2122</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2124</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64">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2120</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64"/>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2119</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64"/>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2112</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71"/>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2110</v>
      </c>
      <c r="B25" s="2045">
        <v>439</v>
      </c>
      <c r="C25" s="2045">
        <v>327</v>
      </c>
      <c r="D25" s="2045">
        <f>C25</f>
        <v>327</v>
      </c>
      <c r="E25" s="2045">
        <v>627</v>
      </c>
      <c r="F25" s="2046">
        <v>283</v>
      </c>
      <c r="G25" s="3567">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2111</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64"/>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64"/>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71"/>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67">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64"/>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64"/>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65"/>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63">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64"/>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64"/>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65"/>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63">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64"/>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64"/>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65"/>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68">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69"/>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69"/>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70"/>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63">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64"/>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64"/>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65"/>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63">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64">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64">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65">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63">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64">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64">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65">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63">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64">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64">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65">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63">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64">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64">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65">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63">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64">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64">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65">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63">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64">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64">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65">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63">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64">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64">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65">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63">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64">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64">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65">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63">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64">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64">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65">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63">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64">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64">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65">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45639</v>
      </c>
      <c r="D1" s="1214" t="s">
        <v>603</v>
      </c>
      <c r="E1" s="1209">
        <f>'数据-取费表'!B22</f>
        <v>2.5</v>
      </c>
      <c r="F1" s="1214" t="s">
        <v>604</v>
      </c>
      <c r="G1" s="1210">
        <f ca="1">INDIRECT("d"&amp;$K$1)/100</f>
        <v>3.1E-2</v>
      </c>
      <c r="H1" s="1214" t="s">
        <v>634</v>
      </c>
      <c r="I1" s="1210">
        <f ca="1">F4/100</f>
        <v>1.4999999999999999E-2</v>
      </c>
      <c r="J1" s="1215">
        <f>IF(C1&gt;C13,0,MATCH(C1,C$13:C$114,-1))+IF(SUMIF(C13:C114,C1,D13:D114)=0,13,12)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9"/>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2306</v>
      </c>
      <c r="C26" s="1204">
        <v>43697</v>
      </c>
      <c r="D26" s="2567">
        <v>4.25</v>
      </c>
      <c r="E26" s="2567">
        <v>4.25</v>
      </c>
      <c r="F26" s="2567">
        <v>4.25</v>
      </c>
      <c r="G26" s="2567">
        <v>4.25</v>
      </c>
      <c r="H26" s="2567">
        <v>4.8499999999999996</v>
      </c>
      <c r="I26" s="2567"/>
      <c r="J26" s="2567"/>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0"/>
      <c r="C27" s="2571">
        <v>42301</v>
      </c>
      <c r="D27" s="2572">
        <v>4.3499999999999996</v>
      </c>
      <c r="E27" s="2572">
        <v>4.3499999999999996</v>
      </c>
      <c r="F27" s="2572">
        <v>4.75</v>
      </c>
      <c r="G27" s="2572">
        <v>4.75</v>
      </c>
      <c r="H27" s="2572">
        <v>4.9000000000000004</v>
      </c>
      <c r="I27" s="2572"/>
      <c r="J27" s="257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9" customWidth="1"/>
    <col min="2" max="9" width="12.125" style="639" customWidth="1"/>
    <col min="10" max="16384" width="9" style="639"/>
  </cols>
  <sheetData>
    <row r="1" spans="1:9" ht="18.75" thickBot="1">
      <c r="A1" s="3234" t="str">
        <f>IF(项目基本情况!B9="房地产市场价值","估价结果一览表","结果表-2")</f>
        <v>结果表-2</v>
      </c>
      <c r="B1" s="3234"/>
      <c r="C1" s="3234"/>
      <c r="D1" s="3234"/>
      <c r="E1" s="3234"/>
      <c r="F1" s="3234"/>
      <c r="G1" s="3234"/>
      <c r="H1" s="3234"/>
      <c r="I1" s="3234"/>
    </row>
    <row r="2" spans="1:9" ht="30" customHeight="1" thickTop="1">
      <c r="A2" s="3235" t="s">
        <v>928</v>
      </c>
      <c r="B2" s="3235" t="s">
        <v>929</v>
      </c>
      <c r="C2" s="3235" t="s">
        <v>930</v>
      </c>
      <c r="D2" s="3235" t="str">
        <f>结果表!D116</f>
        <v>出让国有建设用地使用权价值</v>
      </c>
      <c r="E2" s="3235"/>
      <c r="F2" s="3235" t="str">
        <f>结果表!F116</f>
        <v>在建建筑物价值</v>
      </c>
      <c r="G2" s="3235"/>
      <c r="H2" s="3235" t="str">
        <f>IF(项目基本情况!B9="房地产市场价值","房地产市场价值","房地产价值")</f>
        <v>房地产价值</v>
      </c>
      <c r="I2" s="3235"/>
    </row>
    <row r="3" spans="1:9" ht="15">
      <c r="A3" s="3230"/>
      <c r="B3" s="3230"/>
      <c r="C3" s="3230"/>
      <c r="D3" s="798" t="s">
        <v>925</v>
      </c>
      <c r="E3" s="798" t="s">
        <v>931</v>
      </c>
      <c r="F3" s="798" t="s">
        <v>925</v>
      </c>
      <c r="G3" s="798" t="s">
        <v>926</v>
      </c>
      <c r="H3" s="798" t="s">
        <v>925</v>
      </c>
      <c r="I3" s="798" t="s">
        <v>926</v>
      </c>
    </row>
    <row r="4" spans="1:9" ht="75">
      <c r="A4" s="1400" t="str">
        <f>项目基本情况!S2</f>
        <v>北京市顺义区顺义新城第1街区01-01-09地块R2二类居住用地、01-01-04地块A334托幼用地出让国有建设用地使用权及在建建筑物房地产</v>
      </c>
      <c r="B4" s="798">
        <f>项目基本情况!C17</f>
        <v>106355.86000000013</v>
      </c>
      <c r="C4" s="798">
        <f>项目基本情况!C18</f>
        <v>39582.79</v>
      </c>
      <c r="D4" s="798">
        <f ca="1">结果表!D118</f>
        <v>207381</v>
      </c>
      <c r="E4" s="798">
        <f ca="1">结果表!E118</f>
        <v>19499</v>
      </c>
      <c r="F4" s="798">
        <f ca="1">结果表!F118</f>
        <v>52495</v>
      </c>
      <c r="G4" s="798">
        <f ca="1">结果表!G118</f>
        <v>4936</v>
      </c>
      <c r="H4" s="798">
        <f ca="1">结果表!H118</f>
        <v>259876</v>
      </c>
      <c r="I4" s="798">
        <f ca="1">结果表!I118</f>
        <v>24435</v>
      </c>
    </row>
    <row r="5" spans="1:9" ht="30" customHeight="1">
      <c r="A5" s="3230" t="s">
        <v>927</v>
      </c>
      <c r="B5" s="3230"/>
      <c r="C5" s="3230"/>
      <c r="D5" s="3230" t="str">
        <f ca="1">结果表!D119</f>
        <v>贰拾亿柒仟叁佰捌拾壹万元整</v>
      </c>
      <c r="E5" s="3230"/>
      <c r="F5" s="3230" t="str">
        <f ca="1">结果表!F119</f>
        <v>伍亿贰仟肆佰玖拾伍万元整</v>
      </c>
      <c r="G5" s="3230"/>
      <c r="H5" s="3230" t="str">
        <f ca="1">结果表!H119</f>
        <v>贰拾伍亿玖仟捌佰柒拾陆万元整</v>
      </c>
      <c r="I5" s="3230"/>
    </row>
    <row r="6" spans="1:9" ht="15.75">
      <c r="A6" s="3229" t="str">
        <f>结果表!A120</f>
        <v>估价师知悉的法定优先受偿款</v>
      </c>
      <c r="B6" s="3229"/>
      <c r="C6" s="3229"/>
      <c r="D6" s="3229">
        <f>结果表!D120</f>
        <v>0</v>
      </c>
      <c r="E6" s="3229"/>
      <c r="F6" s="3229"/>
      <c r="G6" s="3229"/>
      <c r="H6" s="3229"/>
      <c r="I6" s="3229"/>
    </row>
    <row r="7" spans="1:9" ht="15">
      <c r="A7" s="3230" t="s">
        <v>927</v>
      </c>
      <c r="B7" s="3230"/>
      <c r="C7" s="3230"/>
      <c r="D7" s="3231" t="str">
        <f>结果表!D121</f>
        <v>零元整</v>
      </c>
      <c r="E7" s="3232"/>
      <c r="F7" s="3232"/>
      <c r="G7" s="3232"/>
      <c r="H7" s="3232"/>
      <c r="I7" s="3233"/>
    </row>
    <row r="8" spans="1:9" ht="15.75">
      <c r="A8" s="3229" t="str">
        <f>结果表!A122</f>
        <v>房地产抵押价值</v>
      </c>
      <c r="B8" s="3229"/>
      <c r="C8" s="3229"/>
      <c r="D8" s="3229">
        <f ca="1">结果表!D122</f>
        <v>259876</v>
      </c>
      <c r="E8" s="3229"/>
      <c r="F8" s="3229"/>
      <c r="G8" s="3229"/>
      <c r="H8" s="3229"/>
      <c r="I8" s="3229"/>
    </row>
    <row r="9" spans="1:9" ht="15">
      <c r="A9" s="3230" t="s">
        <v>927</v>
      </c>
      <c r="B9" s="3230"/>
      <c r="C9" s="3230"/>
      <c r="D9" s="3230" t="str">
        <f ca="1">结果表!D123</f>
        <v>贰拾伍亿玖仟捌佰柒拾陆万元整</v>
      </c>
      <c r="E9" s="3230"/>
      <c r="F9" s="3230"/>
      <c r="G9" s="3230"/>
      <c r="H9" s="3230"/>
      <c r="I9" s="3230"/>
    </row>
    <row r="10" spans="1:9" ht="15.75">
      <c r="A10" s="3229" t="str">
        <f>结果表!A124</f>
        <v/>
      </c>
      <c r="B10" s="3229"/>
      <c r="C10" s="3229"/>
      <c r="D10" s="3229" t="str">
        <f>结果表!D124</f>
        <v>——</v>
      </c>
      <c r="E10" s="3229"/>
      <c r="F10" s="3229"/>
      <c r="G10" s="3229"/>
      <c r="H10" s="3229"/>
      <c r="I10" s="3229"/>
    </row>
    <row r="11" spans="1:9" ht="15">
      <c r="A11" s="3230" t="s">
        <v>927</v>
      </c>
      <c r="B11" s="3230"/>
      <c r="C11" s="3230"/>
      <c r="D11" s="3230" t="e">
        <f>结果表!D125</f>
        <v>#VALUE!</v>
      </c>
      <c r="E11" s="3230"/>
      <c r="F11" s="3230"/>
      <c r="G11" s="3230"/>
      <c r="H11" s="3230"/>
      <c r="I11" s="3230"/>
    </row>
    <row r="12" spans="1:9" ht="15.75">
      <c r="A12" s="3229" t="str">
        <f>结果表!A126</f>
        <v/>
      </c>
      <c r="B12" s="3229"/>
      <c r="C12" s="3229"/>
      <c r="D12" s="3229" t="str">
        <f>结果表!D126</f>
        <v>——</v>
      </c>
      <c r="E12" s="3229"/>
      <c r="F12" s="3229"/>
      <c r="G12" s="3229"/>
      <c r="H12" s="3229"/>
      <c r="I12" s="3229"/>
    </row>
    <row r="13" spans="1:9" ht="15.75" thickBot="1">
      <c r="A13" s="3227" t="s">
        <v>927</v>
      </c>
      <c r="B13" s="3227"/>
      <c r="C13" s="3227"/>
      <c r="D13" s="3227" t="e">
        <f>结果表!D127</f>
        <v>#VALUE!</v>
      </c>
      <c r="E13" s="3227"/>
      <c r="F13" s="3227"/>
      <c r="G13" s="3227"/>
      <c r="H13" s="3227"/>
      <c r="I13" s="3227"/>
    </row>
    <row r="14" spans="1:9" ht="15" thickTop="1">
      <c r="A14" s="3228" t="s">
        <v>932</v>
      </c>
      <c r="B14" s="3228"/>
      <c r="C14" s="3228"/>
      <c r="D14" s="3228"/>
      <c r="E14" s="3228"/>
      <c r="F14" s="3228"/>
      <c r="G14" s="3228"/>
      <c r="H14" s="3228"/>
      <c r="I14" s="3228"/>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9" customWidth="1"/>
    <col min="2" max="3" width="22.375" style="639" customWidth="1"/>
    <col min="4" max="4" width="23" style="639" customWidth="1"/>
    <col min="5" max="16384" width="9" style="639"/>
  </cols>
  <sheetData>
    <row r="1" spans="1:4" ht="18.75">
      <c r="A1" s="3242" t="s">
        <v>949</v>
      </c>
      <c r="B1" s="3242"/>
      <c r="C1" s="3242"/>
      <c r="D1" s="3242"/>
    </row>
    <row r="2" spans="1:4" ht="18">
      <c r="A2" s="3243" t="s">
        <v>933</v>
      </c>
      <c r="B2" s="3243"/>
      <c r="C2" s="3243"/>
      <c r="D2" s="3243"/>
    </row>
    <row r="3" spans="1:4" ht="18.75">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f>项目基本情况!D4</f>
        <v>0</v>
      </c>
      <c r="B5" s="1406">
        <f>项目基本情况!E4</f>
        <v>0</v>
      </c>
      <c r="C5" s="1409"/>
      <c r="D5" s="1408" t="s">
        <v>938</v>
      </c>
    </row>
    <row r="6" spans="1:4" ht="18">
      <c r="A6" s="3243" t="s">
        <v>939</v>
      </c>
      <c r="B6" s="3243"/>
      <c r="C6" s="3243"/>
      <c r="D6" s="3243"/>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44" t="s">
        <v>942</v>
      </c>
      <c r="B11" s="3236"/>
      <c r="C11" s="3236"/>
      <c r="D11" s="3236"/>
    </row>
    <row r="12" spans="1:4" ht="15.75">
      <c r="A12" s="3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1"/>
      <c r="C12" s="3241"/>
      <c r="D12" s="3241"/>
    </row>
    <row r="13" spans="1:4" ht="30" customHeight="1">
      <c r="A13" s="3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1"/>
      <c r="C13" s="3241"/>
      <c r="D13" s="3241"/>
    </row>
    <row r="14" spans="1:4" ht="15.75" customHeight="1">
      <c r="A14" s="3236" t="str">
        <f>IF(项目基本情况!B8="抵押","4.本次评估估价师所知悉的法定优先受偿款情况说明如下：","——")</f>
        <v>4.本次评估估价师所知悉的法定优先受偿款情况说明如下：</v>
      </c>
      <c r="B14" s="3241"/>
      <c r="C14" s="3241"/>
      <c r="D14" s="3241"/>
    </row>
    <row r="15" spans="1:4" ht="42" customHeight="1">
      <c r="A15" s="3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6"/>
      <c r="C15" s="3236"/>
      <c r="D15" s="3236"/>
    </row>
    <row r="16" spans="1:4" ht="30" customHeight="1">
      <c r="A16" s="3238" t="s">
        <v>943</v>
      </c>
      <c r="B16" s="3238"/>
      <c r="C16" s="3238"/>
      <c r="D16" s="3238"/>
    </row>
    <row r="17" spans="1:4" ht="144" customHeight="1">
      <c r="A17" s="3238" t="s">
        <v>944</v>
      </c>
      <c r="B17" s="3238"/>
      <c r="C17" s="3238"/>
      <c r="D17" s="3238"/>
    </row>
    <row r="18" spans="1:4" ht="15.75" customHeight="1">
      <c r="A18" s="3236" t="str">
        <f>IF(项目基本情况!B8="抵押",结果表!K120,"——")</f>
        <v>故，本次评估不存在估价师知悉的法定优先受偿款</v>
      </c>
      <c r="B18" s="3236"/>
      <c r="C18" s="3236"/>
      <c r="D18" s="3236"/>
    </row>
    <row r="19" spans="1:4" ht="46.5" customHeight="1">
      <c r="A19" s="3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57.75" customHeight="1">
      <c r="A20" s="3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6"/>
      <c r="C20" s="3236"/>
      <c r="D20" s="3236"/>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9"/>
      <c r="C21" s="3239"/>
      <c r="D21" s="3239"/>
    </row>
    <row r="22" spans="1:4" ht="18.75" customHeight="1">
      <c r="A22" s="3240" t="s">
        <v>945</v>
      </c>
      <c r="B22" s="3240"/>
      <c r="C22" s="3240"/>
      <c r="D22" s="3240"/>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37">
        <v>42551</v>
      </c>
      <c r="D31" s="323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50" t="s">
        <v>956</v>
      </c>
      <c r="B15" s="3245" t="s">
        <v>109</v>
      </c>
      <c r="C15" s="3246"/>
    </row>
    <row r="16" spans="1:7" ht="13.5">
      <c r="A16" s="3251"/>
      <c r="B16" s="3245" t="s">
        <v>42</v>
      </c>
      <c r="C16" s="3246"/>
    </row>
    <row r="17" spans="1:3" ht="13.5">
      <c r="A17" s="3251"/>
      <c r="B17" s="3248" t="s">
        <v>957</v>
      </c>
      <c r="C17" s="1426" t="s">
        <v>956</v>
      </c>
    </row>
    <row r="18" spans="1:3" ht="13.5">
      <c r="A18" s="3251"/>
      <c r="B18" s="3248"/>
      <c r="C18" s="1426" t="s">
        <v>958</v>
      </c>
    </row>
    <row r="19" spans="1:3" ht="13.5">
      <c r="A19" s="3251"/>
      <c r="B19" s="3248"/>
      <c r="C19" s="1426" t="s">
        <v>959</v>
      </c>
    </row>
    <row r="20" spans="1:3" ht="13.5">
      <c r="A20" s="3252"/>
      <c r="B20" s="3247" t="s">
        <v>960</v>
      </c>
      <c r="C20" s="3246"/>
    </row>
    <row r="21" spans="1:3" ht="13.5">
      <c r="A21" s="1427" t="s">
        <v>961</v>
      </c>
      <c r="B21" s="1428"/>
      <c r="C21" s="1429"/>
    </row>
    <row r="22" spans="1:3" ht="13.5">
      <c r="A22" s="3249" t="s">
        <v>962</v>
      </c>
      <c r="B22" s="3247" t="s">
        <v>963</v>
      </c>
      <c r="C22" s="3246"/>
    </row>
    <row r="23" spans="1:3" ht="13.5">
      <c r="A23" s="3249"/>
      <c r="B23" s="3247" t="s">
        <v>964</v>
      </c>
      <c r="C23" s="3246"/>
    </row>
    <row r="24" spans="1:3" ht="13.5">
      <c r="A24" s="3249"/>
      <c r="B24" s="3247" t="s">
        <v>965</v>
      </c>
      <c r="C24" s="3246"/>
    </row>
    <row r="25" spans="1:3" ht="13.5">
      <c r="A25" s="3249"/>
      <c r="B25" s="3248" t="s">
        <v>966</v>
      </c>
      <c r="C25" s="1426" t="s">
        <v>967</v>
      </c>
    </row>
    <row r="26" spans="1:3" ht="13.5">
      <c r="A26" s="3249"/>
      <c r="B26" s="3248"/>
      <c r="C26" s="1426" t="s">
        <v>968</v>
      </c>
    </row>
    <row r="27" spans="1:3" ht="13.5">
      <c r="A27" s="3249"/>
      <c r="B27" s="3248"/>
      <c r="C27" s="1426" t="s">
        <v>969</v>
      </c>
    </row>
    <row r="28" spans="1:3" ht="13.5">
      <c r="A28" s="3249"/>
      <c r="B28" s="3248"/>
      <c r="C28" s="1426" t="s">
        <v>970</v>
      </c>
    </row>
    <row r="29" spans="1:3" ht="13.5">
      <c r="A29" s="3249"/>
      <c r="B29" s="3248"/>
      <c r="C29" s="1426" t="s">
        <v>971</v>
      </c>
    </row>
    <row r="30" spans="1:3" ht="13.5">
      <c r="A30" s="3249"/>
      <c r="B30" s="3248"/>
      <c r="C30" s="1426" t="s">
        <v>972</v>
      </c>
    </row>
    <row r="31" spans="1:3" ht="13.5">
      <c r="A31" s="3249"/>
      <c r="B31" s="3248"/>
      <c r="C31" s="1426" t="s">
        <v>973</v>
      </c>
    </row>
    <row r="32" spans="1:3" ht="13.5">
      <c r="A32" s="3249"/>
      <c r="B32" s="3248"/>
      <c r="C32" s="1426" t="s">
        <v>974</v>
      </c>
    </row>
    <row r="33" spans="1:3" ht="13.5">
      <c r="A33" s="3249"/>
      <c r="B33" s="3248"/>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2138</v>
      </c>
      <c r="B2" s="2153">
        <f ca="1">TODAY()</f>
        <v>45644</v>
      </c>
      <c r="C2" s="2154" t="s">
        <v>2139</v>
      </c>
      <c r="D2" s="2154"/>
      <c r="E2" s="2154"/>
      <c r="F2" s="2150"/>
      <c r="G2" s="2150"/>
      <c r="H2" s="2150"/>
    </row>
    <row r="3" spans="1:8" ht="24" customHeight="1">
      <c r="A3" s="2155" t="s">
        <v>2140</v>
      </c>
      <c r="B3" s="1216" t="s">
        <v>2141</v>
      </c>
      <c r="C3" s="1216" t="s">
        <v>2142</v>
      </c>
      <c r="D3" s="2156" t="s">
        <v>2143</v>
      </c>
      <c r="E3" s="2157" t="s">
        <v>2144</v>
      </c>
      <c r="F3" s="1216" t="s">
        <v>2145</v>
      </c>
      <c r="G3" s="1216" t="s">
        <v>2142</v>
      </c>
      <c r="H3" s="2156" t="s">
        <v>2146</v>
      </c>
    </row>
    <row r="4" spans="1:8" ht="24" customHeight="1">
      <c r="A4" s="1216" t="s">
        <v>2147</v>
      </c>
      <c r="B4" s="1216">
        <f ca="1">IF(C4&lt;B2,"已过期",1119970066)</f>
        <v>1119970066</v>
      </c>
      <c r="C4" s="2158">
        <v>45937</v>
      </c>
      <c r="D4" s="2159" t="str">
        <f ca="1">A4&amp;"（注册号："&amp;B4&amp;"）"</f>
        <v>梁津（注册号：1119970066）</v>
      </c>
      <c r="E4" s="2160" t="s">
        <v>2147</v>
      </c>
      <c r="F4" s="1216">
        <f ca="1">IF(G4&lt;B2,"已过期",96010014)</f>
        <v>96010014</v>
      </c>
      <c r="G4" s="2161">
        <v>47118</v>
      </c>
      <c r="H4" s="2162" t="str">
        <f ca="1">E4&amp;"（注册号："&amp;F4&amp;"）"</f>
        <v>梁津（注册号：96010014）</v>
      </c>
    </row>
    <row r="5" spans="1:8" ht="24" customHeight="1">
      <c r="A5" s="1216" t="s">
        <v>2148</v>
      </c>
      <c r="B5" s="1216">
        <f ca="1">IF(C5&lt;B2,"已过期",1119970111)</f>
        <v>1119970111</v>
      </c>
      <c r="C5" s="2158">
        <v>45937</v>
      </c>
      <c r="D5" s="2159" t="str">
        <f t="shared" ref="D5:D15" ca="1" si="0">A5&amp;"（注册号："&amp;B5&amp;"）"</f>
        <v>叶凌（注册号：1119970111）</v>
      </c>
      <c r="E5" s="2160" t="s">
        <v>2148</v>
      </c>
      <c r="F5" s="1216">
        <f ca="1">IF(G5&lt;B2,"已过期",94010078)</f>
        <v>94010078</v>
      </c>
      <c r="G5" s="2161">
        <v>46387</v>
      </c>
      <c r="H5" s="2162" t="str">
        <f t="shared" ref="H5:H16" ca="1" si="1">E5&amp;"（注册号："&amp;F5&amp;"）"</f>
        <v>叶凌（注册号：94010078）</v>
      </c>
    </row>
    <row r="6" spans="1:8" ht="24" customHeight="1">
      <c r="A6" s="1216" t="s">
        <v>2149</v>
      </c>
      <c r="B6" s="1216" t="str">
        <f ca="1">IF(C6&lt;B2,"已过期",1120050019)</f>
        <v>已过期</v>
      </c>
      <c r="C6" s="2158">
        <v>45410</v>
      </c>
      <c r="D6" s="2159" t="str">
        <f t="shared" ca="1" si="0"/>
        <v>王鹏（注册号：已过期）</v>
      </c>
      <c r="E6" s="2160" t="s">
        <v>2149</v>
      </c>
      <c r="F6" s="1216">
        <f ca="1">IF(G6&lt;B2,"已过期",2002110030)</f>
        <v>2002110030</v>
      </c>
      <c r="G6" s="2161">
        <v>46387</v>
      </c>
      <c r="H6" s="2162" t="str">
        <f t="shared" ca="1" si="1"/>
        <v>王鹏（注册号：2002110030）</v>
      </c>
    </row>
    <row r="7" spans="1:8" ht="24" customHeight="1">
      <c r="A7" s="1216" t="s">
        <v>2150</v>
      </c>
      <c r="B7" s="1216">
        <f ca="1">IF(C7&lt;B2,"已过期",1120000080)</f>
        <v>1120000080</v>
      </c>
      <c r="C7" s="2158">
        <v>45937</v>
      </c>
      <c r="D7" s="2159" t="str">
        <f t="shared" ca="1" si="0"/>
        <v>欧红伟（注册号：1120000080）</v>
      </c>
      <c r="E7" s="2160" t="s">
        <v>2150</v>
      </c>
      <c r="F7" s="1216">
        <f ca="1">IF(G7&lt;B2,"已过期",2000110082)</f>
        <v>2000110082</v>
      </c>
      <c r="G7" s="2161">
        <v>46387</v>
      </c>
      <c r="H7" s="2162" t="str">
        <f t="shared" ca="1" si="1"/>
        <v>欧红伟（注册号：2000110082）</v>
      </c>
    </row>
    <row r="8" spans="1:8" ht="24" customHeight="1">
      <c r="A8" s="1216" t="s">
        <v>2151</v>
      </c>
      <c r="B8" s="1216">
        <f ca="1">IF(C8&lt;B2,"已过期",1419970001)</f>
        <v>1419970001</v>
      </c>
      <c r="C8" s="2158">
        <v>45937</v>
      </c>
      <c r="D8" s="2159" t="str">
        <f t="shared" ca="1" si="0"/>
        <v>吴薇（注册号：1419970001）</v>
      </c>
      <c r="E8" s="2160" t="s">
        <v>2151</v>
      </c>
      <c r="F8" s="1216">
        <f ca="1">IF(G8&lt;B2,"已过期",2002110125)</f>
        <v>2002110125</v>
      </c>
      <c r="G8" s="2161">
        <v>47118</v>
      </c>
      <c r="H8" s="2162" t="str">
        <f t="shared" ca="1" si="1"/>
        <v>吴薇（注册号：2002110125）</v>
      </c>
    </row>
    <row r="9" spans="1:8" ht="24" customHeight="1">
      <c r="A9" s="1216" t="s">
        <v>2152</v>
      </c>
      <c r="B9" s="1216" t="str">
        <f ca="1">IF(C9&lt;B2,"已过期",1120060040)</f>
        <v>已过期</v>
      </c>
      <c r="C9" s="2163">
        <v>45592</v>
      </c>
      <c r="D9" s="2159" t="str">
        <f t="shared" ca="1" si="0"/>
        <v>陈颖（注册号：已过期）</v>
      </c>
      <c r="E9" s="2160" t="s">
        <v>2152</v>
      </c>
      <c r="F9" s="1216">
        <f ca="1">IF(G9&lt;B2,"已过期",2004110096)</f>
        <v>2004110096</v>
      </c>
      <c r="G9" s="2161">
        <v>47118</v>
      </c>
      <c r="H9" s="2162" t="str">
        <f t="shared" ca="1" si="1"/>
        <v>陈颖（注册号：2004110096）</v>
      </c>
    </row>
    <row r="10" spans="1:8" ht="24" customHeight="1">
      <c r="A10" s="1216" t="s">
        <v>2153</v>
      </c>
      <c r="B10" s="1216">
        <f ca="1">IF(C10&lt;B2,"已过期",1120100036)</f>
        <v>1120100036</v>
      </c>
      <c r="C10" s="2163">
        <v>45752</v>
      </c>
      <c r="D10" s="2159" t="str">
        <f t="shared" ca="1" si="0"/>
        <v>崔锴（注册号：1120100036）</v>
      </c>
      <c r="E10" s="2160" t="s">
        <v>2153</v>
      </c>
      <c r="F10" s="1216">
        <f ca="1">IF(G10&lt;B2,"已过期",2010110070)</f>
        <v>2010110070</v>
      </c>
      <c r="G10" s="2161">
        <v>47907</v>
      </c>
      <c r="H10" s="2162" t="str">
        <f t="shared" ca="1" si="1"/>
        <v>崔锴（注册号：2010110070）</v>
      </c>
    </row>
    <row r="11" spans="1:8" ht="24" customHeight="1">
      <c r="A11" s="1216" t="s">
        <v>2154</v>
      </c>
      <c r="B11" s="1216">
        <f ca="1">IF(C11&lt;B2,"已过期",1120070131)</f>
        <v>1120070131</v>
      </c>
      <c r="C11" s="2158">
        <v>45937</v>
      </c>
      <c r="D11" s="2159" t="str">
        <f t="shared" ca="1" si="0"/>
        <v>郑燚（注册号：1120070131）</v>
      </c>
      <c r="E11" s="2160" t="s">
        <v>2154</v>
      </c>
      <c r="F11" s="1216">
        <f ca="1">IF(G11&lt;B2,"已过期",2014110011)</f>
        <v>2014110011</v>
      </c>
      <c r="G11" s="2161">
        <v>49302</v>
      </c>
      <c r="H11" s="2162" t="str">
        <f t="shared" ca="1" si="1"/>
        <v>郑燚（注册号：2014110011）</v>
      </c>
    </row>
    <row r="12" spans="1:8" ht="24" customHeight="1">
      <c r="A12" s="1216" t="s">
        <v>2155</v>
      </c>
      <c r="B12" s="1216">
        <f ca="1">IF(C12&lt;B2,"已过期",1120040230)</f>
        <v>1120040230</v>
      </c>
      <c r="C12" s="2163">
        <v>45937</v>
      </c>
      <c r="D12" s="2159" t="str">
        <f t="shared" ca="1" si="0"/>
        <v>苏海（注册号：1120040230）</v>
      </c>
      <c r="E12" s="2160" t="s">
        <v>2155</v>
      </c>
      <c r="F12" s="1216">
        <f ca="1">IF(G12&lt;B2,"已过期",98030020)</f>
        <v>98030020</v>
      </c>
      <c r="G12" s="2161">
        <v>47118</v>
      </c>
      <c r="H12" s="2162" t="str">
        <f t="shared" ca="1" si="1"/>
        <v>苏海（注册号：98030020）</v>
      </c>
    </row>
    <row r="13" spans="1:8" ht="24" customHeight="1">
      <c r="A13" s="1216" t="s">
        <v>2156</v>
      </c>
      <c r="B13" s="1216" t="str">
        <f ca="1">IF(C13&lt;B2,"已过期",1120020033)</f>
        <v>已过期</v>
      </c>
      <c r="C13" s="2158">
        <v>45375</v>
      </c>
      <c r="D13" s="2159" t="str">
        <f t="shared" ca="1" si="0"/>
        <v>刘敬东（注册号：已过期）</v>
      </c>
      <c r="E13" s="2160" t="s">
        <v>2156</v>
      </c>
      <c r="F13" s="1216">
        <f ca="1">IF(G13&lt;B2,"已过期",2000110137)</f>
        <v>2000110137</v>
      </c>
      <c r="G13" s="2161">
        <v>46387</v>
      </c>
      <c r="H13" s="2162" t="str">
        <f t="shared" ca="1" si="1"/>
        <v>刘敬东（注册号：2000110137）</v>
      </c>
    </row>
    <row r="14" spans="1:8" ht="24" customHeight="1">
      <c r="A14" s="1216" t="s">
        <v>2157</v>
      </c>
      <c r="B14" s="1216" t="str">
        <f ca="1">IF(C14&lt;B2,"已过期",1119980106)</f>
        <v>已过期</v>
      </c>
      <c r="C14" s="2163">
        <v>44969</v>
      </c>
      <c r="D14" s="2159" t="str">
        <f t="shared" ca="1" si="0"/>
        <v>刘俊财（注册号：已过期）</v>
      </c>
      <c r="E14" s="2160" t="s">
        <v>2157</v>
      </c>
      <c r="F14" s="1216">
        <f ca="1">IF(G14&lt;B2,"已过期",96010063)</f>
        <v>96010063</v>
      </c>
      <c r="G14" s="2161">
        <v>47483</v>
      </c>
      <c r="H14" s="2162" t="str">
        <f t="shared" ca="1" si="1"/>
        <v>刘俊财（注册号：96010063）</v>
      </c>
    </row>
    <row r="15" spans="1:8" ht="24" customHeight="1">
      <c r="A15" s="1216" t="s">
        <v>2434</v>
      </c>
      <c r="B15" s="1216">
        <v>1120210056</v>
      </c>
      <c r="C15" s="2163">
        <v>45410</v>
      </c>
      <c r="D15" s="2159" t="str">
        <f t="shared" si="0"/>
        <v>宁小鳗（注册号：1120210056）</v>
      </c>
      <c r="E15" s="2160" t="s">
        <v>2158</v>
      </c>
      <c r="F15" s="1216">
        <f ca="1">IF(G15&lt;B2,"已过期",2011110090)</f>
        <v>2011110090</v>
      </c>
      <c r="G15" s="2161">
        <v>48302</v>
      </c>
      <c r="H15" s="2162" t="str">
        <f t="shared" ca="1" si="1"/>
        <v>赵雯（注册号：2011110090）</v>
      </c>
    </row>
    <row r="16" spans="1:8" ht="24" customHeight="1">
      <c r="A16" s="1216"/>
      <c r="B16" s="1216"/>
      <c r="C16" s="1216"/>
      <c r="D16" s="2159" t="str">
        <f>A16&amp;"（注册号："&amp;B16&amp;"）"</f>
        <v>（注册号：）</v>
      </c>
      <c r="E16" s="2160"/>
      <c r="F16" s="1216"/>
      <c r="G16" s="1216"/>
      <c r="H16" s="2164" t="str">
        <f t="shared" si="1"/>
        <v>（注册号：）</v>
      </c>
    </row>
    <row r="17" spans="1:8" ht="24" customHeight="1">
      <c r="A17" s="3253" t="s">
        <v>2159</v>
      </c>
      <c r="B17" s="3253"/>
      <c r="C17" s="3253"/>
      <c r="D17" s="3253"/>
      <c r="E17" s="3253"/>
      <c r="F17" s="3253"/>
      <c r="G17" s="3253"/>
      <c r="H17" s="3253"/>
    </row>
    <row r="18" spans="1:8" ht="24" customHeight="1">
      <c r="A18" s="3254" t="s">
        <v>2160</v>
      </c>
      <c r="B18" s="3254"/>
      <c r="C18" s="3254"/>
      <c r="D18" s="2156"/>
      <c r="E18" s="3255" t="s">
        <v>2161</v>
      </c>
      <c r="F18" s="3254"/>
      <c r="G18" s="3254"/>
    </row>
    <row r="19" spans="1:8" s="2166" customFormat="1" ht="24" customHeight="1">
      <c r="A19" s="2165" t="s">
        <v>2162</v>
      </c>
      <c r="B19" s="1216" t="s">
        <v>2163</v>
      </c>
      <c r="C19" s="1216" t="s">
        <v>2142</v>
      </c>
      <c r="D19" s="2156"/>
      <c r="E19" s="2160" t="s">
        <v>2162</v>
      </c>
      <c r="F19" s="1216" t="s">
        <v>2163</v>
      </c>
      <c r="G19" s="1216" t="s">
        <v>2142</v>
      </c>
    </row>
    <row r="20" spans="1:8" s="2166" customFormat="1" ht="24" customHeight="1">
      <c r="A20" s="2167" t="s">
        <v>2164</v>
      </c>
      <c r="B20" s="2167" t="s">
        <v>2165</v>
      </c>
      <c r="C20" s="2161">
        <v>45898</v>
      </c>
      <c r="D20" s="2168"/>
      <c r="E20" s="2169" t="s">
        <v>2166</v>
      </c>
      <c r="F20" s="2172" t="s">
        <v>2435</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预测绘</vt:lpstr>
      <vt:lpstr>面积</vt:lpstr>
      <vt:lpstr>数据-基础表</vt:lpstr>
      <vt:lpstr>数据-汇总表</vt:lpstr>
      <vt:lpstr>数据-取费表</vt:lpstr>
      <vt:lpstr>估价对象房地状况</vt:lpstr>
      <vt:lpstr>系统读取表</vt:lpstr>
      <vt:lpstr>结果表</vt:lpstr>
      <vt:lpstr>土地比较法-住宅、综合</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2024-12-18T09:25:49Z</dcterms:modified>
</cp:coreProperties>
</file>