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Sheet1"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收益法" sheetId="15" state="hidden" r:id="rId23"/>
    <sheet name="收益法 (元)" sheetId="67" state="hidden" r:id="rId24"/>
    <sheet name="收益法-酒店模型" sheetId="77"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2019年" sheetId="81" r:id="rId33"/>
    <sheet name="2021年" sheetId="82" r:id="rId34"/>
    <sheet name="本宗" sheetId="83"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4" hidden="1">本宗!$A$1:$L$301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3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14" i="74" l="1"/>
  <c r="B29" i="1" l="1"/>
  <c r="I36" i="33"/>
  <c r="E104" i="33"/>
  <c r="F104" i="33"/>
  <c r="G104" i="33" s="1"/>
  <c r="D104" i="33"/>
  <c r="G36" i="33"/>
  <c r="E66" i="33"/>
  <c r="F66" i="33"/>
  <c r="D66" i="33"/>
  <c r="E36" i="33"/>
  <c r="C36" i="33"/>
  <c r="I33" i="33"/>
  <c r="E33" i="33"/>
  <c r="G33" i="33"/>
  <c r="C33" i="33"/>
  <c r="I7" i="33"/>
  <c r="I47" i="33"/>
  <c r="AC58" i="33" l="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P58" i="33"/>
  <c r="Q58" i="33" s="1"/>
  <c r="R58" i="33" s="1"/>
  <c r="S58" i="33" s="1"/>
  <c r="T58" i="33" s="1"/>
  <c r="U58" i="33" s="1"/>
  <c r="V58" i="33" s="1"/>
  <c r="W58" i="33" s="1"/>
  <c r="X58" i="33" s="1"/>
  <c r="Y58" i="33" s="1"/>
  <c r="Z58" i="33" s="1"/>
  <c r="AA58" i="33" s="1"/>
  <c r="AB58" i="33" s="1"/>
  <c r="G7" i="33"/>
  <c r="E47" i="33"/>
  <c r="F32" i="82"/>
  <c r="G32" i="82"/>
  <c r="H32" i="82"/>
  <c r="K3" i="81"/>
  <c r="K4" i="81"/>
  <c r="K5" i="81"/>
  <c r="K6" i="81"/>
  <c r="K7" i="81" l="1"/>
  <c r="L4" i="81" s="1"/>
  <c r="L5" i="81" l="1"/>
  <c r="L6" i="81"/>
  <c r="L3" i="81"/>
  <c r="B4" i="77" l="1"/>
  <c r="C6" i="68"/>
  <c r="B35" i="1" l="1"/>
  <c r="B21" i="1"/>
  <c r="Y6" i="1"/>
  <c r="N6" i="1"/>
  <c r="N19" i="1"/>
  <c r="AL24" i="3"/>
  <c r="AL25" i="3"/>
  <c r="AL26" i="3"/>
  <c r="AL23" i="3"/>
  <c r="I14" i="3"/>
  <c r="I15" i="3"/>
  <c r="I17" i="3"/>
  <c r="I18" i="3"/>
  <c r="I19" i="3"/>
  <c r="I20" i="3"/>
  <c r="I21" i="3"/>
  <c r="I22" i="3"/>
  <c r="I13" i="3"/>
  <c r="C14" i="3"/>
  <c r="C15" i="3"/>
  <c r="C16" i="3"/>
  <c r="C17" i="3"/>
  <c r="C18" i="3"/>
  <c r="C19" i="3"/>
  <c r="C20" i="3"/>
  <c r="C21" i="3"/>
  <c r="C22" i="3"/>
  <c r="C23" i="3"/>
  <c r="C24" i="3"/>
  <c r="C25" i="3"/>
  <c r="C26" i="3"/>
  <c r="C13" i="3"/>
  <c r="F19" i="80"/>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D32" i="77" s="1"/>
  <c r="C29" i="77"/>
  <c r="R35" i="77"/>
  <c r="AH9" i="71"/>
  <c r="AG9" i="71"/>
  <c r="AE9" i="71"/>
  <c r="AF9" i="71" s="1"/>
  <c r="AD9" i="71"/>
  <c r="Q9" i="71"/>
  <c r="P9" i="71"/>
  <c r="O9" i="71"/>
  <c r="N9" i="71"/>
  <c r="R19" i="77" l="1"/>
  <c r="R5" i="77" s="1"/>
  <c r="U5" i="77" s="1"/>
  <c r="E26" i="77"/>
  <c r="E29" i="77"/>
  <c r="AH10" i="71"/>
  <c r="AG10" i="71"/>
  <c r="AE10" i="71"/>
  <c r="AF10" i="71" s="1"/>
  <c r="AD10" i="71"/>
  <c r="Q10" i="71"/>
  <c r="AB9" i="71" s="1"/>
  <c r="P10" i="71"/>
  <c r="AA9" i="71" s="1"/>
  <c r="O10" i="71"/>
  <c r="Y9" i="71" s="1"/>
  <c r="Z9" i="71" s="1"/>
  <c r="N10" i="71"/>
  <c r="X9" i="71" s="1"/>
  <c r="E32" i="77" l="1"/>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F21" i="33"/>
  <c r="S21" i="33" s="1"/>
  <c r="E83" i="21"/>
  <c r="S21" i="21"/>
  <c r="H1" i="69"/>
  <c r="AC25" i="40"/>
  <c r="W25" i="40"/>
  <c r="AB25" i="40"/>
  <c r="U25" i="40"/>
  <c r="U29" i="39"/>
  <c r="W29" i="39"/>
  <c r="AC18" i="36"/>
  <c r="W18" i="36"/>
  <c r="AB21" i="37"/>
  <c r="U21" i="37"/>
  <c r="AA21" i="37"/>
  <c r="S21" i="37"/>
  <c r="AB21" i="34"/>
  <c r="U21" i="34"/>
  <c r="U21" i="33"/>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s="1"/>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F32" i="33"/>
  <c r="AA32" i="33" s="1"/>
  <c r="J15" i="33"/>
  <c r="AC15"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15" i="33"/>
  <c r="AB15" i="33" s="1"/>
  <c r="F28" i="40"/>
  <c r="AA28" i="40"/>
  <c r="AA29" i="35"/>
  <c r="AA42" i="34"/>
  <c r="S42" i="34"/>
  <c r="AC38" i="34"/>
  <c r="AA38" i="34"/>
  <c r="J37" i="34"/>
  <c r="AC37" i="34"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AA29" i="33"/>
  <c r="AB29" i="33"/>
  <c r="W38" i="33"/>
  <c r="H41" i="33"/>
  <c r="F121" i="33"/>
  <c r="G121" i="33"/>
  <c r="H121" i="33"/>
  <c r="I121" i="33"/>
  <c r="J121" i="33"/>
  <c r="K121" i="33"/>
  <c r="L121" i="33"/>
  <c r="M121" i="33"/>
  <c r="U42" i="33"/>
  <c r="S42" i="33"/>
  <c r="J35" i="33"/>
  <c r="W35" i="33" s="1"/>
  <c r="J32" i="33"/>
  <c r="W32" i="33" s="1"/>
  <c r="S46" i="33"/>
  <c r="W43" i="33"/>
  <c r="F91" i="33"/>
  <c r="H27" i="33"/>
  <c r="AB27" i="33" s="1"/>
  <c r="H25" i="33"/>
  <c r="U25" i="33" s="1"/>
  <c r="J23" i="33"/>
  <c r="AC23" i="33" s="1"/>
  <c r="H23" i="33"/>
  <c r="AB23" i="33" s="1"/>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AC35" i="33"/>
  <c r="G91" i="33"/>
  <c r="H91" i="33"/>
  <c r="I91" i="33"/>
  <c r="J91" i="33"/>
  <c r="K91" i="33"/>
  <c r="L91" i="33"/>
  <c r="M91" i="33"/>
  <c r="J27" i="33"/>
  <c r="W27" i="33" s="1"/>
  <c r="F23" i="33"/>
  <c r="AA23"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F16" i="67"/>
  <c r="F40" i="67"/>
  <c r="E8" i="76"/>
  <c r="E7" i="76"/>
  <c r="F8" i="15"/>
  <c r="F6" i="15"/>
  <c r="F26" i="67"/>
  <c r="F26" i="15"/>
  <c r="F7" i="15"/>
  <c r="F7" i="67"/>
  <c r="D7" i="73"/>
  <c r="L47" i="67"/>
  <c r="E11" i="76"/>
  <c r="F37" i="67"/>
  <c r="F9" i="15"/>
  <c r="F38" i="67"/>
  <c r="C76" i="15"/>
  <c r="B11" i="76"/>
  <c r="D5" i="73"/>
  <c r="F20" i="31"/>
  <c r="M6" i="15"/>
  <c r="M9" i="67"/>
  <c r="D3" i="73"/>
  <c r="M8" i="15"/>
  <c r="B10" i="76"/>
  <c r="M26" i="15"/>
  <c r="J15" i="67"/>
  <c r="F43" i="15"/>
  <c r="M28" i="67"/>
  <c r="B13" i="76"/>
  <c r="F6" i="67"/>
  <c r="F37" i="15"/>
  <c r="F13" i="15"/>
  <c r="E2" i="68"/>
  <c r="M9" i="15"/>
  <c r="M22" i="15"/>
  <c r="F13" i="67"/>
  <c r="F42" i="15"/>
  <c r="F8" i="67"/>
  <c r="B7" i="76"/>
  <c r="M29" i="67"/>
  <c r="F42" i="67"/>
  <c r="M29" i="15"/>
  <c r="E9" i="76"/>
  <c r="F40" i="15"/>
  <c r="M22" i="67"/>
  <c r="M23" i="15"/>
  <c r="D4" i="73"/>
  <c r="E13" i="76"/>
  <c r="M24" i="67"/>
  <c r="F4" i="73"/>
  <c r="B8" i="76"/>
  <c r="E12" i="76"/>
  <c r="L47" i="15"/>
  <c r="F6" i="73"/>
  <c r="M24" i="15"/>
  <c r="J15" i="15"/>
  <c r="C76" i="67"/>
  <c r="B9" i="76"/>
  <c r="E2" i="69"/>
  <c r="E10" i="76"/>
  <c r="F9" i="67"/>
  <c r="AO13" i="1"/>
  <c r="F38" i="15"/>
  <c r="M8" i="67"/>
  <c r="M26" i="67"/>
  <c r="F36" i="67"/>
  <c r="B12" i="76"/>
  <c r="M23" i="67"/>
  <c r="F7" i="73"/>
  <c r="F16" i="15"/>
  <c r="F36" i="15"/>
  <c r="D6" i="73"/>
  <c r="M28" i="15"/>
  <c r="F5" i="73"/>
  <c r="M6" i="67"/>
  <c r="F43" i="67"/>
  <c r="F3" i="73"/>
  <c r="A15" i="62" l="1"/>
  <c r="B61" i="72" s="1"/>
  <c r="D19" i="53"/>
  <c r="B38" i="72" s="1"/>
  <c r="D21" i="53"/>
  <c r="B39" i="72" s="1"/>
  <c r="W26" i="33"/>
  <c r="S26" i="33"/>
  <c r="AB26" i="33"/>
  <c r="U27" i="33"/>
  <c r="AC27" i="33"/>
  <c r="W39" i="33"/>
  <c r="U39" i="33"/>
  <c r="S39" i="33"/>
  <c r="J25" i="33"/>
  <c r="W25" i="33" s="1"/>
  <c r="F25" i="33"/>
  <c r="AA25" i="33" s="1"/>
  <c r="S33" i="33"/>
  <c r="S25" i="33"/>
  <c r="AC25" i="33"/>
  <c r="AB25" i="33"/>
  <c r="S23" i="33"/>
  <c r="S43" i="33"/>
  <c r="J37" i="33"/>
  <c r="E113" i="33"/>
  <c r="F113" i="33" s="1"/>
  <c r="G113" i="33" s="1"/>
  <c r="AC32" i="33"/>
  <c r="G111" i="33"/>
  <c r="H111" i="33" s="1"/>
  <c r="I111" i="33" s="1"/>
  <c r="J111" i="33" s="1"/>
  <c r="K111" i="33" s="1"/>
  <c r="L111" i="33" s="1"/>
  <c r="M111" i="33" s="1"/>
  <c r="J36" i="33"/>
  <c r="W36" i="33" s="1"/>
  <c r="F36" i="33"/>
  <c r="AA36" i="33" s="1"/>
  <c r="H36" i="33"/>
  <c r="S36" i="33"/>
  <c r="S38" i="33"/>
  <c r="AA35" i="33"/>
  <c r="AB34" i="33"/>
  <c r="AA34" i="33"/>
  <c r="S32" i="33"/>
  <c r="U32" i="33"/>
  <c r="AC28" i="33"/>
  <c r="AB28" i="33"/>
  <c r="S28" i="33"/>
  <c r="W23" i="33"/>
  <c r="U23" i="33"/>
  <c r="J19" i="33"/>
  <c r="F81" i="33"/>
  <c r="G81" i="33" s="1"/>
  <c r="F19" i="33"/>
  <c r="S19" i="33" s="1"/>
  <c r="H19" i="33"/>
  <c r="AB19" i="33" s="1"/>
  <c r="U19" i="33"/>
  <c r="F79" i="33"/>
  <c r="G79" i="33" s="1"/>
  <c r="J17" i="33"/>
  <c r="H17" i="33"/>
  <c r="F17" i="33"/>
  <c r="S17" i="33" s="1"/>
  <c r="J11" i="33"/>
  <c r="F69" i="33"/>
  <c r="G69" i="33" s="1"/>
  <c r="H69" i="33" s="1"/>
  <c r="I69" i="33" s="1"/>
  <c r="J69" i="33" s="1"/>
  <c r="K69" i="33" s="1"/>
  <c r="L69" i="33" s="1"/>
  <c r="M69" i="33" s="1"/>
  <c r="F11" i="33"/>
  <c r="H11" i="33"/>
  <c r="U15" i="33"/>
  <c r="F7" i="1"/>
  <c r="C36" i="77"/>
  <c r="C28" i="67"/>
  <c r="C21" i="68"/>
  <c r="C40" i="69"/>
  <c r="AZ23" i="3"/>
  <c r="AZ24" i="3"/>
  <c r="G5" i="3"/>
  <c r="B3" i="3" s="1"/>
  <c r="E77" i="3" s="1"/>
  <c r="AZ25" i="3"/>
  <c r="BL5" i="3"/>
  <c r="BA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 i="3"/>
  <c r="E458" i="3"/>
  <c r="E571" i="3"/>
  <c r="E111" i="3"/>
  <c r="E279" i="3"/>
  <c r="E318" i="3"/>
  <c r="E567" i="3"/>
  <c r="E269" i="3"/>
  <c r="E107" i="3"/>
  <c r="E515" i="3"/>
  <c r="E414" i="3"/>
  <c r="E505" i="3"/>
  <c r="AS6" i="3"/>
  <c r="E444" i="3"/>
  <c r="E489" i="3"/>
  <c r="E404" i="3"/>
  <c r="E28" i="3"/>
  <c r="E88" i="3"/>
  <c r="E70" i="3"/>
  <c r="E121" i="3"/>
  <c r="E182" i="3"/>
  <c r="E166" i="3"/>
  <c r="E211" i="3"/>
  <c r="E295" i="3"/>
  <c r="E273" i="3"/>
  <c r="E316" i="3"/>
  <c r="E377" i="3"/>
  <c r="E334" i="3"/>
  <c r="E572" i="3"/>
  <c r="E30" i="3"/>
  <c r="E10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G1" i="73"/>
  <c r="C16" i="15"/>
  <c r="L48" i="67"/>
  <c r="C16" i="67"/>
  <c r="W37" i="33" l="1"/>
  <c r="AC37" i="33"/>
  <c r="H113" i="33"/>
  <c r="I113" i="33" s="1"/>
  <c r="J113" i="33" s="1"/>
  <c r="K113" i="33" s="1"/>
  <c r="L113" i="33" s="1"/>
  <c r="M113" i="33" s="1"/>
  <c r="H37" i="33"/>
  <c r="F37" i="33"/>
  <c r="U36" i="33"/>
  <c r="AB36" i="33"/>
  <c r="AA19" i="33"/>
  <c r="AC19" i="33"/>
  <c r="W19" i="33"/>
  <c r="AC17" i="33"/>
  <c r="W17" i="33"/>
  <c r="AA17" i="33"/>
  <c r="U17" i="33"/>
  <c r="AB17" i="33"/>
  <c r="AB11" i="33"/>
  <c r="U11" i="33"/>
  <c r="AA11" i="33"/>
  <c r="S11" i="33"/>
  <c r="W11" i="33"/>
  <c r="AC11" i="33"/>
  <c r="J57" i="67"/>
  <c r="J55" i="67" s="1"/>
  <c r="J58" i="67" s="1"/>
  <c r="Q50" i="67" s="1"/>
  <c r="I54" i="67"/>
  <c r="J53" i="67"/>
  <c r="Q52" i="67" s="1"/>
  <c r="L56" i="67"/>
  <c r="L58" i="67"/>
  <c r="Q73" i="67" s="1"/>
  <c r="F36" i="77"/>
  <c r="G7" i="1"/>
  <c r="G16" i="1" s="1"/>
  <c r="F10" i="39" s="1"/>
  <c r="AA10" i="39" s="1"/>
  <c r="E29" i="3"/>
  <c r="E44" i="3"/>
  <c r="AM6" i="3"/>
  <c r="E384" i="3"/>
  <c r="E317" i="3"/>
  <c r="E331" i="3"/>
  <c r="E291" i="3"/>
  <c r="E210" i="3"/>
  <c r="E272" i="3"/>
  <c r="E186" i="3"/>
  <c r="E126" i="3"/>
  <c r="E162" i="3"/>
  <c r="E92" i="3"/>
  <c r="E27" i="3"/>
  <c r="E71" i="3"/>
  <c r="E447" i="3"/>
  <c r="E546" i="3"/>
  <c r="E476" i="3"/>
  <c r="E403" i="3"/>
  <c r="E547" i="3"/>
  <c r="E477" i="3"/>
  <c r="E478" i="3"/>
  <c r="E585" i="3"/>
  <c r="E271" i="3"/>
  <c r="E549" i="3"/>
  <c r="E31" i="3"/>
  <c r="E351" i="3"/>
  <c r="E150" i="3"/>
  <c r="E433" i="3"/>
  <c r="E457" i="3"/>
  <c r="E519" i="3"/>
  <c r="E511" i="3"/>
  <c r="E85" i="3"/>
  <c r="E367" i="3"/>
  <c r="E432" i="3"/>
  <c r="E548" i="3"/>
  <c r="E411" i="3"/>
  <c r="U6" i="3"/>
  <c r="E379" i="3"/>
  <c r="E145" i="3"/>
  <c r="E207" i="3"/>
  <c r="E196" i="3"/>
  <c r="E397" i="3"/>
  <c r="E93" i="3"/>
  <c r="E14" i="3"/>
  <c r="E357" i="3"/>
  <c r="E257" i="3"/>
  <c r="E208" i="3"/>
  <c r="E168" i="3"/>
  <c r="E72" i="3"/>
  <c r="E450" i="3"/>
  <c r="E562" i="3"/>
  <c r="E527" i="3"/>
  <c r="E573" i="3"/>
  <c r="E193" i="3"/>
  <c r="E99" i="3"/>
  <c r="E314" i="3"/>
  <c r="E453"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54" i="3"/>
  <c r="E475" i="3"/>
  <c r="E471" i="3"/>
  <c r="E537" i="3"/>
  <c r="W6" i="3"/>
  <c r="E288" i="3"/>
  <c r="E438" i="3"/>
  <c r="E474" i="3"/>
  <c r="E529" i="3"/>
  <c r="E532" i="3"/>
  <c r="E313" i="3"/>
  <c r="E224" i="3"/>
  <c r="E157" i="3"/>
  <c r="E306" i="3"/>
  <c r="E352" i="3"/>
  <c r="E136" i="3"/>
  <c r="E461" i="3"/>
  <c r="E122"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 i="3"/>
  <c r="E24" i="3"/>
  <c r="E48" i="3"/>
  <c r="E87" i="3"/>
  <c r="E144" i="3"/>
  <c r="E184" i="3"/>
  <c r="E233" i="3"/>
  <c r="E355" i="3"/>
  <c r="E381" i="3"/>
  <c r="E68" i="3"/>
  <c r="E63" i="3"/>
  <c r="E81" i="3"/>
  <c r="E118" i="3"/>
  <c r="E179" i="3"/>
  <c r="E283" i="3"/>
  <c r="E309" i="3"/>
  <c r="E513"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33" i="3"/>
  <c r="E127" i="3"/>
  <c r="E250" i="3"/>
  <c r="E284" i="3"/>
  <c r="E341" i="3"/>
  <c r="Y6" i="3"/>
  <c r="E51" i="3"/>
  <c r="E19" i="3"/>
  <c r="E154" i="3"/>
  <c r="E264" i="3"/>
  <c r="E222" i="3"/>
  <c r="E323" i="3"/>
  <c r="E373" i="3"/>
  <c r="E82" i="3"/>
  <c r="N94" i="46"/>
  <c r="E26" i="43"/>
  <c r="D26" i="43" s="1"/>
  <c r="C25" i="43" s="1"/>
  <c r="J26" i="4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F10" i="40"/>
  <c r="S10" i="40" s="1"/>
  <c r="H10" i="40"/>
  <c r="AB10" i="40" s="1"/>
  <c r="C7" i="43"/>
  <c r="C5" i="43" s="1"/>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F41" i="67"/>
  <c r="AB37" i="33" l="1"/>
  <c r="U37" i="33"/>
  <c r="AA37" i="33"/>
  <c r="S37" i="33"/>
  <c r="F1" i="67"/>
  <c r="Q60" i="67"/>
  <c r="J10" i="39"/>
  <c r="W10" i="39" s="1"/>
  <c r="H10" i="39"/>
  <c r="U10" i="39"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C25" i="11" l="1"/>
  <c r="C22" i="11" s="1"/>
  <c r="C31" i="11" s="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33"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B3" i="68" s="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57" i="68" l="1"/>
  <c r="C56" i="68" s="1"/>
  <c r="E11" i="77"/>
  <c r="E7" i="77" s="1"/>
  <c r="C27" i="77" s="1"/>
  <c r="D7" i="77"/>
  <c r="C26" i="77" s="1"/>
  <c r="C32" i="77" s="1"/>
  <c r="C38" i="77" s="1"/>
  <c r="C39" i="77" s="1"/>
  <c r="C40" i="77"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D2" i="33"/>
  <c r="B2" i="77" l="1"/>
  <c r="C41" i="77"/>
  <c r="Q69" i="15"/>
  <c r="Q68" i="15" s="1"/>
  <c r="H37" i="15"/>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4"/>
  <c r="D19" i="9"/>
  <c r="D2" i="35"/>
  <c r="D2" i="36"/>
  <c r="D2" i="37"/>
  <c r="C19" i="9"/>
  <c r="L51" i="15"/>
  <c r="C102" i="9" l="1"/>
  <c r="C21" i="9"/>
  <c r="B3" i="33"/>
  <c r="G19" i="9"/>
  <c r="G21" i="9" s="1"/>
  <c r="D102" i="9"/>
  <c r="D22" i="9"/>
  <c r="D21" i="9"/>
  <c r="B3" i="77"/>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D20" i="9"/>
  <c r="AO9" i="1"/>
  <c r="AO10" i="1"/>
  <c r="AO11" i="1"/>
  <c r="C20" i="9"/>
  <c r="AO12" i="1"/>
  <c r="AO7" i="1"/>
  <c r="C103" i="9" l="1"/>
  <c r="G20" i="9"/>
  <c r="C32" i="9" s="1"/>
  <c r="D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C104" i="9" l="1"/>
  <c r="D14" i="74"/>
  <c r="G14" i="74" s="1"/>
  <c r="F119" i="9"/>
  <c r="F5" i="52" s="1"/>
  <c r="B53" i="72" s="1"/>
  <c r="H101" i="9"/>
  <c r="H109" i="9" s="1"/>
  <c r="I118" i="9"/>
  <c r="G118" i="9"/>
  <c r="G4" i="52" s="1"/>
  <c r="B52" i="72" s="1"/>
  <c r="D4" i="52"/>
  <c r="B47" i="72" s="1"/>
  <c r="H119" i="9"/>
  <c r="H5" i="52" s="1"/>
  <c r="H4" i="52"/>
  <c r="M49" i="9" l="1"/>
  <c r="D16" i="53"/>
  <c r="H110" i="9"/>
  <c r="D18" i="53" s="1"/>
  <c r="B35" i="72" s="1"/>
  <c r="D124" i="9"/>
  <c r="B6" i="74"/>
  <c r="D6" i="74" s="1"/>
  <c r="H14" i="74"/>
  <c r="B7" i="74" s="1"/>
  <c r="E14" i="74"/>
  <c r="B5" i="74"/>
  <c r="D5" i="74" s="1"/>
  <c r="F14" i="74"/>
  <c r="M48" i="9"/>
  <c r="D45" i="9"/>
  <c r="H107" i="9"/>
  <c r="D5" i="53"/>
  <c r="I4" i="52"/>
  <c r="C105" i="9"/>
  <c r="E118" i="9"/>
  <c r="E4" i="52" s="1"/>
  <c r="B48" i="72" s="1"/>
  <c r="H102" i="9"/>
  <c r="D10" i="52" l="1"/>
  <c r="D125" i="9"/>
  <c r="D11" i="52" s="1"/>
  <c r="B34" i="72"/>
  <c r="D17" i="53"/>
  <c r="B36" i="72" s="1"/>
  <c r="L68" i="9"/>
  <c r="M68" i="9" s="1"/>
  <c r="L66" i="9"/>
  <c r="M66" i="9" s="1"/>
  <c r="L63" i="9"/>
  <c r="M63" i="9" s="1"/>
  <c r="L65" i="9"/>
  <c r="M65" i="9" s="1"/>
  <c r="L64" i="9"/>
  <c r="M64" i="9" s="1"/>
  <c r="L67" i="9"/>
  <c r="M67" i="9" s="1"/>
  <c r="C7" i="74"/>
  <c r="D7" i="74"/>
  <c r="D13" i="53"/>
  <c r="H108" i="9"/>
  <c r="D122" i="9"/>
  <c r="C5" i="74"/>
  <c r="D7" i="53"/>
  <c r="B21" i="72" s="1"/>
  <c r="B20" i="72"/>
  <c r="D6" i="53"/>
  <c r="B22" i="72" s="1"/>
  <c r="D52" i="9"/>
  <c r="D53" i="9"/>
  <c r="C72" i="9"/>
  <c r="C78" i="9"/>
  <c r="C73" i="9" s="1"/>
  <c r="C64" i="9"/>
  <c r="C63" i="9" s="1"/>
  <c r="C67" i="9" s="1"/>
  <c r="D55" i="9"/>
  <c r="M53" i="9" s="1"/>
  <c r="C93" i="9"/>
  <c r="C86" i="9" s="1"/>
  <c r="C85" i="9"/>
  <c r="M69" i="9" l="1"/>
  <c r="N69" i="9" s="1"/>
  <c r="C95" i="9"/>
  <c r="D59" i="9"/>
  <c r="M55" i="9" s="1"/>
  <c r="C68" i="9"/>
  <c r="D54" i="9" s="1"/>
  <c r="C79" i="9"/>
  <c r="D15" i="53"/>
  <c r="B31" i="72" s="1"/>
  <c r="C6" i="74"/>
  <c r="C96" i="9"/>
  <c r="E96" i="9" s="1"/>
  <c r="E97" i="9" s="1"/>
  <c r="D8" i="52"/>
  <c r="D123" i="9"/>
  <c r="D9" i="52" s="1"/>
  <c r="D14" i="53"/>
  <c r="B32" i="72" s="1"/>
  <c r="B30" i="72"/>
  <c r="C97" i="9" l="1"/>
  <c r="D58" i="9" s="1"/>
  <c r="D56" i="9" s="1"/>
  <c r="M54" i="9" s="1"/>
  <c r="N57" i="9" s="1"/>
  <c r="C80" i="9"/>
  <c r="E80" i="9" s="1"/>
  <c r="E81" i="9" s="1"/>
  <c r="C81" i="9" l="1"/>
  <c r="N58" i="9"/>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<sst xmlns="http://schemas.openxmlformats.org/spreadsheetml/2006/main" count="11899" uniqueCount="5215">
  <si>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</si>
  <si>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</si>
  <si>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</si>
  <si>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</si>
  <si>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</si>
  <si>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</si>
  <si>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</si>
  <si>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</si>
  <si>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</si>
  <si>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</si>
  <si>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</si>
  <si>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</si>
  <si>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</si>
  <si>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</si>
  <si>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</si>
  <si>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</si>
  <si>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</si>
  <si>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</si>
  <si>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</si>
  <si>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</si>
  <si>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</si>
  <si>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</si>
  <si>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</si>
  <si>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</si>
  <si>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</si>
  <si>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</si>
  <si>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</si>
  <si>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</si>
  <si>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</si>
  <si>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</si>
  <si>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</si>
  <si>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</si>
  <si>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</si>
  <si>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</si>
  <si>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</si>
  <si>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</si>
  <si>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</si>
  <si>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</si>
  <si>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</si>
  <si>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</si>
  <si>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</si>
  <si>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</si>
  <si>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</si>
  <si>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</si>
  <si>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</si>
  <si>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</si>
  <si>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</si>
  <si>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</si>
  <si>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</si>
  <si>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</si>
  <si>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</si>
  <si>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</si>
  <si>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</si>
  <si>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</si>
  <si>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</si>
  <si>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</si>
  <si>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</si>
  <si>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</si>
  <si>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</si>
  <si>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</si>
  <si>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</si>
  <si>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</si>
  <si>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</si>
  <si>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</si>
  <si>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</si>
  <si>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</si>
  <si>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</si>
  <si>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</si>
  <si>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</si>
  <si>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</si>
  <si>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</si>
  <si>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</si>
  <si>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</si>
  <si>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</si>
  <si>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</si>
  <si>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</si>
  <si>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</si>
  <si>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</si>
  <si>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</si>
  <si>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</si>
  <si>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</si>
  <si>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</si>
  <si>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</si>
  <si>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</si>
  <si>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</si>
  <si>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</si>
  <si>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</si>
  <si>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</si>
  <si>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</si>
  <si>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</si>
  <si>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</si>
  <si>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</si>
  <si>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</si>
  <si>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</si>
  <si>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</si>
  <si>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</si>
  <si>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</si>
  <si>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</si>
  <si>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</si>
  <si>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</si>
  <si>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</si>
  <si>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</si>
  <si>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</si>
  <si>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</si>
  <si>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</si>
  <si>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</si>
  <si>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</si>
  <si>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</si>
  <si>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</si>
  <si>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</si>
  <si>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</si>
  <si>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</si>
  <si>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</si>
  <si>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</si>
  <si>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</si>
  <si>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</si>
  <si>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</si>
  <si>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</si>
  <si>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</si>
  <si>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</si>
  <si>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</si>
  <si>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</si>
  <si>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</si>
  <si>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</si>
  <si>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</si>
  <si>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</si>
  <si>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</si>
  <si>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</si>
  <si>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</si>
  <si>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</si>
  <si>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</si>
  <si>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</si>
  <si>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</si>
  <si>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</si>
  <si>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</si>
  <si>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</si>
  <si>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</si>
  <si>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</si>
  <si>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</si>
  <si>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</si>
  <si>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</si>
  <si>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</si>
  <si>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</si>
  <si>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</si>
  <si>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</si>
  <si>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</si>
  <si>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</si>
  <si>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</si>
  <si>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</si>
  <si>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</si>
  <si>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</si>
  <si>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</si>
  <si>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</si>
  <si>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</si>
  <si>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</si>
  <si>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</si>
  <si>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</si>
  <si>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</si>
  <si>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</si>
  <si>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</si>
  <si>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</si>
  <si>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</si>
  <si>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</si>
  <si>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</si>
  <si>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</si>
  <si>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</si>
  <si>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</si>
  <si>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</si>
  <si>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</si>
  <si>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</si>
  <si>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</si>
  <si>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</si>
  <si>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</si>
  <si>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</si>
  <si>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</si>
  <si>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</si>
  <si>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</si>
  <si>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</si>
  <si>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</si>
  <si>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</si>
  <si>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</si>
  <si>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</si>
  <si>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</si>
  <si>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</si>
  <si>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</si>
  <si>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</si>
  <si>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</si>
  <si>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</si>
  <si>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</si>
  <si>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</si>
  <si>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</si>
  <si>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</si>
  <si>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</si>
  <si>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</si>
  <si>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</si>
  <si>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</si>
  <si>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</si>
  <si>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</si>
  <si>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</si>
  <si>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</si>
  <si>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</si>
  <si>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</si>
  <si>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</si>
  <si>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</si>
  <si>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</si>
  <si>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</si>
  <si>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</si>
  <si>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</si>
  <si>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</si>
  <si>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</si>
  <si>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</si>
  <si>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</si>
  <si>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</si>
  <si>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</si>
  <si>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</si>
  <si>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</si>
  <si>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</si>
  <si>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</si>
  <si>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</si>
  <si>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</si>
  <si>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</si>
  <si>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</si>
  <si>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</si>
  <si>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</si>
  <si>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</si>
  <si>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</si>
  <si>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</si>
  <si>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</si>
  <si>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</si>
  <si>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</si>
  <si>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</si>
  <si>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</si>
  <si>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</si>
  <si>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</si>
  <si>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</si>
  <si>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</si>
  <si>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</si>
  <si>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</si>
  <si>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</si>
  <si>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</si>
  <si>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</si>
  <si>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</si>
  <si>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</si>
  <si>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</si>
  <si>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</si>
  <si>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</si>
  <si>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</si>
  <si>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</si>
  <si>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</si>
  <si>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</si>
  <si>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</si>
  <si>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</si>
  <si>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</si>
  <si>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</si>
  <si>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</si>
  <si>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</si>
  <si>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</si>
  <si>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</si>
  <si>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</si>
  <si>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</si>
  <si>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</si>
  <si>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</si>
  <si>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</si>
  <si>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</si>
  <si>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</si>
  <si>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</si>
  <si>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</si>
  <si>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</si>
  <si>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</si>
  <si>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</si>
  <si>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</si>
  <si>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</si>
  <si>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</si>
  <si>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</si>
  <si>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</si>
  <si>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</si>
  <si>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</si>
  <si>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</si>
  <si>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</si>
  <si>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</si>
  <si>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</si>
  <si>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</si>
  <si>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</si>
  <si>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</si>
  <si>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</si>
  <si>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</si>
  <si>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</si>
  <si>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</si>
  <si>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</si>
  <si>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</si>
  <si>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</si>
  <si>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</si>
  <si>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</si>
  <si>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</si>
  <si>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</si>
  <si>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</si>
  <si>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</si>
  <si>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</si>
  <si>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</si>
  <si>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</si>
  <si>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</si>
  <si>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</si>
  <si>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</si>
  <si>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</si>
  <si>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</si>
  <si>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</si>
  <si>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</si>
  <si>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</si>
  <si>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</si>
  <si>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</si>
  <si>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</si>
  <si>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</si>
  <si>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</si>
  <si>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</si>
  <si>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</si>
  <si>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</si>
  <si>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</si>
  <si>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</si>
  <si>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</si>
  <si>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</si>
  <si>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</si>
  <si>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</si>
  <si>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</si>
  <si>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</si>
  <si>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</si>
  <si>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</si>
  <si>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</si>
  <si>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</si>
  <si>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</si>
  <si>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</si>
  <si>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</si>
  <si>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</si>
  <si>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</si>
  <si>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</si>
  <si>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</si>
  <si>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</si>
  <si>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</si>
  <si>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</si>
  <si>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</si>
  <si>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</si>
  <si>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</si>
  <si>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</si>
  <si>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</si>
  <si>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</si>
  <si>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</si>
  <si>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</si>
  <si>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</si>
  <si>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</si>
  <si>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</si>
  <si>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</si>
  <si>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</si>
  <si>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</si>
  <si>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</si>
  <si>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</si>
  <si>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</si>
  <si>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</si>
  <si>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</si>
  <si>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</si>
  <si>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</si>
  <si>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</si>
  <si>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</si>
  <si>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</si>
  <si>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</si>
  <si>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</si>
  <si>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</si>
  <si>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</si>
  <si>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</si>
  <si>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</si>
  <si>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</si>
  <si>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</si>
  <si>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</si>
  <si>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</si>
  <si>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</si>
  <si>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</si>
  <si>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</si>
  <si>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</si>
  <si>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</si>
  <si>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</si>
  <si>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</si>
  <si>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</si>
  <si>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</si>
  <si>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</si>
  <si>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</si>
  <si>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</si>
  <si>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</si>
  <si>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</si>
  <si>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</si>
  <si>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</si>
  <si>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</si>
  <si>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</si>
  <si>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</si>
  <si>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</si>
  <si>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</si>
  <si>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</si>
  <si>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</si>
  <si>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</si>
  <si>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</si>
  <si>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</si>
  <si>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</si>
  <si>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</si>
  <si>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</si>
  <si>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</si>
  <si>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</si>
  <si>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</si>
  <si>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</si>
  <si>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</si>
  <si>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</si>
  <si>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</si>
  <si>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</si>
  <si>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</si>
  <si>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</si>
  <si>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</si>
  <si>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</si>
  <si>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</si>
  <si>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</si>
  <si>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</si>
  <si>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</si>
  <si>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</si>
  <si>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</si>
  <si>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</si>
  <si>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</si>
  <si>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</si>
  <si>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</si>
  <si>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</si>
  <si>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</si>
  <si>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</si>
  <si>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</si>
  <si>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</si>
  <si>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</si>
  <si>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</si>
  <si>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</si>
  <si>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</si>
  <si>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</si>
  <si>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</si>
  <si>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</si>
  <si>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</si>
  <si>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</si>
  <si>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</si>
  <si>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</si>
  <si>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</si>
  <si>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</si>
  <si>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</si>
  <si>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</si>
  <si>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</si>
  <si>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</si>
  <si>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</si>
  <si>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</si>
  <si>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</si>
  <si>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</si>
  <si>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</si>
  <si>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</si>
  <si>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</si>
  <si>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</si>
  <si>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</si>
  <si>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</si>
  <si>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</si>
  <si>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</si>
  <si>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</si>
  <si>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</si>
  <si>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</si>
  <si>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</si>
  <si>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</si>
  <si>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</si>
  <si>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</si>
  <si>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</si>
  <si>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</si>
  <si>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</si>
  <si>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</si>
  <si>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</si>
  <si>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</si>
  <si>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</si>
  <si>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</si>
  <si>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</si>
  <si>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</si>
  <si>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</si>
  <si>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</si>
  <si>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</si>
  <si>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</si>
  <si>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</si>
  <si>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</si>
  <si>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</si>
  <si>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</si>
  <si>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</si>
  <si>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</si>
  <si>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</si>
  <si>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</si>
  <si>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</si>
  <si>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</si>
  <si>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</si>
  <si>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</si>
  <si>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</si>
  <si>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</si>
  <si>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</si>
  <si>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</si>
  <si>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</si>
  <si>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</si>
  <si>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</si>
  <si>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</si>
  <si>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</si>
  <si>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</si>
  <si>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</si>
  <si>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</si>
  <si>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</si>
  <si>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</si>
  <si>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</si>
  <si>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</si>
  <si>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</si>
  <si>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</si>
  <si>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</si>
  <si>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</si>
  <si>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</si>
  <si>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</si>
  <si>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</si>
  <si>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</si>
  <si>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</si>
  <si>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</si>
  <si>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</si>
  <si>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</si>
  <si>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</si>
  <si>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</si>
  <si>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</si>
  <si>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</si>
  <si>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</si>
  <si>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</si>
  <si>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</si>
  <si>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</si>
  <si>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</si>
  <si>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</si>
  <si>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</si>
  <si>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</si>
  <si>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</si>
  <si>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</si>
  <si>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</si>
  <si>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</si>
  <si>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</si>
  <si>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</si>
  <si>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</si>
  <si>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</si>
  <si>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</si>
  <si>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</si>
  <si>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</si>
  <si>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</si>
  <si>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</si>
  <si>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</si>
  <si>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</si>
  <si>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</si>
  <si>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</si>
  <si>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</si>
  <si>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</si>
  <si>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</si>
  <si>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</si>
  <si>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</si>
  <si>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</si>
  <si>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</si>
  <si>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</si>
  <si>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</si>
  <si>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</si>
  <si>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</si>
  <si>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</si>
  <si>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</si>
  <si>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</si>
  <si>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</si>
  <si>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</si>
  <si>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</si>
  <si>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</si>
  <si>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</si>
  <si>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</si>
  <si>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</si>
  <si>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</si>
  <si>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</si>
  <si>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</si>
  <si>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</si>
  <si>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</si>
  <si>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</si>
  <si>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</si>
  <si>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</si>
  <si>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</si>
  <si>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</si>
  <si>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</si>
  <si>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</si>
  <si>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</si>
  <si>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</si>
  <si>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</si>
  <si>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</si>
  <si>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</si>
  <si>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</si>
  <si>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</si>
  <si>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</si>
  <si>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</si>
  <si>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</si>
  <si>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</si>
  <si>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</si>
  <si>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</si>
  <si>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</si>
  <si>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</si>
  <si>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</si>
  <si>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</si>
  <si>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</si>
  <si>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</si>
  <si>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</si>
  <si>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</si>
  <si>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</si>
  <si>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</si>
  <si>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</si>
  <si>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</si>
  <si>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</si>
  <si>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</si>
  <si>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</si>
  <si>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</si>
  <si>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</si>
  <si>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</si>
  <si>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</si>
  <si>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</si>
  <si>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</si>
  <si>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</si>
  <si>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</si>
  <si>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</si>
  <si>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</si>
  <si>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</si>
  <si>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</si>
  <si>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</si>
  <si>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</si>
  <si>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</si>
  <si>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</si>
  <si>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</si>
  <si>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</si>
  <si>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</si>
  <si>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</si>
  <si>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</si>
  <si>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</si>
  <si>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</si>
  <si>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</si>
  <si>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</si>
  <si>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</si>
  <si>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</si>
  <si>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</si>
  <si>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</si>
  <si>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</si>
  <si>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</si>
  <si>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</si>
  <si>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</si>
  <si>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</si>
  <si>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</si>
  <si>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</si>
  <si>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</si>
  <si>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</si>
  <si>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</si>
  <si>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</si>
  <si>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</si>
  <si>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</si>
  <si>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</si>
  <si>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</si>
  <si>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</si>
  <si>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</si>
  <si>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</si>
  <si>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</si>
  <si>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</si>
  <si>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</si>
  <si>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</si>
  <si>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</si>
  <si>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</si>
  <si>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</si>
  <si>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</si>
  <si>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</si>
  <si>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</si>
  <si>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</si>
  <si>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</si>
  <si>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</si>
  <si>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</si>
  <si>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</si>
  <si>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</si>
  <si>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</si>
  <si>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</si>
  <si>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</si>
  <si>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</si>
  <si>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</si>
  <si>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</si>
  <si>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</si>
  <si>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</si>
  <si>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</si>
  <si>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</si>
  <si>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</si>
  <si>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</si>
  <si>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</si>
  <si>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</si>
  <si>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</si>
  <si>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</si>
  <si>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</si>
  <si>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</si>
  <si>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</si>
  <si>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</si>
  <si>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</si>
  <si>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</si>
  <si>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</si>
  <si>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</si>
  <si>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</si>
  <si>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</si>
  <si>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</si>
  <si>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</si>
  <si>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</si>
  <si>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</si>
  <si>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</si>
  <si>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</si>
  <si>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</si>
  <si>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</si>
  <si>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</si>
  <si>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</si>
  <si>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</si>
  <si>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</si>
  <si>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</si>
  <si>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</si>
  <si>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</si>
  <si>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</si>
  <si>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</si>
  <si>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</si>
  <si>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</si>
  <si>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</si>
  <si>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</si>
  <si>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</si>
  <si>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</si>
  <si>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</si>
  <si>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</si>
  <si>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</si>
  <si>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</si>
  <si>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</si>
  <si>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</si>
  <si>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</si>
  <si>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</si>
  <si>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</si>
  <si>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</si>
  <si>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</si>
  <si>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</si>
  <si>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</si>
  <si>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</si>
  <si>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</si>
  <si>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</si>
  <si>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</si>
  <si>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</si>
  <si>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</si>
  <si>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</si>
  <si>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</si>
  <si>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</si>
  <si>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</si>
  <si>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</si>
  <si>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</si>
  <si>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</si>
  <si>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</si>
  <si>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</si>
  <si>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</si>
  <si>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</si>
  <si>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</si>
  <si>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</si>
  <si>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</si>
  <si>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</si>
  <si>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</si>
  <si>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</si>
  <si>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</si>
  <si>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</si>
  <si>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</si>
  <si>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</si>
  <si>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</si>
  <si>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</si>
  <si>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</si>
  <si>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</si>
  <si>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</si>
  <si>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</si>
  <si>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</si>
  <si>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</si>
  <si>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</si>
  <si>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</si>
  <si>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</si>
  <si>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</si>
  <si>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</si>
  <si>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</si>
  <si>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</si>
  <si>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</si>
  <si>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</si>
  <si>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</si>
  <si>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</si>
  <si>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</si>
  <si>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</si>
  <si>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</si>
  <si>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</si>
  <si>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</si>
  <si>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</si>
  <si>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</si>
  <si>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</si>
  <si>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</si>
  <si>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</si>
  <si>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</si>
  <si>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</si>
  <si>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</si>
  <si>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</si>
  <si>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</si>
  <si>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</si>
  <si>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</si>
  <si>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</si>
  <si>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</si>
  <si>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</si>
  <si>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</si>
  <si>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</si>
  <si>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</si>
  <si>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</si>
  <si>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</si>
  <si>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</si>
  <si>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</si>
  <si>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</si>
  <si>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</si>
  <si>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</si>
  <si>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</si>
  <si>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</si>
  <si>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</si>
  <si>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</si>
  <si>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</si>
  <si>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</si>
  <si>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</si>
  <si>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</si>
  <si>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</si>
  <si>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</si>
  <si>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</si>
  <si>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</si>
  <si>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</si>
  <si>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</si>
  <si>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</si>
  <si>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</si>
  <si>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</si>
  <si>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</si>
  <si>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</si>
  <si>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</si>
  <si>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</si>
  <si>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</si>
  <si>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</si>
  <si>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</si>
  <si>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</si>
  <si>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</si>
  <si>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</si>
  <si>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</si>
  <si>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</si>
  <si>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</si>
  <si>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</si>
  <si>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</si>
  <si>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</si>
  <si>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</si>
  <si>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</si>
  <si>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</si>
  <si>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</si>
  <si>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</si>
  <si>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</si>
  <si>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</si>
  <si>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</si>
  <si>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</si>
  <si>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</si>
  <si>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</si>
  <si>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</si>
  <si>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</si>
  <si>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</si>
  <si>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</si>
  <si>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</si>
  <si>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</si>
  <si>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</si>
  <si>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</si>
  <si>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</si>
  <si>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</si>
  <si>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</si>
  <si>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</si>
  <si>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</si>
  <si>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</si>
  <si>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</si>
  <si>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</si>
  <si>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</si>
  <si>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</si>
  <si>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</si>
  <si>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</si>
  <si>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</si>
  <si>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</si>
  <si>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</si>
  <si>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</si>
  <si>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</si>
  <si>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</si>
  <si>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</si>
  <si>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</si>
  <si>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</si>
  <si>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</si>
  <si>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</si>
  <si>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</si>
  <si>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</si>
  <si>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</si>
  <si>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</si>
  <si>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</si>
  <si>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</si>
  <si>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</si>
  <si>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</si>
  <si>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</si>
  <si>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</si>
  <si>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</si>
  <si>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</si>
  <si>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</si>
  <si>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</si>
  <si>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</si>
  <si>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</si>
  <si>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</si>
  <si>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</si>
  <si>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</si>
  <si>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</si>
  <si>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</si>
  <si>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</si>
  <si>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</si>
  <si>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</si>
  <si>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</si>
  <si>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</si>
  <si>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</si>
  <si>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</si>
  <si>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</si>
  <si>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</si>
  <si>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</si>
  <si>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</si>
  <si>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</si>
  <si>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</si>
  <si>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</si>
  <si>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</si>
  <si>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</si>
  <si>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</si>
  <si>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</si>
  <si>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</si>
  <si>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</si>
  <si>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</si>
  <si>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</si>
  <si>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</si>
  <si>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</si>
  <si>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</si>
  <si>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</si>
  <si>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</si>
  <si>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</si>
  <si>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</si>
  <si>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</si>
  <si>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</si>
  <si>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</si>
  <si>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</si>
  <si>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</si>
  <si>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</si>
  <si>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</si>
  <si>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</si>
  <si>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</si>
  <si>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</si>
  <si>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</si>
  <si>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</si>
  <si>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</si>
  <si>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</si>
  <si>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</si>
  <si>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</si>
  <si>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</si>
  <si>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</si>
  <si>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</si>
  <si>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</si>
  <si>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</si>
  <si>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</si>
  <si>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</si>
  <si>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</si>
  <si>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</si>
  <si>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</si>
  <si>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</si>
  <si>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</si>
  <si>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</si>
  <si>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</si>
  <si>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</si>
  <si>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</si>
  <si>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</si>
  <si>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</si>
  <si>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</si>
  <si>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</si>
  <si>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</si>
  <si>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</si>
  <si>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</si>
  <si>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</si>
  <si>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</si>
  <si>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</si>
  <si>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</si>
  <si>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</si>
  <si>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</si>
  <si>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</si>
  <si>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</si>
  <si>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</si>
  <si>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</si>
  <si>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</si>
  <si>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</si>
  <si>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</si>
  <si>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</si>
  <si>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</si>
  <si>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</si>
  <si>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</si>
  <si>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</si>
  <si>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</si>
  <si>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</si>
  <si>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</si>
  <si>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</si>
  <si>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</si>
  <si>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</si>
  <si>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</si>
  <si>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</si>
  <si>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</si>
  <si>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</si>
  <si>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</si>
  <si>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</si>
  <si>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</si>
  <si>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</si>
  <si>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</si>
  <si>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</si>
  <si>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</si>
  <si>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</si>
  <si>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</si>
  <si>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</si>
  <si>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</si>
  <si>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</si>
  <si>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</si>
  <si>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</si>
  <si>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</si>
  <si>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</si>
  <si>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</si>
  <si>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</si>
  <si>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</si>
  <si>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</si>
  <si>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</si>
  <si>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</si>
  <si>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</si>
  <si>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</si>
  <si>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</si>
  <si>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</si>
  <si>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</si>
  <si>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</si>
  <si>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</si>
  <si>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</si>
  <si>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</si>
  <si>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</si>
  <si>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</si>
  <si>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</si>
  <si>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</si>
  <si>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</si>
  <si>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</si>
  <si>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</si>
  <si>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</si>
  <si>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</si>
  <si>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</si>
  <si>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</si>
  <si>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</si>
  <si>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</si>
  <si>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</si>
  <si>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</si>
  <si>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</si>
  <si>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</si>
  <si>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</si>
  <si>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</si>
  <si>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</si>
  <si>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</si>
  <si>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</si>
  <si>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</si>
  <si>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</si>
  <si>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</si>
  <si>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</si>
  <si>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</si>
  <si>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</si>
  <si>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</si>
  <si>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</si>
  <si>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</si>
  <si>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</si>
  <si>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</si>
  <si>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</si>
  <si>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</si>
  <si>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</si>
  <si>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</si>
  <si>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</si>
  <si>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</si>
  <si>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</si>
  <si>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</si>
  <si>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</si>
  <si>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</si>
  <si>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</si>
  <si>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</si>
  <si>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</si>
  <si>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</si>
  <si>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</si>
  <si>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</si>
  <si>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</si>
  <si>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</si>
  <si>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</si>
  <si>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</si>
  <si>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</si>
  <si>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</si>
  <si>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</si>
  <si>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</si>
  <si>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</si>
  <si>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</si>
  <si>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</si>
  <si>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</si>
  <si>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</si>
  <si>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</si>
  <si>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</si>
  <si>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</si>
  <si>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</si>
  <si>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</si>
  <si>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</si>
  <si>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</si>
  <si>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</si>
  <si>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</si>
  <si>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</si>
  <si>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</si>
  <si>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</si>
  <si>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</si>
  <si>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</si>
  <si>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</si>
  <si>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</si>
  <si>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</si>
  <si>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</si>
  <si>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</si>
  <si>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</si>
  <si>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</si>
  <si>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</si>
  <si>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</si>
  <si>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</si>
  <si>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</si>
  <si>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</si>
  <si>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</si>
  <si>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</si>
  <si>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</si>
  <si>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</si>
  <si>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</si>
  <si>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</si>
  <si>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</si>
  <si>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</si>
  <si>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</si>
  <si>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</si>
  <si>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</si>
  <si>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</si>
  <si>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</si>
  <si>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</si>
  <si>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</si>
  <si>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</si>
  <si>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</si>
  <si>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</si>
  <si>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</si>
  <si>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</si>
  <si>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</si>
  <si>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</si>
  <si>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</si>
  <si>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</si>
  <si>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</si>
  <si>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</si>
  <si>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</si>
  <si>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</si>
  <si>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</si>
  <si>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</si>
  <si>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</si>
  <si>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</si>
  <si>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</si>
  <si>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</si>
  <si>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</si>
  <si>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</si>
  <si>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</si>
  <si>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</si>
  <si>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</si>
  <si>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</si>
  <si>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</si>
  <si>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</si>
  <si>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</si>
  <si>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</si>
  <si>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</si>
  <si>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</si>
  <si>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</si>
  <si>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</si>
  <si>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</si>
  <si>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</si>
  <si>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</si>
  <si>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</si>
  <si>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</si>
  <si>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</si>
  <si>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</si>
  <si>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</si>
  <si>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</si>
  <si>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</si>
  <si>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</si>
  <si>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</si>
  <si>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</si>
  <si>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</si>
  <si>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</si>
  <si>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</si>
  <si>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</si>
  <si>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</si>
  <si>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</si>
  <si>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</si>
  <si>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</si>
  <si>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</si>
  <si>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</si>
  <si>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</si>
  <si>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</si>
  <si>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</si>
  <si>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</si>
  <si>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</si>
  <si>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</si>
  <si>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</si>
  <si>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</si>
  <si>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</si>
  <si>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</si>
  <si>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</si>
  <si>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</si>
  <si>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</si>
  <si>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</si>
  <si>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</si>
  <si>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</si>
  <si>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</si>
  <si>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</si>
  <si>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</si>
  <si>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</si>
  <si>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</si>
  <si>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</si>
  <si>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</si>
  <si>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</si>
  <si>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</si>
  <si>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</si>
  <si>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</si>
  <si>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</si>
  <si>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</si>
  <si>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</si>
  <si>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</si>
  <si>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</si>
  <si>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</si>
  <si>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</si>
  <si>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</si>
  <si>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</si>
  <si>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</si>
  <si>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</si>
  <si>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</si>
  <si>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</si>
  <si>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</si>
  <si>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</si>
  <si>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</si>
  <si>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</si>
  <si>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</si>
  <si>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</si>
  <si>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</si>
  <si>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</si>
  <si>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</si>
  <si>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</si>
  <si>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</si>
  <si>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</si>
  <si>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</si>
  <si>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</si>
  <si>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</si>
  <si>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</si>
  <si>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</si>
  <si>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</si>
  <si>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</si>
  <si>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</si>
  <si>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</si>
  <si>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</si>
  <si>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</si>
  <si>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</si>
  <si>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</si>
  <si>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</si>
  <si>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</si>
  <si>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</si>
  <si>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</si>
  <si>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</si>
  <si>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</si>
  <si>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</si>
  <si>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</si>
  <si>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</si>
  <si>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</si>
  <si>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</si>
  <si>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</si>
  <si>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</si>
  <si>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</si>
  <si>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</si>
  <si>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</si>
  <si>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</si>
  <si>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</si>
  <si>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</si>
  <si>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</si>
  <si>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</si>
  <si>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</si>
  <si>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</si>
  <si>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</si>
  <si>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</si>
  <si>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</si>
  <si>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</si>
  <si>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</si>
  <si>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</si>
  <si>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</si>
  <si>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</si>
  <si>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</si>
  <si>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</si>
  <si>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</si>
  <si>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</si>
  <si>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</si>
  <si>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</si>
  <si>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</si>
  <si>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</si>
  <si>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</si>
  <si>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</si>
  <si>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</si>
  <si>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</si>
  <si>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</si>
  <si>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</si>
  <si>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</si>
  <si>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</si>
  <si>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</si>
  <si>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</si>
  <si>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</si>
  <si>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</si>
  <si>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</si>
  <si>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</si>
  <si>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</si>
  <si>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</si>
  <si>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</si>
  <si>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</si>
  <si>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</si>
  <si>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</si>
  <si>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</si>
  <si>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</si>
  <si>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</si>
  <si>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</si>
  <si>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</si>
  <si>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</si>
  <si>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</si>
  <si>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</si>
  <si>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</si>
  <si>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</si>
  <si>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</si>
  <si>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</si>
  <si>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</si>
  <si>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</si>
  <si>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</si>
  <si>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</si>
  <si>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</si>
  <si>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</si>
  <si>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</si>
  <si>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</si>
  <si>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</si>
  <si>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</si>
  <si>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</si>
  <si>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</si>
  <si>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</si>
  <si>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</si>
  <si>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</si>
  <si>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</si>
  <si>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</si>
  <si>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</si>
  <si>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</si>
  <si>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</si>
  <si>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</si>
  <si>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</si>
  <si>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</si>
  <si>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</si>
  <si>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</si>
  <si>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</si>
  <si>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</si>
  <si>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</si>
  <si>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</si>
  <si>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</si>
  <si>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</si>
  <si>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</si>
  <si>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</si>
  <si>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</si>
  <si>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</si>
  <si>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</si>
  <si>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</si>
  <si>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</si>
  <si>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</si>
  <si>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</si>
  <si>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</si>
  <si>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</si>
  <si>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</si>
  <si>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</si>
  <si>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</si>
  <si>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</si>
  <si>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</si>
  <si>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</si>
  <si>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</si>
  <si>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</si>
  <si>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</si>
  <si>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</si>
  <si>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</si>
  <si>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</si>
  <si>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</si>
  <si>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</si>
  <si>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</si>
  <si>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</si>
  <si>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</si>
  <si>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</si>
  <si>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</si>
  <si>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</si>
  <si>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</si>
  <si>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</si>
  <si>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</si>
  <si>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</si>
  <si>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</si>
  <si>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</si>
  <si>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</si>
  <si>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</si>
  <si>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</si>
  <si>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</si>
  <si>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</si>
  <si>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</si>
  <si>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</si>
  <si>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</si>
  <si>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</si>
  <si>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</si>
  <si>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</si>
  <si>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</si>
  <si>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</si>
  <si>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</si>
  <si>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</si>
  <si>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</si>
  <si>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</si>
  <si>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</si>
  <si>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</si>
  <si>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</si>
  <si>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</si>
  <si>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</si>
  <si>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</si>
  <si>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</si>
  <si>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</si>
  <si>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</si>
  <si>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</si>
  <si>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</si>
  <si>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</si>
  <si>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</si>
  <si>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</si>
  <si>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</si>
  <si>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</si>
  <si>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</si>
  <si>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</si>
  <si>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</si>
  <si>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</si>
  <si>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</si>
  <si>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</si>
  <si>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</si>
  <si>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</si>
  <si>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</si>
  <si>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</si>
  <si>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</si>
  <si>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</si>
  <si>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</si>
  <si>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</si>
  <si>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</si>
  <si>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</si>
  <si>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</si>
  <si>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</si>
  <si>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</si>
  <si>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</si>
  <si>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</si>
  <si>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</si>
  <si>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</si>
  <si>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</si>
  <si>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</si>
  <si>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</si>
  <si>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</si>
  <si>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</si>
  <si>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</si>
  <si>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</si>
  <si>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</si>
  <si>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</si>
  <si>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</si>
  <si>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</si>
  <si>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</si>
  <si>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</si>
  <si>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</si>
  <si>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</si>
  <si>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</si>
  <si>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</si>
  <si>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</si>
  <si>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</si>
  <si>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</si>
  <si>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</si>
  <si>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</si>
  <si>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</si>
  <si>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</si>
  <si>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</si>
  <si>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</si>
  <si>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</si>
  <si>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</si>
  <si>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</si>
  <si>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</si>
  <si>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</si>
  <si>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</si>
  <si>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</si>
  <si>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</si>
  <si>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</si>
  <si>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</si>
  <si>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</si>
  <si>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</si>
  <si>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</si>
  <si>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</si>
  <si>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</si>
  <si>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</si>
  <si>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</si>
  <si>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</si>
  <si>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</si>
  <si>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</si>
  <si>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</si>
  <si>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</si>
  <si>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</si>
  <si>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</si>
  <si>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</si>
  <si>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</si>
  <si>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</si>
  <si>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</si>
  <si>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</si>
  <si>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</si>
  <si>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</si>
  <si>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</si>
  <si>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</si>
  <si>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</si>
  <si>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</si>
  <si>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</si>
  <si>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</si>
  <si>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</si>
  <si>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</si>
  <si>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</si>
  <si>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</si>
  <si>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</si>
  <si>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</si>
  <si>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</si>
  <si>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</si>
  <si>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</si>
  <si>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</si>
  <si>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</si>
  <si>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</si>
  <si>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</si>
  <si>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</si>
  <si>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</si>
  <si>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</si>
  <si>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</si>
  <si>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</si>
  <si>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</si>
  <si>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</si>
  <si>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</si>
  <si>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</si>
  <si>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</si>
  <si>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</si>
  <si>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</si>
  <si>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</si>
  <si>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</si>
  <si>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</si>
  <si>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</si>
  <si>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</si>
  <si>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</si>
  <si>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</si>
  <si>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</si>
  <si>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</si>
  <si>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</si>
  <si>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</si>
  <si>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</si>
  <si>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</si>
  <si>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</si>
  <si>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</si>
  <si>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</si>
  <si>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</si>
  <si>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</si>
  <si>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</si>
  <si>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</si>
  <si>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</si>
  <si>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</si>
  <si>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</si>
  <si>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</si>
  <si>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</si>
  <si>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</si>
  <si>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</si>
  <si>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</si>
  <si>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</si>
  <si>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</si>
  <si>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</si>
  <si>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</si>
  <si>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</si>
  <si>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</si>
  <si>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</si>
  <si>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</si>
  <si>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</si>
  <si>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</si>
  <si>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</si>
  <si>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</si>
  <si>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</si>
  <si>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</si>
  <si>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</si>
  <si>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</si>
  <si>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</si>
  <si>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</si>
  <si>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</si>
  <si>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</si>
  <si>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</si>
  <si>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</si>
  <si>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</si>
  <si>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</si>
  <si>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</si>
  <si>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</si>
  <si>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</si>
  <si>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</si>
  <si>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</si>
  <si>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</si>
  <si>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</si>
  <si>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</si>
  <si>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</si>
  <si>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</si>
  <si>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</si>
  <si>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</si>
  <si>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</si>
  <si>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</si>
  <si>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</si>
  <si>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</si>
  <si>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</si>
  <si>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</si>
  <si>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</si>
  <si>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</si>
  <si>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</si>
  <si>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</si>
  <si>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</si>
  <si>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</si>
  <si>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</si>
  <si>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</si>
  <si>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</si>
  <si>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</si>
  <si>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</si>
  <si>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</si>
  <si>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</si>
  <si>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</si>
  <si>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</si>
  <si>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</si>
  <si>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</si>
  <si>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</si>
  <si>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</si>
  <si>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</si>
  <si>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</si>
  <si>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</si>
  <si>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</si>
  <si>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</si>
  <si>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</si>
  <si>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</si>
  <si>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</si>
  <si>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</si>
  <si>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</si>
  <si>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</si>
  <si>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</si>
  <si>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</si>
  <si>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</si>
  <si>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</si>
  <si>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</si>
  <si>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</si>
  <si>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</si>
  <si>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</si>
  <si>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</si>
  <si>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</si>
  <si>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</si>
  <si>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</si>
  <si>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</si>
  <si>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</si>
  <si>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</si>
  <si>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</si>
  <si>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</si>
  <si>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</si>
  <si>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</si>
  <si>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</si>
  <si>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</si>
  <si>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</si>
  <si>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</si>
  <si>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</si>
  <si>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</si>
  <si>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</si>
  <si>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</si>
  <si>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</si>
  <si>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</si>
  <si>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</si>
  <si>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</si>
  <si>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</si>
  <si>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</si>
  <si>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</si>
  <si>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</si>
  <si>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</si>
  <si>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</si>
  <si>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</si>
  <si>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</si>
  <si>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</si>
  <si>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</si>
  <si>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</si>
  <si>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</si>
  <si>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</si>
  <si>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</si>
  <si>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</si>
  <si>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</si>
  <si>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</si>
  <si>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</si>
  <si>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</si>
  <si>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</si>
  <si>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</si>
  <si>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</si>
  <si>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</si>
  <si>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</si>
  <si>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</si>
  <si>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</si>
  <si>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</si>
  <si>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</si>
  <si>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</si>
  <si>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</si>
  <si>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</si>
  <si>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</si>
  <si>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</si>
  <si>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</si>
  <si>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</si>
  <si>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</si>
  <si>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</si>
  <si>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</si>
  <si>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</si>
  <si>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</si>
  <si>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</si>
  <si>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</si>
  <si>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</si>
  <si>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</si>
  <si>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</si>
  <si>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</si>
  <si>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</si>
  <si>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</si>
  <si>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</si>
  <si>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</si>
  <si>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</si>
  <si>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</si>
  <si>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</si>
  <si>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</si>
  <si>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</si>
  <si>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</si>
  <si>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</si>
  <si>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</si>
  <si>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</si>
  <si>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</si>
  <si>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</si>
  <si>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</si>
  <si>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</si>
  <si>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</si>
  <si>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</si>
  <si>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</si>
  <si>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</si>
  <si>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</si>
  <si>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</si>
  <si>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</si>
  <si>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</si>
  <si>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</si>
  <si>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</si>
  <si>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</si>
  <si>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</si>
  <si>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</si>
  <si>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</si>
  <si>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</si>
  <si>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</si>
  <si>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</si>
  <si>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</si>
  <si>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</si>
  <si>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</si>
  <si>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</si>
  <si>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</si>
  <si>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</si>
  <si>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</si>
  <si>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</si>
  <si>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</si>
  <si>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</si>
  <si>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</si>
  <si>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</si>
  <si>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</si>
  <si>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</si>
  <si>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</si>
  <si>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</si>
  <si>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</si>
  <si>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</si>
  <si>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</si>
  <si>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</si>
  <si>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</si>
  <si>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</si>
  <si>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</si>
  <si>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</si>
  <si>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</si>
  <si>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</si>
  <si>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</si>
  <si>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</si>
  <si>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</si>
  <si>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</si>
  <si>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</si>
  <si>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</si>
  <si>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</si>
  <si>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</si>
  <si>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</si>
  <si>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</si>
  <si>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</si>
  <si>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</si>
  <si>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</si>
  <si>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</si>
  <si>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</si>
  <si>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</si>
  <si>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</si>
  <si>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</si>
  <si>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</si>
  <si>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</si>
  <si>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</si>
  <si>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</si>
  <si>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</si>
  <si>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</si>
  <si>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</si>
  <si>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</si>
  <si>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</si>
  <si>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</si>
  <si>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</si>
  <si>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</si>
  <si>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</si>
  <si>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</si>
  <si>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</si>
  <si>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</si>
  <si>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</si>
  <si>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</si>
  <si>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</si>
  <si>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</si>
  <si>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</si>
  <si>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</si>
  <si>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</si>
  <si>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</si>
  <si>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</si>
  <si>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</si>
  <si>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</si>
  <si>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</si>
  <si>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</si>
  <si>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</si>
  <si>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</si>
  <si>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</si>
  <si>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</si>
  <si>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</si>
  <si>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</si>
  <si>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</si>
  <si>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</si>
  <si>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</si>
  <si>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</si>
  <si>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</si>
  <si>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</si>
  <si>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</si>
  <si>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</si>
  <si>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</si>
  <si>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</si>
  <si>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</si>
  <si>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</si>
  <si>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</si>
  <si>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</si>
  <si>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</si>
  <si>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</si>
  <si>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</si>
  <si>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</si>
  <si>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</si>
  <si>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</si>
  <si>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</si>
  <si>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</si>
  <si>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</si>
  <si>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</si>
  <si>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</si>
  <si>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</si>
  <si>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</si>
  <si>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</si>
  <si>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</si>
  <si>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</si>
  <si>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</si>
  <si>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</si>
  <si>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</si>
  <si>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</si>
  <si>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</si>
  <si>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</si>
  <si>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</si>
  <si>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</si>
  <si>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</si>
  <si>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</si>
  <si>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</si>
  <si>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</si>
  <si>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</si>
  <si>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</si>
  <si>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</si>
  <si>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</si>
  <si>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</si>
  <si>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</si>
  <si>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</si>
  <si>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</si>
  <si>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</si>
  <si>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</si>
  <si>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</si>
  <si>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</si>
  <si>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</si>
  <si>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</si>
  <si>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</si>
  <si>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</si>
  <si>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</si>
  <si>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</si>
  <si>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</si>
  <si>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</si>
  <si>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</si>
  <si>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</si>
  <si>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</si>
  <si>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</si>
  <si>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</si>
  <si>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</si>
  <si>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</si>
  <si>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</si>
  <si>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</si>
  <si>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</si>
  <si>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</si>
  <si>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</si>
  <si>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</si>
  <si>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</si>
  <si>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</si>
  <si>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</si>
  <si>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</si>
  <si>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</si>
  <si>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</si>
  <si>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</si>
  <si>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</si>
  <si>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</si>
  <si>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</si>
  <si>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</si>
  <si>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</si>
  <si>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</si>
  <si>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</si>
  <si>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</si>
  <si>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</si>
  <si>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</si>
  <si>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</si>
  <si>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</si>
  <si>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</si>
  <si>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</si>
  <si>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</si>
  <si>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</si>
  <si>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</si>
  <si>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</si>
  <si>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</si>
  <si>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</si>
  <si>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</si>
  <si>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</si>
  <si>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</si>
  <si>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</si>
  <si>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</si>
  <si>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</si>
  <si>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</si>
  <si>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</si>
  <si>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</si>
  <si>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</si>
  <si>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</si>
  <si>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</si>
  <si>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</si>
  <si>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</si>
  <si>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</si>
  <si>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</si>
  <si>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</si>
  <si>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</si>
  <si>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</si>
  <si>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</si>
  <si>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</si>
  <si>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</si>
  <si>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</si>
  <si>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</si>
  <si>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</si>
  <si>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</si>
  <si>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</si>
  <si>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</si>
  <si>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</si>
  <si>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</si>
  <si>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</si>
  <si>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</si>
  <si>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</si>
  <si>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</si>
  <si>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</si>
  <si>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</si>
  <si>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</si>
  <si>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</si>
  <si>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</si>
  <si>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</si>
  <si>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</si>
  <si>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</si>
  <si>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</si>
  <si>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</si>
  <si>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</si>
  <si>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</si>
  <si>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</si>
  <si>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</si>
  <si>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</si>
  <si>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</si>
  <si>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</si>
  <si>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</si>
  <si>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</si>
  <si>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</si>
  <si>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</si>
  <si>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</si>
  <si>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</si>
  <si>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</si>
  <si>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</si>
  <si>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</si>
  <si>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</si>
  <si>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</si>
  <si>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</si>
  <si>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</si>
  <si>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</si>
  <si>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</si>
  <si>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</si>
  <si>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</si>
  <si>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</si>
  <si>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</si>
  <si>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</si>
  <si>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</si>
  <si>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</si>
  <si>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</si>
  <si>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</si>
  <si>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</si>
  <si>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</si>
  <si>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</si>
  <si>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</si>
  <si>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</si>
  <si>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</si>
  <si>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</si>
  <si>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</si>
  <si>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</si>
  <si>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</si>
  <si>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</si>
  <si>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</si>
  <si>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</si>
  <si>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</si>
  <si>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</si>
  <si>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</si>
  <si>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</si>
  <si>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</si>
  <si>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</si>
  <si>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</si>
  <si>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</si>
  <si>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</si>
  <si>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</si>
  <si>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</si>
  <si>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</si>
  <si>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</si>
  <si>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</si>
  <si>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</si>
  <si>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</si>
  <si>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</si>
  <si>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</si>
  <si>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</si>
  <si>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</si>
  <si>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</si>
  <si>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</si>
  <si>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</si>
  <si>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</si>
  <si>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</si>
  <si>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</si>
  <si>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</si>
  <si>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</si>
  <si>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</si>
  <si>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</si>
  <si>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</si>
  <si>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</si>
  <si>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</si>
  <si>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</si>
  <si>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</si>
  <si>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</si>
  <si>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</si>
  <si>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</si>
  <si>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</si>
  <si>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</si>
  <si>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</si>
  <si>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</si>
  <si>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</si>
  <si>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</si>
  <si>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</si>
  <si>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</si>
  <si>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</si>
  <si>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</si>
  <si>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</si>
  <si>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</si>
  <si>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</si>
  <si>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</si>
  <si>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</si>
  <si>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</si>
  <si>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</si>
  <si>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</si>
  <si>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</si>
  <si>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</si>
  <si>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</si>
  <si>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</si>
  <si>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</si>
  <si>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</si>
  <si>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</si>
  <si>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</si>
  <si>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</si>
  <si>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</si>
  <si>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</si>
  <si>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</si>
  <si>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</si>
  <si>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</si>
  <si>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</si>
  <si>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</si>
  <si>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</si>
  <si>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</si>
  <si>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</si>
  <si>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</si>
  <si>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</si>
  <si>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</si>
  <si>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</si>
  <si>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</si>
  <si>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</si>
  <si>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</si>
  <si>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</si>
  <si>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</si>
  <si>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</si>
  <si>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</si>
  <si>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</si>
  <si>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</si>
  <si>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</si>
  <si>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</si>
  <si>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</si>
  <si>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</si>
  <si>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</si>
  <si>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</si>
  <si>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</si>
  <si>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</si>
  <si>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</si>
  <si>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</si>
  <si>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</si>
  <si>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</si>
  <si>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</si>
  <si>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</si>
  <si>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</si>
  <si>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</si>
  <si>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</si>
  <si>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</si>
  <si>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</si>
  <si>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</si>
  <si>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</si>
  <si>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</si>
  <si>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</si>
  <si>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</si>
  <si>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</si>
  <si>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</si>
  <si>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</si>
  <si>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</si>
  <si>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</si>
  <si>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</si>
  <si>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</si>
  <si>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</si>
  <si>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</si>
  <si>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</si>
  <si>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</si>
  <si>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</si>
  <si>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</si>
  <si>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</si>
  <si>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</si>
  <si>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</si>
  <si>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</si>
  <si>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</si>
  <si>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</si>
  <si>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</si>
  <si>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</si>
  <si>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</si>
  <si>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</si>
  <si>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</si>
  <si>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</si>
  <si>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</si>
  <si>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</si>
  <si>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</si>
  <si>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</si>
  <si>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</si>
  <si>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</si>
  <si>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</si>
  <si>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</si>
  <si>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</si>
  <si>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</si>
  <si>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</si>
  <si>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</si>
  <si>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</si>
  <si>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</si>
  <si>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</si>
  <si>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</si>
  <si>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</si>
  <si>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</si>
  <si>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</si>
  <si>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</si>
  <si>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</si>
  <si>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</si>
  <si>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</si>
  <si>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</si>
  <si>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</si>
  <si>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</si>
  <si>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</si>
  <si>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</si>
  <si>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</si>
  <si>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</si>
  <si>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</si>
  <si>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</si>
  <si>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</si>
  <si>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</si>
  <si>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</si>
  <si>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</si>
  <si>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</si>
  <si>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</si>
  <si>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</si>
  <si>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</si>
  <si>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</si>
  <si>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</si>
  <si>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</si>
  <si>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</si>
  <si>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</si>
  <si>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</si>
  <si>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</si>
  <si>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</si>
  <si>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</si>
  <si>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</si>
  <si>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</si>
  <si>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</si>
  <si>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</si>
  <si>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</si>
  <si>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</si>
  <si>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</si>
  <si>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</si>
  <si>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</si>
  <si>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</si>
  <si>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</si>
  <si>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</si>
  <si>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</si>
  <si>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</si>
  <si>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</si>
  <si>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</si>
  <si>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</si>
  <si>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</si>
  <si>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</si>
  <si>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</si>
  <si>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</si>
  <si>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</si>
  <si>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</si>
  <si>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</si>
  <si>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</si>
  <si>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</si>
  <si>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</si>
  <si>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</si>
  <si>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</si>
  <si>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</si>
  <si>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</si>
  <si>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</si>
  <si>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</si>
  <si>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</si>
  <si>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</si>
  <si>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</si>
  <si>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</si>
  <si>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</si>
  <si>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</si>
  <si>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</si>
  <si>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</si>
  <si>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</si>
  <si>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</si>
  <si>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</si>
  <si>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</si>
  <si>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</si>
  <si>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</si>
  <si>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</si>
  <si>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</si>
  <si>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</si>
  <si>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</si>
  <si>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</si>
  <si>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</si>
  <si>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</si>
  <si>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</si>
  <si>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</si>
  <si>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</si>
  <si>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</si>
  <si>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</si>
  <si>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</si>
  <si>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</si>
  <si>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</si>
  <si>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</si>
  <si>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</si>
  <si>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</si>
  <si>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</si>
  <si>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</si>
  <si>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</si>
  <si>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</si>
  <si>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</si>
  <si>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</si>
  <si>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</si>
  <si>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</si>
  <si>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</si>
  <si>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</si>
  <si>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</si>
  <si>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</si>
  <si>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</si>
  <si>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</si>
  <si>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</si>
  <si>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</si>
  <si>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</si>
  <si>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</si>
  <si>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</si>
  <si>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</si>
  <si>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</si>
  <si>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</si>
  <si>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</si>
  <si>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</si>
  <si>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</si>
  <si>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</si>
  <si>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</si>
  <si>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</si>
  <si>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</si>
  <si>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</si>
  <si>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</si>
  <si>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</si>
  <si>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</si>
  <si>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</si>
  <si>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</si>
  <si>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</si>
  <si>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</si>
  <si>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</si>
  <si>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</si>
  <si>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</si>
  <si>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</si>
  <si>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</si>
  <si>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</si>
  <si>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</si>
  <si>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</si>
  <si>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</si>
  <si>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</si>
  <si>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</si>
  <si>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</si>
  <si>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</si>
  <si>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</si>
  <si>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</si>
  <si>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</si>
  <si>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</si>
  <si>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</si>
  <si>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</si>
  <si>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</si>
  <si>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</si>
  <si>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</si>
  <si>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</si>
  <si>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</si>
  <si>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</si>
  <si>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</si>
  <si>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</si>
  <si>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</si>
  <si>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</si>
  <si>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</si>
  <si>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</si>
  <si>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</si>
  <si>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</si>
  <si>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</si>
  <si>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</si>
  <si>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</si>
  <si>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</si>
  <si>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</si>
  <si>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</si>
  <si>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</si>
  <si>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</si>
  <si>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</si>
  <si>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</si>
  <si>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</si>
  <si>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</si>
  <si>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</si>
  <si>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</si>
  <si>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</si>
  <si>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</si>
  <si>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</si>
  <si>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</si>
  <si>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</si>
  <si>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</si>
  <si>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</si>
  <si>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</si>
  <si>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</si>
  <si>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</si>
  <si>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</si>
  <si>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</si>
  <si>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</si>
  <si>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</si>
  <si>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</si>
  <si>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</si>
  <si>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</si>
  <si>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</si>
  <si>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</si>
  <si>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</si>
  <si>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</si>
  <si>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</si>
  <si>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</si>
  <si>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</si>
  <si>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</si>
  <si>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</si>
  <si>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</si>
  <si>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</si>
  <si>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</si>
  <si>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</si>
  <si>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</si>
  <si>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</si>
  <si>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</si>
  <si>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</si>
  <si>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</si>
  <si>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</si>
  <si>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</si>
  <si>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</si>
  <si>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</si>
  <si>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</si>
  <si>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</si>
  <si>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</si>
  <si>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</si>
  <si>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</si>
  <si>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</si>
  <si>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</si>
  <si>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</si>
  <si>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</si>
  <si>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</si>
  <si>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</si>
  <si>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</si>
  <si>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</si>
  <si>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</si>
  <si>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</si>
  <si>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</si>
  <si>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</si>
  <si>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</si>
  <si>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</si>
  <si>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</si>
  <si>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</si>
  <si>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</si>
  <si>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</si>
  <si>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</si>
  <si>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</si>
  <si>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</si>
  <si>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</si>
  <si>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</si>
  <si>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</si>
  <si>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</si>
  <si>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</si>
  <si>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</si>
  <si>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</si>
  <si>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</si>
  <si>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</si>
  <si>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</si>
  <si>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</si>
  <si>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</si>
  <si>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</si>
  <si>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</si>
  <si>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</si>
  <si>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</si>
  <si>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</si>
  <si>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</si>
  <si>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</si>
  <si>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</si>
  <si>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</si>
  <si>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</si>
  <si>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</si>
  <si>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</si>
  <si>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</si>
  <si>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</si>
  <si>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</si>
  <si>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</si>
  <si>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</si>
  <si>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</si>
  <si>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</si>
  <si>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</si>
  <si>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</si>
  <si>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</si>
  <si>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</si>
  <si>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</si>
  <si>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</si>
  <si>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</si>
  <si>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</si>
  <si>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</si>
  <si>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</si>
  <si>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</si>
  <si>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</si>
  <si>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</si>
  <si>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</si>
  <si>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</si>
  <si>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</si>
  <si>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</si>
  <si>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</si>
  <si>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</si>
  <si>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</si>
  <si>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</si>
  <si>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</si>
  <si>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</si>
  <si>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</si>
  <si>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</si>
  <si>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</si>
  <si>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</si>
  <si>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</si>
  <si>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</si>
  <si>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</si>
  <si>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</si>
  <si>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</si>
  <si>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</si>
  <si>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</si>
  <si>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</si>
  <si>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</si>
  <si>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</si>
  <si>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</si>
  <si>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</si>
  <si>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</si>
  <si>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</si>
  <si>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</si>
  <si>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</si>
  <si>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</si>
  <si>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</si>
  <si>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</si>
  <si>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</si>
  <si>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</si>
  <si>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</si>
  <si>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</si>
  <si>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</si>
  <si>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</si>
  <si>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</si>
  <si>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</si>
  <si>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</si>
  <si>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</si>
  <si>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</si>
  <si>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</si>
  <si>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</si>
  <si>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</si>
  <si>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</si>
  <si>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</si>
  <si>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</si>
  <si>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</si>
  <si>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</si>
  <si>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</si>
  <si>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</si>
  <si>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</si>
  <si>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</si>
  <si>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</si>
  <si>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</si>
  <si>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</si>
  <si>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</si>
  <si>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</si>
  <si>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</si>
  <si>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</si>
  <si>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</si>
  <si>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</si>
  <si>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</si>
  <si>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</si>
  <si>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</si>
  <si>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</si>
  <si>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</si>
  <si>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</si>
  <si>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</si>
  <si>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</si>
  <si>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</si>
  <si>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</si>
  <si>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</si>
  <si>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</si>
  <si>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</si>
  <si>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</si>
  <si>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</si>
  <si>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</si>
  <si>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</si>
  <si>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</si>
  <si>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</si>
  <si>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</si>
  <si>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</si>
  <si>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</si>
  <si>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</si>
  <si>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</si>
  <si>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</si>
  <si>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</si>
  <si>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</si>
  <si>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</si>
  <si>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</si>
  <si>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</si>
  <si>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</si>
  <si>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</si>
  <si>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</si>
  <si>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</si>
  <si>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</si>
  <si>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</si>
  <si>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</si>
  <si>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</si>
  <si>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</si>
  <si>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</si>
  <si>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</si>
  <si>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</si>
  <si>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</si>
  <si>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</si>
  <si>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</si>
  <si>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</si>
  <si>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</si>
  <si>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</si>
  <si>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</si>
  <si>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</si>
  <si>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</si>
  <si>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</si>
  <si>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</si>
  <si>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</si>
  <si>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</si>
  <si>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</si>
  <si>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</si>
  <si>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</si>
  <si>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</si>
  <si>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</si>
  <si>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</si>
  <si>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</si>
  <si>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</si>
  <si>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</si>
  <si>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</si>
  <si>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</si>
  <si>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</si>
  <si>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</si>
  <si>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</si>
  <si>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</si>
  <si>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</si>
  <si>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</si>
  <si>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</si>
  <si>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</si>
  <si>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</si>
  <si>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</si>
  <si>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</si>
  <si>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</si>
  <si>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</si>
  <si>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</si>
  <si>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</si>
  <si>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</si>
  <si>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</si>
  <si>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</si>
  <si>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</si>
  <si>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</si>
  <si>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</si>
  <si>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</si>
  <si>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</si>
  <si>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</si>
  <si>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</si>
  <si>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</si>
  <si>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</si>
  <si>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</si>
  <si>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</si>
  <si>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</si>
  <si>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</si>
  <si>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</si>
  <si>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</si>
  <si>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</si>
  <si>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</si>
  <si>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</si>
  <si>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</si>
  <si>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</si>
  <si>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</si>
  <si>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</si>
  <si>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</si>
  <si>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</si>
  <si>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</si>
  <si>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</si>
  <si>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</si>
  <si>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</si>
  <si>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</si>
  <si>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</si>
  <si>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</si>
  <si>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</si>
  <si>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</si>
  <si>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</si>
  <si>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</si>
  <si>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</si>
  <si>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</si>
  <si>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</si>
  <si>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</si>
  <si>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</si>
  <si>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</si>
  <si>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</si>
  <si>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</si>
  <si>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</si>
  <si>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</si>
  <si>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</si>
  <si>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</si>
  <si>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</si>
  <si>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</si>
  <si>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</si>
  <si>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</si>
  <si>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</si>
  <si>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</si>
  <si>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</si>
  <si>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</si>
  <si>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</si>
  <si>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</si>
  <si>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</si>
  <si>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</si>
  <si>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</si>
  <si>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</si>
  <si>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</si>
  <si>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</si>
  <si>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</si>
  <si>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</si>
  <si>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</si>
  <si>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</si>
  <si>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</si>
  <si>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</si>
  <si>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</si>
  <si>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</si>
  <si>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</si>
  <si>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</si>
  <si>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</si>
  <si>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</si>
  <si>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</si>
  <si>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</si>
  <si>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</si>
  <si>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</si>
  <si>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</si>
  <si>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</si>
  <si>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</si>
  <si>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</si>
  <si>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</si>
  <si>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</si>
  <si>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</si>
  <si>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</si>
  <si>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</si>
  <si>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</si>
  <si>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</si>
  <si>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</si>
  <si>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</si>
  <si>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</si>
  <si>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</si>
  <si>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</si>
  <si>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</si>
  <si>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</si>
  <si>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</si>
  <si>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</si>
  <si>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</si>
  <si>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</si>
  <si>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</si>
  <si>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</si>
  <si>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</si>
  <si>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</si>
  <si>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</si>
  <si>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</si>
  <si>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</si>
  <si>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</si>
  <si>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</si>
  <si>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</si>
  <si>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</si>
  <si>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</si>
  <si>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</si>
  <si>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</si>
  <si>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</si>
  <si>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</si>
  <si>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</si>
  <si>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</si>
  <si>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</si>
  <si>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</si>
  <si>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</si>
  <si>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</si>
  <si>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</si>
  <si>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</si>
  <si>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</si>
  <si>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</si>
  <si>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</si>
  <si>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</si>
  <si>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</si>
  <si>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</si>
  <si>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</si>
  <si>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</si>
  <si>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</si>
  <si>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</si>
  <si>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</si>
  <si>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</si>
  <si>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</si>
  <si>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</si>
  <si>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</si>
  <si>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</si>
  <si>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</si>
  <si>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</si>
  <si>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</si>
  <si>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</si>
  <si>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</si>
  <si>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</si>
  <si>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</si>
  <si>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</si>
  <si>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</si>
  <si>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</si>
  <si>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</si>
  <si>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</si>
  <si>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</si>
  <si>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</si>
  <si>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</si>
  <si>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</si>
  <si>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</si>
  <si>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</si>
  <si>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</si>
  <si>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</si>
  <si>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</si>
  <si>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</si>
  <si>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</si>
  <si>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</si>
  <si>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</si>
  <si>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</si>
  <si>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</si>
  <si>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</si>
  <si>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</si>
  <si>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</si>
  <si>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</si>
  <si>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</si>
  <si>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</si>
  <si>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</si>
  <si>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</si>
  <si>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</si>
  <si>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</si>
  <si>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</si>
  <si>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</si>
  <si>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</si>
  <si>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</si>
  <si>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</si>
  <si>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</si>
  <si>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</si>
  <si>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</si>
  <si>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</si>
  <si>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</si>
  <si>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</si>
  <si>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</si>
  <si>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</si>
  <si>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</si>
  <si>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</si>
  <si>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</si>
  <si>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</si>
  <si>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</si>
  <si>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</si>
  <si>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</si>
  <si>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</si>
  <si>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</si>
  <si>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</si>
  <si>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</si>
  <si>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</si>
  <si>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</si>
  <si>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</si>
  <si>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</si>
  <si>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</si>
  <si>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</si>
  <si>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</si>
  <si>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</si>
  <si>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</si>
  <si>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</si>
  <si>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</si>
  <si>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</si>
  <si>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</si>
  <si>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</si>
  <si>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</si>
  <si>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</si>
  <si>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</si>
  <si>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</si>
  <si>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</si>
  <si>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</si>
  <si>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</si>
  <si>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</si>
  <si>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</si>
  <si>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</si>
  <si>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</si>
  <si>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</si>
  <si>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</si>
  <si>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</si>
  <si>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</si>
  <si>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</si>
  <si>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</si>
  <si>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</si>
  <si>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</si>
  <si>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</si>
  <si>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</si>
  <si>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</si>
  <si>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</si>
  <si>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</si>
  <si>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</si>
  <si>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</si>
  <si>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</si>
  <si>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</si>
  <si>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</si>
  <si>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</si>
  <si>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</si>
  <si>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</si>
  <si>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</si>
  <si>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</si>
  <si>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</si>
  <si>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</si>
  <si>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</si>
  <si>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</si>
  <si>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</si>
  <si>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</si>
  <si>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</si>
  <si>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</si>
  <si>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</si>
  <si>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</si>
  <si>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</si>
  <si>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</si>
  <si>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</si>
  <si>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</si>
  <si>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</si>
  <si>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</si>
  <si>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</si>
  <si>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</si>
  <si>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</si>
  <si>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</si>
  <si>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</si>
  <si>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</si>
  <si>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</si>
  <si>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</si>
  <si>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</si>
  <si>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</si>
  <si>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</si>
  <si>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</si>
  <si>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</si>
  <si>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</si>
  <si>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</si>
  <si>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</si>
  <si>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</si>
  <si>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</si>
  <si>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</si>
  <si>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</si>
  <si>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</si>
  <si>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</si>
  <si>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</si>
  <si>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</si>
  <si>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</si>
  <si>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</si>
  <si>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</si>
  <si>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</si>
  <si>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</si>
  <si>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</si>
  <si>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</si>
  <si>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</si>
  <si>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</si>
  <si>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</si>
  <si>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</si>
  <si>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</si>
  <si>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</si>
  <si>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</si>
  <si>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</si>
  <si>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</si>
  <si>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</si>
  <si>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</si>
  <si>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</si>
  <si>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</si>
  <si>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</si>
  <si>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</si>
  <si>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</si>
  <si>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</si>
  <si>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</si>
  <si>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</si>
  <si>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</si>
  <si>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</si>
  <si>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</si>
  <si>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</si>
  <si>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</si>
  <si>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</si>
  <si>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</si>
  <si>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</si>
  <si>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</si>
  <si>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</si>
  <si>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</si>
  <si>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</si>
  <si>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</si>
  <si>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</si>
  <si>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</si>
  <si>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</si>
  <si>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</si>
  <si>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</si>
  <si>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</si>
  <si>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</si>
  <si>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</si>
  <si>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</si>
  <si>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</si>
  <si>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</si>
  <si>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</si>
  <si>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</si>
  <si>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</si>
  <si>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</si>
  <si>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</si>
  <si>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</si>
  <si>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</si>
  <si>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</si>
  <si>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</si>
  <si>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</si>
  <si>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</si>
  <si>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</si>
  <si>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</si>
  <si>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</si>
  <si>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</si>
  <si>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</si>
  <si>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</si>
  <si>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</si>
  <si>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</si>
  <si>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</si>
  <si>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</si>
  <si>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</si>
  <si>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</si>
  <si>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</si>
  <si>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</si>
  <si>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</si>
  <si>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</si>
  <si>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</si>
  <si>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</si>
  <si>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</si>
  <si>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</si>
  <si>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</si>
  <si>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</si>
  <si>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</si>
  <si>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</si>
  <si>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</si>
  <si>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</si>
  <si>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</si>
  <si>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</si>
  <si>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</si>
  <si>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</si>
  <si>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</si>
  <si>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</si>
  <si>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</si>
  <si>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</si>
  <si>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</si>
  <si>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</si>
  <si>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</si>
  <si>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</si>
  <si>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</si>
  <si>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</si>
  <si>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</si>
  <si>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</si>
  <si>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</si>
  <si>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</si>
  <si>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</si>
  <si>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</si>
  <si>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</si>
  <si>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</si>
  <si>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</si>
  <si>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</si>
  <si>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</si>
  <si>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</si>
  <si>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</si>
  <si>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</si>
  <si>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</si>
  <si>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</si>
  <si>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</si>
  <si>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</si>
  <si>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</si>
  <si>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</si>
  <si>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</si>
  <si>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</si>
  <si>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</si>
  <si>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</si>
  <si>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</si>
  <si>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</si>
  <si>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</si>
  <si>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</si>
  <si>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</si>
  <si>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</si>
  <si>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</si>
  <si>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</si>
  <si>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</si>
  <si>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</si>
  <si>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</si>
  <si>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</si>
  <si>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</si>
  <si>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</si>
  <si>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</si>
  <si>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</si>
  <si>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</si>
  <si>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</si>
  <si>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</si>
  <si>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</si>
  <si>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</si>
  <si>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</si>
  <si>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</si>
  <si>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</si>
  <si>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</si>
  <si>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</si>
  <si>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</si>
  <si>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</si>
  <si>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</si>
  <si>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</si>
  <si>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</si>
  <si>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</si>
  <si>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</si>
  <si>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</si>
  <si>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</si>
  <si>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</si>
  <si>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</si>
  <si>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</si>
  <si>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</si>
  <si>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</si>
  <si>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</si>
  <si>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</si>
  <si>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</si>
  <si>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</si>
  <si>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</si>
  <si>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</si>
  <si>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</si>
  <si>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</si>
  <si>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</si>
  <si>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</si>
  <si>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</si>
  <si>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</si>
  <si>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</si>
  <si>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</si>
  <si>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</si>
  <si>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</si>
  <si>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</si>
  <si>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</si>
  <si>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</si>
  <si>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</si>
  <si>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</si>
  <si>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</si>
  <si>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</si>
  <si>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</si>
  <si>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</si>
  <si>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</si>
  <si>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</si>
  <si>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</si>
  <si>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</si>
  <si>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</si>
  <si>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</si>
  <si>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</si>
  <si>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</si>
  <si>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</si>
  <si>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</si>
  <si>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</si>
  <si>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</si>
  <si>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</si>
  <si>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</si>
  <si>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</si>
  <si>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</si>
  <si>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</si>
  <si>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</si>
  <si>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</si>
  <si>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</si>
  <si>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</si>
  <si>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</si>
  <si>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</si>
  <si>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</si>
  <si>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</si>
  <si>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</si>
  <si>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</si>
  <si>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</si>
  <si>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</si>
  <si>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</si>
  <si>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</si>
  <si>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</si>
  <si>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</si>
  <si>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</si>
  <si>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</si>
  <si>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</si>
  <si>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</si>
  <si>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</si>
  <si>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</si>
  <si>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</si>
  <si>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</si>
  <si>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</si>
  <si>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</si>
  <si>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</si>
  <si>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</si>
  <si>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</si>
  <si>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</si>
  <si>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</si>
  <si>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</si>
  <si>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</si>
  <si>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</si>
  <si>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</si>
  <si>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</si>
  <si>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</si>
  <si>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</si>
  <si>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</si>
  <si>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</si>
  <si>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</si>
  <si>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</si>
  <si>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</si>
  <si>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</si>
  <si>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</si>
  <si>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</si>
  <si>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</si>
  <si>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</si>
  <si>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</si>
  <si>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</si>
  <si>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</si>
  <si>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</si>
  <si>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</si>
  <si>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</si>
  <si>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</si>
  <si>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</si>
  <si>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</si>
  <si>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</si>
  <si>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</si>
  <si>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</si>
  <si>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</si>
  <si>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</si>
  <si>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</si>
  <si>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</si>
  <si>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</si>
  <si>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</si>
  <si>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</si>
  <si>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</si>
  <si>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</si>
  <si>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</si>
  <si>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</si>
  <si>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</si>
  <si>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</si>
  <si>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</si>
  <si>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</si>
  <si>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</si>
  <si>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</si>
  <si>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</si>
  <si>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</si>
  <si>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</si>
  <si>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</si>
  <si>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</si>
  <si>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</si>
  <si>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</si>
  <si>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</si>
  <si>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</si>
  <si>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</si>
  <si>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</si>
  <si>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</si>
  <si>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</si>
  <si>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</si>
  <si>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</si>
  <si>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</si>
  <si>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</si>
  <si>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</si>
  <si>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</si>
  <si>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</si>
  <si>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</si>
  <si>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</si>
  <si>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</si>
  <si>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</si>
  <si>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</si>
  <si>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</si>
  <si>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</si>
  <si>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</si>
  <si>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</si>
  <si>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</si>
  <si>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</si>
  <si>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</si>
  <si>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</si>
  <si>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</si>
  <si>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</si>
  <si>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</si>
  <si>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</si>
  <si>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</si>
  <si>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</si>
  <si>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</si>
  <si>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</si>
  <si>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</si>
  <si>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</si>
  <si>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</si>
  <si>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</si>
  <si>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</si>
  <si>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</si>
  <si>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</si>
  <si>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</si>
  <si>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</si>
  <si>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</si>
  <si>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</si>
  <si>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</si>
  <si>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</si>
  <si>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</si>
  <si>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</si>
  <si>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</si>
  <si>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</si>
  <si>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</si>
  <si>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</si>
  <si>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</si>
  <si>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</si>
  <si>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</si>
  <si>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</si>
  <si>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</si>
  <si>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</si>
  <si>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</si>
  <si>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</si>
  <si>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</si>
  <si>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</si>
  <si>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</si>
  <si>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</si>
  <si>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</si>
  <si>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</si>
  <si>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</si>
  <si>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</si>
  <si>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</si>
  <si>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</si>
  <si>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</si>
  <si>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</si>
  <si>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</si>
  <si>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</si>
  <si>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</si>
  <si>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</si>
  <si>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</si>
  <si>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</si>
  <si>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</si>
  <si>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</si>
  <si>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</si>
  <si>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</si>
  <si>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</si>
  <si>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</si>
  <si>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</si>
  <si>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</si>
  <si>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</si>
  <si>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</si>
  <si>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</si>
  <si>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</si>
  <si>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</si>
  <si>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</si>
  <si>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</si>
  <si>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</si>
  <si>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</si>
  <si>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</si>
  <si>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</si>
  <si>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</si>
  <si>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</si>
  <si>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</si>
  <si>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</si>
  <si>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</si>
  <si>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</si>
  <si>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</si>
  <si>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</si>
  <si>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</si>
  <si>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</si>
  <si>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</si>
  <si>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</si>
  <si>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</si>
  <si>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</si>
  <si>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</si>
  <si>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</si>
  <si>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</si>
  <si>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</si>
  <si>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</si>
  <si>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</si>
  <si>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</si>
  <si>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</si>
  <si>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</si>
  <si>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</si>
  <si>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</si>
  <si>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</si>
  <si>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</si>
  <si>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</si>
  <si>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</si>
  <si>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</si>
  <si>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</si>
  <si>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</si>
  <si>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</si>
  <si>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</si>
  <si>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</si>
  <si>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</si>
  <si>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</si>
  <si>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</si>
  <si>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</si>
  <si>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</si>
  <si>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</si>
  <si>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</si>
  <si>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</si>
  <si>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</si>
  <si>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</si>
  <si>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</si>
  <si>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</si>
  <si>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</si>
  <si>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</si>
  <si>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</si>
  <si>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</si>
  <si>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</si>
  <si>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</si>
  <si>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</si>
  <si>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</si>
  <si>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</si>
  <si>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</si>
  <si>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</si>
  <si>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</si>
  <si>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</si>
  <si>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</si>
  <si>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</si>
  <si>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</si>
  <si>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</si>
  <si>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</si>
  <si>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</si>
  <si>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</si>
  <si>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</si>
  <si>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</si>
  <si>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</si>
  <si>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</si>
  <si>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</si>
  <si>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</si>
  <si>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</si>
  <si>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</si>
  <si>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</si>
  <si>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</si>
  <si>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</si>
  <si>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</si>
  <si>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</si>
  <si>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</si>
  <si>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</si>
  <si>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</si>
  <si>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</si>
  <si>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</si>
  <si>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</si>
  <si>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</si>
  <si>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</si>
  <si>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</si>
  <si>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</si>
  <si>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</si>
  <si>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r>
      <rPr>
        <sz val="10"/>
        <color theme="9" tint="-0.249977111117893"/>
        <rFont val="宋体"/>
        <family val="3"/>
        <charset val="134"/>
      </rPr>
      <t>南口路南口段</t>
    </r>
    <r>
      <rPr>
        <sz val="10"/>
        <color theme="9" tint="-0.249977111117893"/>
        <rFont val="Arial"/>
        <family val="2"/>
      </rPr>
      <t>1</t>
    </r>
    <r>
      <rPr>
        <sz val="10"/>
        <color theme="9" tint="-0.249977111117893"/>
        <rFont val="宋体"/>
        <family val="3"/>
        <charset val="134"/>
      </rPr>
      <t>号院一区</t>
    </r>
    <r>
      <rPr>
        <sz val="10"/>
        <color theme="9" tint="-0.249977111117893"/>
        <rFont val="Arial"/>
        <family val="2"/>
      </rPr>
      <t>1</t>
    </r>
    <r>
      <rPr>
        <sz val="10"/>
        <color theme="9" tint="-0.249977111117893"/>
        <rFont val="宋体"/>
        <family val="3"/>
        <charset val="134"/>
      </rPr>
      <t>至</t>
    </r>
    <r>
      <rPr>
        <sz val="10"/>
        <color theme="9" tint="-0.249977111117893"/>
        <rFont val="Arial"/>
        <family val="2"/>
      </rPr>
      <t>14</t>
    </r>
    <r>
      <rPr>
        <sz val="10"/>
        <color theme="9" tint="-0.249977111117893"/>
        <rFont val="宋体"/>
        <family val="3"/>
        <charset val="134"/>
      </rPr>
      <t>号商业用房</t>
    </r>
    <phoneticPr fontId="6" type="noConversion"/>
  </si>
  <si>
    <t>是</t>
  </si>
  <si>
    <t>序号</t>
  </si>
  <si>
    <t>序号</t>
    <phoneticPr fontId="134" type="noConversion"/>
  </si>
  <si>
    <t>证号</t>
    <phoneticPr fontId="134" type="noConversion"/>
  </si>
  <si>
    <t>坐落</t>
    <phoneticPr fontId="134" type="noConversion"/>
  </si>
  <si>
    <t>房屋建筑面积</t>
    <phoneticPr fontId="134" type="noConversion"/>
  </si>
  <si>
    <t>用途</t>
    <phoneticPr fontId="134" type="noConversion"/>
  </si>
  <si>
    <t>商业</t>
    <phoneticPr fontId="134" type="noConversion"/>
  </si>
  <si>
    <t>1号楼1至2层101</t>
    <phoneticPr fontId="134" type="noConversion"/>
  </si>
  <si>
    <t>1-2层</t>
    <phoneticPr fontId="134" type="noConversion"/>
  </si>
  <si>
    <t>2号楼1至2层101</t>
    <phoneticPr fontId="134" type="noConversion"/>
  </si>
  <si>
    <t>3号楼1至3层101</t>
    <phoneticPr fontId="134" type="noConversion"/>
  </si>
  <si>
    <t>1-3层</t>
    <phoneticPr fontId="134" type="noConversion"/>
  </si>
  <si>
    <t>京（2019）昌不动产权第0033111号</t>
    <phoneticPr fontId="134" type="noConversion"/>
  </si>
  <si>
    <t>京（2019）昌不动产权第0033113号</t>
    <phoneticPr fontId="134" type="noConversion"/>
  </si>
  <si>
    <t>京（2019）昌不动产权第0033114号</t>
    <phoneticPr fontId="134" type="noConversion"/>
  </si>
  <si>
    <t>4号楼1至2层101</t>
    <phoneticPr fontId="134" type="noConversion"/>
  </si>
  <si>
    <t>京（2019）昌不动产权第0033117号</t>
    <phoneticPr fontId="134" type="noConversion"/>
  </si>
  <si>
    <t>1层</t>
    <phoneticPr fontId="134" type="noConversion"/>
  </si>
  <si>
    <t>京（2019）昌不动产权第0033122号</t>
    <phoneticPr fontId="134" type="noConversion"/>
  </si>
  <si>
    <t>6号1层101</t>
    <phoneticPr fontId="134" type="noConversion"/>
  </si>
  <si>
    <t>5号1层101</t>
    <phoneticPr fontId="134" type="noConversion"/>
  </si>
  <si>
    <t>7号1层101</t>
    <phoneticPr fontId="134" type="noConversion"/>
  </si>
  <si>
    <t>京（2019）昌不动产权第0033135号</t>
    <phoneticPr fontId="134" type="noConversion"/>
  </si>
  <si>
    <t>京（2019）昌不动产权第0033137号</t>
    <phoneticPr fontId="134" type="noConversion"/>
  </si>
  <si>
    <t>8号1层101</t>
    <phoneticPr fontId="134" type="noConversion"/>
  </si>
  <si>
    <t>9号1层101</t>
    <phoneticPr fontId="134" type="noConversion"/>
  </si>
  <si>
    <t>京（2019）昌不动产权第0033139号</t>
    <phoneticPr fontId="134" type="noConversion"/>
  </si>
  <si>
    <t>京（2019）昌不动产权第0033142号</t>
    <phoneticPr fontId="134" type="noConversion"/>
  </si>
  <si>
    <t>10号1层101</t>
    <phoneticPr fontId="134" type="noConversion"/>
  </si>
  <si>
    <t>京（2019）昌不动产权第0033144号</t>
    <phoneticPr fontId="134" type="noConversion"/>
  </si>
  <si>
    <t>11号1层101</t>
    <phoneticPr fontId="134" type="noConversion"/>
  </si>
  <si>
    <t>配电室</t>
    <phoneticPr fontId="134" type="noConversion"/>
  </si>
  <si>
    <t>京（2019）昌不动产权第0033148号</t>
    <phoneticPr fontId="134" type="noConversion"/>
  </si>
  <si>
    <t>12号1层101</t>
    <phoneticPr fontId="134" type="noConversion"/>
  </si>
  <si>
    <t>13号1层101</t>
    <phoneticPr fontId="134" type="noConversion"/>
  </si>
  <si>
    <t>京（2019）昌不动产权第0033156号</t>
    <phoneticPr fontId="134" type="noConversion"/>
  </si>
  <si>
    <t>所在楼层</t>
    <phoneticPr fontId="134" type="noConversion"/>
  </si>
  <si>
    <t>14号1层101</t>
    <phoneticPr fontId="134" type="noConversion"/>
  </si>
  <si>
    <t>京（2019）昌不动产权第0033158号</t>
    <phoneticPr fontId="134" type="noConversion"/>
  </si>
  <si>
    <t>合计</t>
    <phoneticPr fontId="134" type="noConversion"/>
  </si>
  <si>
    <t>地上</t>
  </si>
  <si>
    <t>独立商业</t>
  </si>
  <si>
    <t>商业</t>
    <phoneticPr fontId="7" type="noConversion"/>
  </si>
  <si>
    <t>总土地面积</t>
    <phoneticPr fontId="134" type="noConversion"/>
  </si>
  <si>
    <t>通路</t>
  </si>
  <si>
    <t>通电</t>
  </si>
  <si>
    <t>平整</t>
  </si>
  <si>
    <t>通讯</t>
  </si>
  <si>
    <t>成新度</t>
  </si>
  <si>
    <t>收益法</t>
  </si>
  <si>
    <t>押一</t>
  </si>
  <si>
    <t>钢混</t>
  </si>
  <si>
    <t>非生产用房</t>
  </si>
  <si>
    <t>否</t>
  </si>
  <si>
    <t>企业</t>
  </si>
  <si>
    <t>其他</t>
  </si>
  <si>
    <t>三里屯</t>
  </si>
  <si>
    <t>工体三号</t>
  </si>
  <si>
    <t>十里河</t>
  </si>
  <si>
    <t>北京船舶重工大厦</t>
  </si>
  <si>
    <t>CBD</t>
  </si>
  <si>
    <t>北京伯豪瑞庭酒店</t>
  </si>
  <si>
    <t>上地</t>
  </si>
  <si>
    <t>西北旺商业项目</t>
  </si>
  <si>
    <t>北苑</t>
  </si>
  <si>
    <t>北苑阳光新业广场</t>
  </si>
  <si>
    <t>丰台科技园</t>
  </si>
  <si>
    <t>北三环</t>
  </si>
  <si>
    <t>安贞华联</t>
  </si>
  <si>
    <t>太阳宫</t>
  </si>
  <si>
    <t>爱琴海购物广场</t>
  </si>
  <si>
    <t>中关村</t>
  </si>
  <si>
    <t>方舟大厦</t>
  </si>
  <si>
    <t>山地NEO</t>
  </si>
  <si>
    <t>奥体</t>
  </si>
  <si>
    <t>盘古大观5号</t>
  </si>
  <si>
    <t>丽泽</t>
  </si>
  <si>
    <t>中国铁物大厦</t>
  </si>
  <si>
    <t>三元桥</t>
  </si>
  <si>
    <t>绿地金融中心</t>
  </si>
  <si>
    <t>燕莎</t>
  </si>
  <si>
    <t>海南航空大厦</t>
  </si>
  <si>
    <t>通州</t>
  </si>
  <si>
    <t>通州富力中心C01</t>
  </si>
  <si>
    <t>顺义</t>
  </si>
  <si>
    <t>顺义区天竺园三街8号院3号楼</t>
  </si>
  <si>
    <t>昌平</t>
  </si>
  <si>
    <t>昌平万科天地2#</t>
  </si>
  <si>
    <t>诺德中心18号楼</t>
  </si>
  <si>
    <t>保利佲悦大都汇4#</t>
  </si>
  <si>
    <t>综合体</t>
  </si>
  <si>
    <t>丰台金茂广场5#、6#</t>
  </si>
  <si>
    <t>金融街</t>
  </si>
  <si>
    <t>金融街中再中心</t>
  </si>
  <si>
    <t>聚杰金融大厦B座</t>
  </si>
  <si>
    <t>中关村鼎好大厦</t>
  </si>
  <si>
    <t>北京</t>
  </si>
  <si>
    <t>单价(万/㎡)</t>
  </si>
  <si>
    <t>成交金额(亿元)</t>
  </si>
  <si>
    <t>地上面积(㎡)</t>
  </si>
  <si>
    <t>物业类型</t>
  </si>
  <si>
    <t>位置</t>
  </si>
  <si>
    <t>项目</t>
  </si>
  <si>
    <t>城市</t>
  </si>
  <si>
    <t>公寓</t>
  </si>
  <si>
    <t>酒店</t>
  </si>
  <si>
    <t>零售</t>
  </si>
  <si>
    <r>
      <rPr>
        <sz val="8"/>
        <color rgb="FF252525"/>
        <rFont val="KaiTi"/>
        <family val="3"/>
      </rPr>
      <t>凯龙瑞</t>
    </r>
  </si>
  <si>
    <t>金融街控股</t>
  </si>
  <si>
    <t>境内股权</t>
  </si>
  <si>
    <t>西城区</t>
  </si>
  <si>
    <t>德胜国际中心BE座</t>
  </si>
  <si>
    <t>2021年9月</t>
  </si>
  <si>
    <r>
      <rPr>
        <sz val="8"/>
        <color rgb="FF252525"/>
        <rFont val="KaiTi"/>
        <family val="3"/>
      </rPr>
      <t>万国数据</t>
    </r>
  </si>
  <si>
    <t>能通科技股份有限公司</t>
  </si>
  <si>
    <t>房山区</t>
  </si>
  <si>
    <t>万国数据17、18、19号数据中心</t>
  </si>
  <si>
    <r>
      <rPr>
        <sz val="8"/>
        <color rgb="FF252525"/>
        <rFont val="KaiTi"/>
        <family val="3"/>
      </rPr>
      <t>河南资产管理有限公司</t>
    </r>
  </si>
  <si>
    <t>许昌市中级人民法院</t>
  </si>
  <si>
    <t>资产交易</t>
  </si>
  <si>
    <t>石景山区</t>
  </si>
  <si>
    <t>石景山区西井路甲1号</t>
  </si>
  <si>
    <r>
      <rPr>
        <sz val="8"/>
        <color rgb="FF252525"/>
        <rFont val="KaiTi"/>
        <family val="3"/>
      </rPr>
      <t>科大讯飞</t>
    </r>
  </si>
  <si>
    <t>江西省南昌市中级人民法院</t>
  </si>
  <si>
    <t>海淀区</t>
  </si>
  <si>
    <t>信威大厦</t>
  </si>
  <si>
    <t>2021年8月</t>
  </si>
  <si>
    <r>
      <rPr>
        <sz val="8"/>
        <color rgb="FF252525"/>
        <rFont val="KaiTi"/>
        <family val="3"/>
      </rPr>
      <t>京投</t>
    </r>
  </si>
  <si>
    <t>京投发展、万科</t>
  </si>
  <si>
    <t>丰台区</t>
  </si>
  <si>
    <t>京投万科西华府</t>
  </si>
  <si>
    <r>
      <rPr>
        <sz val="8"/>
        <color rgb="FF252525"/>
        <rFont val="KaiTi"/>
        <family val="3"/>
      </rPr>
      <t>山东某能源企业</t>
    </r>
  </si>
  <si>
    <t>金茂集团</t>
  </si>
  <si>
    <t>佑安中心4号楼</t>
    <phoneticPr fontId="134" type="noConversion"/>
  </si>
  <si>
    <t>2021年7月</t>
  </si>
  <si>
    <r>
      <rPr>
        <sz val="8"/>
        <color rgb="FF252525"/>
        <rFont val="KaiTi"/>
        <family val="3"/>
      </rPr>
      <t>未披露</t>
    </r>
  </si>
  <si>
    <r>
      <rPr>
        <sz val="8"/>
        <color rgb="FF252525"/>
        <rFont val="KaiTi"/>
        <family val="3"/>
      </rPr>
      <t>江河控股</t>
    </r>
  </si>
  <si>
    <t>艾迪城15号楼</t>
  </si>
  <si>
    <r>
      <rPr>
        <sz val="8"/>
        <color rgb="FF252525"/>
        <rFont val="KaiTi"/>
        <family val="3"/>
      </rPr>
      <t>北京文投集团子公司</t>
    </r>
  </si>
  <si>
    <t>兴创投资有限公司</t>
  </si>
  <si>
    <t>大兴区</t>
  </si>
  <si>
    <t>兴创国际中心B座</t>
  </si>
  <si>
    <t>宝利嘉普（深圳）实业有限公司</t>
  </si>
  <si>
    <t>北京中冀兴旺汽车销售有限公司</t>
  </si>
  <si>
    <t>中冀斯巴鲁酒店</t>
  </si>
  <si>
    <t>公寓及酒店</t>
  </si>
  <si>
    <r>
      <rPr>
        <sz val="8"/>
        <color rgb="FF252525"/>
        <rFont val="KaiTi"/>
        <family val="3"/>
      </rPr>
      <t>华鹰润金</t>
    </r>
  </si>
  <si>
    <t>华润置地</t>
  </si>
  <si>
    <t>鹰腾大厦</t>
  </si>
  <si>
    <t>北京卓睿物业管理有限公司</t>
  </si>
  <si>
    <t>北京产交所</t>
  </si>
  <si>
    <t>朝阳区</t>
  </si>
  <si>
    <t>世茂工三</t>
  </si>
  <si>
    <r>
      <rPr>
        <sz val="8"/>
        <color rgb="FF252525"/>
        <rFont val="KaiTi"/>
        <family val="3"/>
      </rPr>
      <t>平安人寿</t>
    </r>
  </si>
  <si>
    <t>凯德</t>
  </si>
  <si>
    <t>境内股权（70%）</t>
  </si>
  <si>
    <t>东城区</t>
  </si>
  <si>
    <t>北京来福士中心</t>
  </si>
  <si>
    <t>2021年6月</t>
  </si>
  <si>
    <t>博枫</t>
  </si>
  <si>
    <t>阿布扎比投资局、万科地产</t>
  </si>
  <si>
    <t>境外股权</t>
  </si>
  <si>
    <t>昌平区</t>
  </si>
  <si>
    <t>北京悦荟广场</t>
  </si>
  <si>
    <t>2021年5月</t>
  </si>
  <si>
    <r>
      <rPr>
        <sz val="8"/>
        <color rgb="FF252525"/>
        <rFont val="KaiTi"/>
        <family val="3"/>
      </rPr>
      <t>和谐健康保险</t>
    </r>
  </si>
  <si>
    <r>
      <rPr>
        <sz val="8"/>
        <color rgb="FF252525"/>
        <rFont val="KaiTi"/>
        <family val="3"/>
      </rPr>
      <t>SK集团</t>
    </r>
  </si>
  <si>
    <t>SK大厦</t>
  </si>
  <si>
    <r>
      <rPr>
        <sz val="8"/>
        <color rgb="FF252525"/>
        <rFont val="KaiTi"/>
        <family val="3"/>
      </rPr>
      <t>声讯控股</t>
    </r>
  </si>
  <si>
    <t>中关村集成电路设计发展</t>
  </si>
  <si>
    <t>IC Park 2号楼</t>
  </si>
  <si>
    <r>
      <rPr>
        <sz val="8"/>
        <color rgb="FF252525"/>
        <rFont val="KaiTi"/>
        <family val="3"/>
      </rPr>
      <t>北京逸瑞商贸有限公司</t>
    </r>
  </si>
  <si>
    <t>华天酒店</t>
  </si>
  <si>
    <t>金方商贸大厦</t>
  </si>
  <si>
    <t>2021年4月</t>
  </si>
  <si>
    <r>
      <rPr>
        <sz val="8"/>
        <color rgb="FF252525"/>
        <rFont val="KaiTi"/>
        <family val="3"/>
      </rPr>
      <t>农业银行</t>
    </r>
  </si>
  <si>
    <t>合景泰富</t>
  </si>
  <si>
    <t>通州区</t>
  </si>
  <si>
    <t>合景中心A座</t>
  </si>
  <si>
    <r>
      <rPr>
        <sz val="8"/>
        <color rgb="FF252525"/>
        <rFont val="KaiTi"/>
        <family val="3"/>
      </rPr>
      <t>翰同</t>
    </r>
  </si>
  <si>
    <t>海淀区国资委</t>
  </si>
  <si>
    <t>大地花园酒店</t>
  </si>
  <si>
    <t>某能源企业</t>
  </si>
  <si>
    <t>翰德集团</t>
  </si>
  <si>
    <t>光熙门独栋</t>
  </si>
  <si>
    <t>2021年3月</t>
  </si>
  <si>
    <t>浩云科技</t>
  </si>
  <si>
    <t>新世界地产</t>
  </si>
  <si>
    <t>新世界燕京大厦</t>
  </si>
  <si>
    <r>
      <rPr>
        <sz val="8"/>
        <color rgb="FF252525"/>
        <rFont val="KaiTi"/>
        <family val="3"/>
      </rPr>
      <t>ACR 安狮资产</t>
    </r>
  </si>
  <si>
    <t>远洋资本</t>
  </si>
  <si>
    <t>钻石大厦</t>
  </si>
  <si>
    <t>旭辉集团</t>
  </si>
  <si>
    <t>华熙集团</t>
  </si>
  <si>
    <t>五棵松华熙LIVE（50%股权）</t>
  </si>
  <si>
    <t>2021年2月</t>
  </si>
  <si>
    <t>GLP 普洛斯资本</t>
  </si>
  <si>
    <t>兆泰集团</t>
  </si>
  <si>
    <t>兆泰国际中心CDE座（80%股权）</t>
  </si>
  <si>
    <t>高和资本、金茂资本</t>
  </si>
  <si>
    <t>火炬科技</t>
  </si>
  <si>
    <t>火炬大厦</t>
  </si>
  <si>
    <t>海科融通</t>
  </si>
  <si>
    <t>珠江地产</t>
  </si>
  <si>
    <t>峯汇国际中心1号楼</t>
  </si>
  <si>
    <t>2021年1月</t>
  </si>
  <si>
    <t>北投基金</t>
  </si>
  <si>
    <t>绿城地产</t>
  </si>
  <si>
    <t>北京通州北投希尔顿酒店</t>
  </si>
  <si>
    <t>铁狮门</t>
  </si>
  <si>
    <t>星狮地产</t>
  </si>
  <si>
    <t>辉盛阁国际公寓</t>
  </si>
  <si>
    <t>快手</t>
  </si>
  <si>
    <r>
      <rPr>
        <sz val="8"/>
        <color rgb="FF252525"/>
        <rFont val="KaiTi"/>
        <family val="3"/>
      </rPr>
      <t>北京首农</t>
    </r>
  </si>
  <si>
    <t>上地元中心</t>
  </si>
  <si>
    <t>平安不动产</t>
  </si>
  <si>
    <t>万科、金融街</t>
  </si>
  <si>
    <t>丰科中心</t>
  </si>
  <si>
    <t>买方</t>
  </si>
  <si>
    <t>卖方</t>
  </si>
  <si>
    <t>交易结构</t>
  </si>
  <si>
    <t>单价/按地上面积（元）</t>
  </si>
  <si>
    <r>
      <rPr>
        <b/>
        <sz val="8"/>
        <color rgb="FF006A4D"/>
        <rFont val="KaiTi"/>
        <family val="3"/>
      </rPr>
      <t>地上面积
（平方米）</t>
    </r>
  </si>
  <si>
    <r>
      <rPr>
        <b/>
        <sz val="8"/>
        <color rgb="FF006A4D"/>
        <rFont val="KaiTi"/>
        <family val="3"/>
      </rPr>
      <t>成交金额
（亿元）</t>
    </r>
  </si>
  <si>
    <r>
      <rPr>
        <b/>
        <sz val="8"/>
        <color rgb="FF006A4D"/>
        <rFont val="KaiTi"/>
        <family val="3"/>
      </rPr>
      <t>地理位置</t>
    </r>
  </si>
  <si>
    <r>
      <rPr>
        <b/>
        <sz val="8"/>
        <color rgb="FF006A4D"/>
        <rFont val="KaiTi"/>
        <family val="3"/>
      </rPr>
      <t>物业类型</t>
    </r>
  </si>
  <si>
    <r>
      <rPr>
        <b/>
        <sz val="8"/>
        <color rgb="FF006A4D"/>
        <rFont val="KaiTi"/>
        <family val="3"/>
      </rPr>
      <t>月份</t>
    </r>
  </si>
  <si>
    <r>
      <rPr>
        <b/>
        <sz val="8"/>
        <color rgb="FF006A4D"/>
        <rFont val="KaiTi"/>
        <family val="3"/>
      </rPr>
      <t>序号</t>
    </r>
  </si>
  <si>
    <r>
      <rPr>
        <sz val="8"/>
        <color rgb="FFFFFFFF"/>
        <rFont val="Times New Roman"/>
        <family val="1"/>
      </rPr>
      <t xml:space="preserve"> </t>
    </r>
    <r>
      <rPr>
        <b/>
        <sz val="8"/>
        <color rgb="FFFFFFFF"/>
        <rFont val="等线"/>
        <family val="3"/>
        <charset val="134"/>
      </rPr>
      <t>世邦魏理仕  |  投资及资本市场部</t>
    </r>
  </si>
  <si>
    <t>商业</t>
    <phoneticPr fontId="30" type="noConversion"/>
  </si>
  <si>
    <t>项目名称</t>
  </si>
  <si>
    <t>区县</t>
  </si>
  <si>
    <t>商圈</t>
  </si>
  <si>
    <t>成交时间</t>
  </si>
  <si>
    <t>交易类型</t>
  </si>
  <si>
    <t>成交总价（万元）</t>
  </si>
  <si>
    <t>成交单价（元/㎡）</t>
  </si>
  <si>
    <t>成交面积（㎡）</t>
  </si>
  <si>
    <t>买家(买家类型)</t>
  </si>
  <si>
    <t>卖家</t>
  </si>
  <si>
    <t xml:space="preserve"> 国丰酒店（国盛中心）及256个停车位   </t>
  </si>
  <si>
    <t xml:space="preserve">上海   </t>
  </si>
  <si>
    <t xml:space="preserve">普陀   </t>
  </si>
  <si>
    <t xml:space="preserve">长风   </t>
  </si>
  <si>
    <t xml:space="preserve">酒店   </t>
  </si>
  <si>
    <t xml:space="preserve">2020-04-16   </t>
  </si>
  <si>
    <t xml:space="preserve">资产交易   </t>
  </si>
  <si>
    <t xml:space="preserve">144000   </t>
  </si>
  <si>
    <t xml:space="preserve">--   </t>
  </si>
  <si>
    <t xml:space="preserve">  上海正久实业有限公司(内资)  </t>
  </si>
  <si>
    <t xml:space="preserve">   安徽国浩置地有限公司 </t>
  </si>
  <si>
    <t xml:space="preserve"> 友和国际酒店   </t>
  </si>
  <si>
    <t xml:space="preserve">深圳   </t>
  </si>
  <si>
    <t xml:space="preserve">龙岗   </t>
  </si>
  <si>
    <t xml:space="preserve">龙岗中心城   </t>
  </si>
  <si>
    <t xml:space="preserve">2020-12-31   </t>
  </si>
  <si>
    <t xml:space="preserve">30000   </t>
  </si>
  <si>
    <t xml:space="preserve">  --  </t>
  </si>
  <si>
    <t xml:space="preserve">   深圳市志联佳实业有限公司 </t>
  </si>
  <si>
    <t xml:space="preserve"> 祥祺商厦   </t>
  </si>
  <si>
    <t xml:space="preserve">罗湖   </t>
  </si>
  <si>
    <t xml:space="preserve">股权交易   </t>
  </si>
  <si>
    <t xml:space="preserve">43000   </t>
  </si>
  <si>
    <t xml:space="preserve">36000   </t>
  </si>
  <si>
    <t xml:space="preserve">  深圳亿方集团有限公司(内资)  </t>
  </si>
  <si>
    <t xml:space="preserve">   深圳祥祺集团有限公司 </t>
  </si>
  <si>
    <t xml:space="preserve"> 陕西航空工业局宾馆   </t>
  </si>
  <si>
    <t xml:space="preserve">西安   </t>
  </si>
  <si>
    <t xml:space="preserve">莲湖   </t>
  </si>
  <si>
    <t xml:space="preserve">2020-12-16   </t>
  </si>
  <si>
    <t xml:space="preserve">0.82   </t>
  </si>
  <si>
    <t xml:space="preserve">  陕西航空工业工贸有限公司(内资)  </t>
  </si>
  <si>
    <t xml:space="preserve">   陕西陕航宾馆有限公司 </t>
  </si>
  <si>
    <t xml:space="preserve"> 华侨城大厦   </t>
  </si>
  <si>
    <t xml:space="preserve">龙华   </t>
  </si>
  <si>
    <t xml:space="preserve">综合体   </t>
  </si>
  <si>
    <t xml:space="preserve">2019-04-11   </t>
  </si>
  <si>
    <t xml:space="preserve">1800000   </t>
  </si>
  <si>
    <t xml:space="preserve">84507   </t>
  </si>
  <si>
    <t xml:space="preserve">213000   </t>
  </si>
  <si>
    <t xml:space="preserve">  中国人寿保险股份有限公司(内资)  </t>
  </si>
  <si>
    <t xml:space="preserve">   深圳华侨城股份有限公司,深圳华侨城股份有限公司 </t>
  </si>
  <si>
    <t xml:space="preserve"> 沈阳市中央区某物业发展项目   </t>
  </si>
  <si>
    <t xml:space="preserve">沈阳   </t>
  </si>
  <si>
    <t xml:space="preserve">和平   </t>
  </si>
  <si>
    <t xml:space="preserve">长白   </t>
  </si>
  <si>
    <t xml:space="preserve">2020-06-22   </t>
  </si>
  <si>
    <t xml:space="preserve">129900   </t>
  </si>
  <si>
    <t xml:space="preserve">296000   </t>
  </si>
  <si>
    <t xml:space="preserve">  华润置地(北京)股份有限公司(内资)  </t>
  </si>
  <si>
    <t xml:space="preserve">   华润(集团)有限公司 </t>
  </si>
  <si>
    <t xml:space="preserve"> 某综合体项目   </t>
  </si>
  <si>
    <t xml:space="preserve">成都   </t>
  </si>
  <si>
    <t xml:space="preserve">武侯   </t>
  </si>
  <si>
    <t xml:space="preserve">笋岗   </t>
  </si>
  <si>
    <t xml:space="preserve">40000   </t>
  </si>
  <si>
    <t xml:space="preserve">240000   </t>
  </si>
  <si>
    <t xml:space="preserve">  上海长风投资（集团）有限公司(内资),开泰银行（中国）有限公司(外资),某国企(内资),四川双发信达集团有限公司(内资)  </t>
  </si>
  <si>
    <t xml:space="preserve">   上海新浩隆房地产开发有限公司 </t>
  </si>
  <si>
    <t xml:space="preserve"> 永银大厦   </t>
  </si>
  <si>
    <t xml:space="preserve">黄浦   </t>
  </si>
  <si>
    <t xml:space="preserve">2017-03-31   </t>
  </si>
  <si>
    <t xml:space="preserve">350000   </t>
  </si>
  <si>
    <t xml:space="preserve">58278   </t>
  </si>
  <si>
    <t xml:space="preserve">  中融国际信托有限公司(内资)  </t>
  </si>
  <si>
    <t xml:space="preserve">   新加坡丰树管理咨询有限公司 </t>
  </si>
  <si>
    <t xml:space="preserve"> 1788国际中心   </t>
  </si>
  <si>
    <t xml:space="preserve">静安   </t>
  </si>
  <si>
    <t xml:space="preserve">静安寺   </t>
  </si>
  <si>
    <t xml:space="preserve">2017-09-30   </t>
  </si>
  <si>
    <t xml:space="preserve">640000   </t>
  </si>
  <si>
    <t xml:space="preserve">90906   </t>
  </si>
  <si>
    <t xml:space="preserve">  顶新国际集团有限公司(外资)  </t>
  </si>
  <si>
    <t xml:space="preserve">   三胞集团有限公司 </t>
  </si>
  <si>
    <t xml:space="preserve"> 华业国际中心   </t>
  </si>
  <si>
    <t xml:space="preserve">北京   </t>
  </si>
  <si>
    <t xml:space="preserve">朝阳   </t>
  </si>
  <si>
    <t xml:space="preserve">大望路   </t>
  </si>
  <si>
    <t xml:space="preserve">2020-03-27   </t>
  </si>
  <si>
    <t xml:space="preserve">68800   </t>
  </si>
  <si>
    <t xml:space="preserve">16255   </t>
  </si>
  <si>
    <t xml:space="preserve">42324   </t>
  </si>
  <si>
    <t xml:space="preserve">  北京西丁府(内资)  </t>
  </si>
  <si>
    <t xml:space="preserve">   北京华业资本控股股份有限公司 </t>
  </si>
  <si>
    <t xml:space="preserve"> 花城御景花园   </t>
  </si>
  <si>
    <t xml:space="preserve">广州   </t>
  </si>
  <si>
    <t xml:space="preserve">天河   </t>
  </si>
  <si>
    <t xml:space="preserve">珠江新城   </t>
  </si>
  <si>
    <t xml:space="preserve">2020-11-12   </t>
  </si>
  <si>
    <t xml:space="preserve">298300   </t>
  </si>
  <si>
    <t xml:space="preserve">48528   </t>
  </si>
  <si>
    <t xml:space="preserve">  广州市城兴贸易有限公司(内资)  </t>
  </si>
  <si>
    <t xml:space="preserve">   广州御嘉投资有限公司 </t>
  </si>
  <si>
    <t xml:space="preserve"> 重庆金科中心5号楼   </t>
  </si>
  <si>
    <t xml:space="preserve">重庆   </t>
  </si>
  <si>
    <t xml:space="preserve">渝北   </t>
  </si>
  <si>
    <t xml:space="preserve">照母山   </t>
  </si>
  <si>
    <t xml:space="preserve">2020-06-30   </t>
  </si>
  <si>
    <t xml:space="preserve">39553.64   </t>
  </si>
  <si>
    <t xml:space="preserve">10500   </t>
  </si>
  <si>
    <t xml:space="preserve">37670   </t>
  </si>
  <si>
    <t xml:space="preserve">  个人投资者  </t>
  </si>
  <si>
    <t xml:space="preserve">   重庆金科中俊房地产开发有限公司 </t>
  </si>
  <si>
    <t xml:space="preserve"> 亿城堂庭   </t>
  </si>
  <si>
    <t xml:space="preserve">天津   </t>
  </si>
  <si>
    <t xml:space="preserve">红桥   </t>
  </si>
  <si>
    <t xml:space="preserve">2020-12-04   </t>
  </si>
  <si>
    <t xml:space="preserve">127274.32   </t>
  </si>
  <si>
    <t xml:space="preserve">102964.89   </t>
  </si>
  <si>
    <t xml:space="preserve">  百年人寿保险股份有限公司(内资)  </t>
  </si>
  <si>
    <t xml:space="preserve">   天津亿城山水房地产开发有限公司 </t>
  </si>
  <si>
    <t xml:space="preserve"> 阳光100国际新城、慈云寺老街项目   </t>
  </si>
  <si>
    <t xml:space="preserve">南岸   </t>
  </si>
  <si>
    <t xml:space="preserve">南滨路   </t>
  </si>
  <si>
    <t xml:space="preserve">2019-04-02   </t>
  </si>
  <si>
    <t xml:space="preserve">133400   </t>
  </si>
  <si>
    <t xml:space="preserve">1123   </t>
  </si>
  <si>
    <t xml:space="preserve">1188000   </t>
  </si>
  <si>
    <t xml:space="preserve">  融创西南房地产开发(集团)有限公司(内资),阳光一佰置业(辽宁)有限公司(内资),洋浦华电置业有限公司(内资)  </t>
  </si>
  <si>
    <t xml:space="preserve">   阳光壹佰置业集团有限公司 </t>
  </si>
  <si>
    <t xml:space="preserve"> 海口南海明珠生态岛(二期)项目   </t>
  </si>
  <si>
    <t xml:space="preserve">海口   </t>
  </si>
  <si>
    <t xml:space="preserve">2019-12-27   </t>
  </si>
  <si>
    <t xml:space="preserve">1013200   </t>
  </si>
  <si>
    <t xml:space="preserve">  海南发展控股置业集团有限公司(内资)  </t>
  </si>
  <si>
    <t xml:space="preserve">   海航基础设施投资集团股份有限公司 </t>
  </si>
  <si>
    <t xml:space="preserve"> 花园城商场   </t>
  </si>
  <si>
    <t xml:space="preserve">南京   </t>
  </si>
  <si>
    <t xml:space="preserve">栖霞   </t>
  </si>
  <si>
    <t xml:space="preserve">万寿   </t>
  </si>
  <si>
    <t xml:space="preserve">2020-10-28   </t>
  </si>
  <si>
    <t xml:space="preserve">79398.51   </t>
  </si>
  <si>
    <t xml:space="preserve">25035   </t>
  </si>
  <si>
    <t xml:space="preserve">31716   </t>
  </si>
  <si>
    <t xml:space="preserve">  南京诚盛商业管理有限公司(内资)  </t>
  </si>
  <si>
    <t xml:space="preserve">   招商局置地有限公司 </t>
  </si>
  <si>
    <t xml:space="preserve"> 双子座大厦   </t>
  </si>
  <si>
    <t xml:space="preserve">建国门   </t>
  </si>
  <si>
    <t xml:space="preserve">2020-02-29   </t>
  </si>
  <si>
    <t xml:space="preserve">804600   </t>
  </si>
  <si>
    <t xml:space="preserve">53497   </t>
  </si>
  <si>
    <t xml:space="preserve">150400   </t>
  </si>
  <si>
    <t xml:space="preserve">  新加坡政府投资有限公司(外资),中粮集团有限公司(内资)  </t>
  </si>
  <si>
    <t xml:space="preserve">   LG电子株式会社 </t>
  </si>
  <si>
    <t xml:space="preserve"> 三林印象城（三林城市商业广场）   </t>
  </si>
  <si>
    <t xml:space="preserve">浦东   </t>
  </si>
  <si>
    <t xml:space="preserve">2017-04-30   </t>
  </si>
  <si>
    <t xml:space="preserve">243000   </t>
  </si>
  <si>
    <t xml:space="preserve">19900   </t>
  </si>
  <si>
    <t xml:space="preserve">121995   </t>
  </si>
  <si>
    <t xml:space="preserve">  信达地产股份有限公司(内资)  </t>
  </si>
  <si>
    <t xml:space="preserve">   上海地产(集团)有限公司 </t>
  </si>
  <si>
    <t xml:space="preserve"> 信德口岸商务中心   </t>
  </si>
  <si>
    <t xml:space="preserve">珠海   </t>
  </si>
  <si>
    <t xml:space="preserve">横琴   </t>
  </si>
  <si>
    <t xml:space="preserve">2020-12-22   </t>
  </si>
  <si>
    <t xml:space="preserve">92800   </t>
  </si>
  <si>
    <t xml:space="preserve">135659   </t>
  </si>
  <si>
    <t xml:space="preserve">  信德发展(中国)有限公司(外资)  </t>
  </si>
  <si>
    <t xml:space="preserve">   鹏瑞利(上海)商业管理有限公司 </t>
  </si>
  <si>
    <t xml:space="preserve"> 天府香山综合体   </t>
  </si>
  <si>
    <t xml:space="preserve">双流   </t>
  </si>
  <si>
    <t xml:space="preserve">2019-09-30   </t>
  </si>
  <si>
    <t xml:space="preserve">139000   </t>
  </si>
  <si>
    <t xml:space="preserve">107000   </t>
  </si>
  <si>
    <t xml:space="preserve">  万科(成都)企业有限公司(内资)  </t>
  </si>
  <si>
    <t xml:space="preserve">   北京信越置业有限公司 </t>
  </si>
  <si>
    <t xml:space="preserve"> 北京工体3号   </t>
  </si>
  <si>
    <t xml:space="preserve">东城   </t>
  </si>
  <si>
    <t xml:space="preserve">2020-04-26   </t>
  </si>
  <si>
    <t xml:space="preserve">120000   </t>
  </si>
  <si>
    <t xml:space="preserve">43500   </t>
  </si>
  <si>
    <t xml:space="preserve">27564   </t>
  </si>
  <si>
    <t xml:space="preserve">  上海世茂投资管理有限公司(外资)  </t>
  </si>
  <si>
    <t xml:space="preserve">   中海晟融(北京)资本管理集团有限公司 </t>
  </si>
  <si>
    <t xml:space="preserve"> 丽泽金融商务区 D-03/04地块   </t>
  </si>
  <si>
    <t xml:space="preserve">丰台   </t>
  </si>
  <si>
    <t xml:space="preserve">丽泽桥   </t>
  </si>
  <si>
    <t xml:space="preserve">2019-08-17   </t>
  </si>
  <si>
    <t xml:space="preserve">582872.53   </t>
  </si>
  <si>
    <t xml:space="preserve">37605   </t>
  </si>
  <si>
    <t xml:space="preserve">232500   </t>
  </si>
  <si>
    <t xml:space="preserve">  中国平安人寿保险股份有限公司(内资)  </t>
  </si>
  <si>
    <t xml:space="preserve">   华夏幸福基业股份有限公司 </t>
  </si>
  <si>
    <t xml:space="preserve"> 西湖国际广场   </t>
  </si>
  <si>
    <t xml:space="preserve">合肥   </t>
  </si>
  <si>
    <t xml:space="preserve">蜀山   </t>
  </si>
  <si>
    <t xml:space="preserve">53000   </t>
  </si>
  <si>
    <t xml:space="preserve">70906   </t>
  </si>
  <si>
    <t xml:space="preserve">  浙江龙鼎控股集团有限公司(内资)  </t>
  </si>
  <si>
    <t xml:space="preserve">   合肥印象西湖房地产投资有限公司,宋都基业投资股份有限公司 </t>
  </si>
  <si>
    <t xml:space="preserve"> 城北大丰项目   </t>
  </si>
  <si>
    <t xml:space="preserve">新都   </t>
  </si>
  <si>
    <t xml:space="preserve">2020-03-26   </t>
  </si>
  <si>
    <t xml:space="preserve">2400   </t>
  </si>
  <si>
    <t xml:space="preserve">215400   </t>
  </si>
  <si>
    <t xml:space="preserve">  成都朗樾企业管理有限公司(内资)  </t>
  </si>
  <si>
    <t xml:space="preserve">   成都凯迪置业有限公司 </t>
  </si>
  <si>
    <t xml:space="preserve"> 南京国际金融中心   </t>
  </si>
  <si>
    <t xml:space="preserve">秦淮   </t>
  </si>
  <si>
    <t xml:space="preserve">2021-02-28   </t>
  </si>
  <si>
    <t xml:space="preserve">162000   </t>
  </si>
  <si>
    <t xml:space="preserve">14836   </t>
  </si>
  <si>
    <t xml:space="preserve">109194   </t>
  </si>
  <si>
    <t xml:space="preserve">  奥华发展有限公司(外资),丰奥有限公司(外资),国盈发展有限公司 LAND CAPITAL DEVELOPMENT LIMITED(内资)  </t>
  </si>
  <si>
    <t xml:space="preserve"> 中海财富中心   </t>
  </si>
  <si>
    <t xml:space="preserve">苏州   </t>
  </si>
  <si>
    <t xml:space="preserve">园区   </t>
  </si>
  <si>
    <t xml:space="preserve">师惠   </t>
  </si>
  <si>
    <t xml:space="preserve">2019-03-13   </t>
  </si>
  <si>
    <t xml:space="preserve">199000   </t>
  </si>
  <si>
    <t xml:space="preserve">  中海集团有限公司(外资)  </t>
  </si>
  <si>
    <t xml:space="preserve">   -- </t>
  </si>
  <si>
    <t xml:space="preserve"> 上海梦中心   </t>
  </si>
  <si>
    <t xml:space="preserve">徐汇   </t>
  </si>
  <si>
    <t xml:space="preserve">徐汇滨江   </t>
  </si>
  <si>
    <t xml:space="preserve">2019-01-09   </t>
  </si>
  <si>
    <t xml:space="preserve">524800   </t>
  </si>
  <si>
    <t xml:space="preserve">37486   </t>
  </si>
  <si>
    <t xml:space="preserve">500000   </t>
  </si>
  <si>
    <t xml:space="preserve">  上海西岸开发（集团）有限公司(内资)  </t>
  </si>
  <si>
    <t xml:space="preserve">   华人文化梦中心（上海）投资管理中心（有限合伙）,华人文化开元投资管理（上海）有限公司,上海梦中心创意文化发展有限公司 </t>
  </si>
  <si>
    <t xml:space="preserve"> 北京翠宫饭店   </t>
  </si>
  <si>
    <t xml:space="preserve">海淀   </t>
  </si>
  <si>
    <t xml:space="preserve">知春路   </t>
  </si>
  <si>
    <t xml:space="preserve">2019-02-02   </t>
  </si>
  <si>
    <t xml:space="preserve">270000   </t>
  </si>
  <si>
    <t xml:space="preserve">39359   </t>
  </si>
  <si>
    <t xml:space="preserve">68600   </t>
  </si>
  <si>
    <t xml:space="preserve">  北京京东尚科信息技术有限公司(外资)  </t>
  </si>
  <si>
    <t xml:space="preserve">   北京翠宫饭店有限公司 </t>
  </si>
  <si>
    <t xml:space="preserve"> 福都商厦   </t>
  </si>
  <si>
    <t xml:space="preserve">豫园   </t>
  </si>
  <si>
    <t xml:space="preserve">75000   </t>
  </si>
  <si>
    <t xml:space="preserve">50676   </t>
  </si>
  <si>
    <t xml:space="preserve">14800   </t>
  </si>
  <si>
    <t xml:space="preserve">  北京高和翰同众赢基金(有限合伙)(内资),KKR投资顾问(北京)有限公司(外资)  </t>
  </si>
  <si>
    <t xml:space="preserve">   融创房地产集团有限公司,上海盛煦企业管理咨询有限公司,美罗药业股份有限公司 </t>
  </si>
  <si>
    <t xml:space="preserve"> 首创天阅滨江   </t>
  </si>
  <si>
    <t xml:space="preserve">杨浦   </t>
  </si>
  <si>
    <t xml:space="preserve">东外滩   </t>
  </si>
  <si>
    <t xml:space="preserve">2020-02-07   </t>
  </si>
  <si>
    <t xml:space="preserve">253600   </t>
  </si>
  <si>
    <t xml:space="preserve">50156   </t>
  </si>
  <si>
    <t xml:space="preserve">50562   </t>
  </si>
  <si>
    <t xml:space="preserve">  首金资本管理(天津)有限公司(外资),青岛国信易诚投资有限公司(内资),合众人寿保险股份有限公司(内资),北京中财龙马资本投资有限公司(内资)  </t>
  </si>
  <si>
    <t xml:space="preserve">   首创置业股份有限公司 </t>
  </si>
  <si>
    <t xml:space="preserve"> 碧生源大厦（玲珑天地D座）   </t>
  </si>
  <si>
    <t xml:space="preserve">四季青   </t>
  </si>
  <si>
    <t xml:space="preserve">2019-01-15   </t>
  </si>
  <si>
    <t xml:space="preserve">55500   </t>
  </si>
  <si>
    <t xml:space="preserve">46250   </t>
  </si>
  <si>
    <t xml:space="preserve">12000   </t>
  </si>
  <si>
    <t xml:space="preserve">  吉宝湖畔(无锡)房地产开发有限公司(外资)  </t>
  </si>
  <si>
    <t xml:space="preserve">   北京畅升商务咨询有限公司 </t>
  </si>
  <si>
    <t xml:space="preserve"> Naga上院   </t>
  </si>
  <si>
    <t xml:space="preserve">东直门   </t>
  </si>
  <si>
    <t xml:space="preserve">2020-03-23   </t>
  </si>
  <si>
    <t xml:space="preserve">47600   </t>
  </si>
  <si>
    <t xml:space="preserve">82519   </t>
  </si>
  <si>
    <t xml:space="preserve">5768   </t>
  </si>
  <si>
    <t xml:space="preserve">  迁安市九江线材有限责任公司(内资)  </t>
  </si>
  <si>
    <t xml:space="preserve">   河南省景瑞控股有限责任公司 </t>
  </si>
  <si>
    <t xml:space="preserve"> 琨御府   </t>
    <phoneticPr fontId="134" type="noConversion"/>
  </si>
  <si>
    <t xml:space="preserve">2020-08-27   </t>
  </si>
  <si>
    <t xml:space="preserve">339095.67   </t>
  </si>
  <si>
    <t xml:space="preserve">55800   </t>
  </si>
  <si>
    <t xml:space="preserve">60700   </t>
  </si>
  <si>
    <t xml:space="preserve">  北京市基础设施投资有限公司(内资)  </t>
  </si>
  <si>
    <t xml:space="preserve">   京投发展股份有限公司 </t>
  </si>
  <si>
    <t xml:space="preserve"> 绿地黄埔滨江   </t>
  </si>
  <si>
    <t xml:space="preserve">2019-03-29   </t>
  </si>
  <si>
    <t xml:space="preserve">1320000   </t>
  </si>
  <si>
    <t xml:space="preserve">68414   </t>
  </si>
  <si>
    <t xml:space="preserve">154500   </t>
  </si>
  <si>
    <t xml:space="preserve">  博枫绿能投资(上海)有限公司(内资)  </t>
  </si>
  <si>
    <t xml:space="preserve">   绿地香港控股有限公司 </t>
  </si>
  <si>
    <t xml:space="preserve"> 长城金融大厦（斯格威铂尔曼酒店）   </t>
  </si>
  <si>
    <t xml:space="preserve">打浦桥   </t>
  </si>
  <si>
    <t xml:space="preserve">310000   </t>
  </si>
  <si>
    <t xml:space="preserve">35728   </t>
  </si>
  <si>
    <t xml:space="preserve">99580   </t>
  </si>
  <si>
    <t xml:space="preserve">  沪港联合控股有限公司(外资)  </t>
  </si>
  <si>
    <t xml:space="preserve">   长城国富置业有限公司,上海住宅产业新技术发展股份有限公司 </t>
  </si>
  <si>
    <t xml:space="preserve"> 鹏润悦秀城   </t>
  </si>
  <si>
    <t xml:space="preserve">长安   </t>
  </si>
  <si>
    <t xml:space="preserve">2020-10-30   </t>
  </si>
  <si>
    <t xml:space="preserve">41000   </t>
  </si>
  <si>
    <t xml:space="preserve">44000   </t>
  </si>
  <si>
    <t xml:space="preserve">  西安鹏安物业有限公司(内资)  </t>
  </si>
  <si>
    <t xml:space="preserve">   西安鹏润置业有限公司 </t>
  </si>
  <si>
    <t xml:space="preserve"> 北京通州综合发展项目（信德中心二期）   </t>
  </si>
  <si>
    <t xml:space="preserve">通州   </t>
  </si>
  <si>
    <t xml:space="preserve">运河大街   </t>
  </si>
  <si>
    <t xml:space="preserve">98000   </t>
  </si>
  <si>
    <t xml:space="preserve">368625   </t>
  </si>
  <si>
    <t xml:space="preserve">  鹏瑞利(成都)实业有限公司(外资),顺丰控股有限公司(外资)  </t>
  </si>
  <si>
    <t xml:space="preserve">   崇新发展有限公司 </t>
  </si>
  <si>
    <t xml:space="preserve"> 香溢花城   </t>
  </si>
  <si>
    <t xml:space="preserve">光新   </t>
  </si>
  <si>
    <t xml:space="preserve">2013-09-01   </t>
  </si>
  <si>
    <t xml:space="preserve">50740   </t>
  </si>
  <si>
    <t xml:space="preserve">  上海骧远投资控股有限公司(内资)  </t>
  </si>
  <si>
    <t xml:space="preserve">   上海昊川置业有限公司 </t>
  </si>
  <si>
    <t xml:space="preserve"> 赛格新城市广场   </t>
  </si>
  <si>
    <t xml:space="preserve">2020-05-25   </t>
  </si>
  <si>
    <t xml:space="preserve">128300   </t>
  </si>
  <si>
    <t xml:space="preserve">  深圳市华晖集团有限公司(内资)  </t>
  </si>
  <si>
    <t xml:space="preserve">   深圳市赛格新城市建设发展有限公司 </t>
  </si>
  <si>
    <t xml:space="preserve"> 九鼎国际1号楼   </t>
  </si>
  <si>
    <t xml:space="preserve">未央   </t>
  </si>
  <si>
    <t xml:space="preserve">百花村   </t>
  </si>
  <si>
    <t xml:space="preserve">2020-02-26   </t>
  </si>
  <si>
    <t xml:space="preserve">38306   </t>
  </si>
  <si>
    <t xml:space="preserve">16286   </t>
  </si>
  <si>
    <t xml:space="preserve">23521   </t>
  </si>
  <si>
    <t xml:space="preserve">  中公教育科技股份有限公司(内资)  </t>
  </si>
  <si>
    <t xml:space="preserve">   陕西冠诚实业有限公司 </t>
  </si>
  <si>
    <t xml:space="preserve"> 中冶盛世国际广场10号楼   </t>
  </si>
  <si>
    <t xml:space="preserve">河西   </t>
  </si>
  <si>
    <t xml:space="preserve">东海街   </t>
  </si>
  <si>
    <t xml:space="preserve">2020-06-17   </t>
  </si>
  <si>
    <t xml:space="preserve">13700   </t>
  </si>
  <si>
    <t xml:space="preserve">19855   </t>
  </si>
  <si>
    <t xml:space="preserve">6900   </t>
  </si>
  <si>
    <t xml:space="preserve">  天津国际工程咨询公司(内资)  </t>
  </si>
  <si>
    <t xml:space="preserve">   中冶置业集团有限公司天津分公司 </t>
  </si>
  <si>
    <t xml:space="preserve"> 虹桥世界中心L1B栋   </t>
  </si>
  <si>
    <t xml:space="preserve">青浦   </t>
  </si>
  <si>
    <t xml:space="preserve">青浦城区   </t>
  </si>
  <si>
    <t xml:space="preserve">2020-12-25   </t>
  </si>
  <si>
    <t xml:space="preserve">16000   </t>
  </si>
  <si>
    <t xml:space="preserve">   融信中国控股有限公司 </t>
  </si>
  <si>
    <t xml:space="preserve"> 昊元生活广场   </t>
  </si>
  <si>
    <t xml:space="preserve">徐家汇   </t>
  </si>
  <si>
    <t xml:space="preserve">2020-09-30   </t>
  </si>
  <si>
    <t xml:space="preserve">71300   </t>
  </si>
  <si>
    <t xml:space="preserve">47501   </t>
  </si>
  <si>
    <t xml:space="preserve">  上海创邑实业有限公司(外资)  </t>
  </si>
  <si>
    <t xml:space="preserve">   供销社 </t>
  </si>
  <si>
    <t xml:space="preserve"> 西门口广场（威斯敏广场）   </t>
  </si>
  <si>
    <t xml:space="preserve">荔湾   </t>
  </si>
  <si>
    <t xml:space="preserve">陈家祠   </t>
  </si>
  <si>
    <t xml:space="preserve">2019-09-24   </t>
  </si>
  <si>
    <t xml:space="preserve">102755   </t>
  </si>
  <si>
    <t xml:space="preserve">42533   </t>
  </si>
  <si>
    <t xml:space="preserve">  吉宝湖畔(无锡)房地产开发有限公司(外资),重庆同创置业(集团)有限公司(内资)  </t>
  </si>
  <si>
    <t xml:space="preserve">   Win Up Global </t>
  </si>
  <si>
    <t xml:space="preserve"> 歌斐中心   </t>
  </si>
  <si>
    <t xml:space="preserve">2021-01-04   </t>
  </si>
  <si>
    <t xml:space="preserve">400000   </t>
  </si>
  <si>
    <t xml:space="preserve">  平安信托有限责任公司(内资),中国平安保险(集团)股份有限公司(外资)  </t>
  </si>
  <si>
    <t xml:space="preserve">   歌斐资产管理有限公司 </t>
  </si>
  <si>
    <t xml:space="preserve"> 一方大厦   </t>
  </si>
  <si>
    <t xml:space="preserve">虹口   </t>
  </si>
  <si>
    <t xml:space="preserve">北外滩   </t>
  </si>
  <si>
    <t xml:space="preserve">2019-02-16   </t>
  </si>
  <si>
    <t xml:space="preserve">454422   </t>
  </si>
  <si>
    <t xml:space="preserve">61126   </t>
  </si>
  <si>
    <t xml:space="preserve">74342   </t>
  </si>
  <si>
    <t xml:space="preserve">   大连一方集团有限公司 </t>
  </si>
  <si>
    <t xml:space="preserve"> 凤新路555号   </t>
  </si>
  <si>
    <t xml:space="preserve">昆山   </t>
  </si>
  <si>
    <t xml:space="preserve">工业   </t>
  </si>
  <si>
    <t xml:space="preserve">2017-10-19   </t>
  </si>
  <si>
    <t xml:space="preserve">4500   </t>
  </si>
  <si>
    <t xml:space="preserve">2143   </t>
  </si>
  <si>
    <t xml:space="preserve">20997   </t>
  </si>
  <si>
    <t xml:space="preserve">   江阴市正峰新能源科技有限公司 </t>
  </si>
  <si>
    <t xml:space="preserve"> 平一路1号工业厂房   </t>
  </si>
  <si>
    <t xml:space="preserve">中山   </t>
  </si>
  <si>
    <t xml:space="preserve">14590   </t>
  </si>
  <si>
    <t xml:space="preserve">2687   </t>
  </si>
  <si>
    <t xml:space="preserve">54287   </t>
  </si>
  <si>
    <t xml:space="preserve">   广东新展化工新材料有限公司 </t>
  </si>
  <si>
    <t xml:space="preserve"> 漕河泾泰科电子厂房   </t>
  </si>
  <si>
    <t xml:space="preserve">58000   </t>
  </si>
  <si>
    <t xml:space="preserve">  上海嘉会国际医院有限公司(外资)  </t>
  </si>
  <si>
    <t xml:space="preserve">   泰科电子(上海)有限公司 </t>
  </si>
  <si>
    <t xml:space="preserve"> 索特盐化工业园区   </t>
  </si>
  <si>
    <t xml:space="preserve">万州   </t>
  </si>
  <si>
    <t xml:space="preserve">2018-12-27   </t>
  </si>
  <si>
    <t xml:space="preserve">10368   </t>
  </si>
  <si>
    <t xml:space="preserve">  雪天盐业集团股份有限公司(内资)  </t>
  </si>
  <si>
    <t xml:space="preserve">   湖北双环科技股份有限公司 </t>
  </si>
  <si>
    <t xml:space="preserve"> 嘉民西安物流中心   </t>
  </si>
  <si>
    <t xml:space="preserve">高陵   </t>
  </si>
  <si>
    <t xml:space="preserve">2017-12-31   </t>
  </si>
  <si>
    <t xml:space="preserve">39813.52   </t>
  </si>
  <si>
    <t xml:space="preserve">4388   </t>
  </si>
  <si>
    <t xml:space="preserve">90739   </t>
  </si>
  <si>
    <t xml:space="preserve">  光大资本投资有限公司(内资)  </t>
  </si>
  <si>
    <t xml:space="preserve">   嘉民管理咨询(上海)有限公司 </t>
  </si>
  <si>
    <t xml:space="preserve"> 凤塘大道   </t>
  </si>
  <si>
    <t xml:space="preserve">宝安   </t>
  </si>
  <si>
    <t xml:space="preserve">2017-05-12   </t>
  </si>
  <si>
    <t xml:space="preserve">9850   </t>
  </si>
  <si>
    <t xml:space="preserve">3993   </t>
  </si>
  <si>
    <t xml:space="preserve">24665   </t>
  </si>
  <si>
    <t xml:space="preserve">  深圳市金智投资有限公司(内资)  </t>
  </si>
  <si>
    <t xml:space="preserve">   鸿兴印刷集团有限公司 </t>
  </si>
  <si>
    <t xml:space="preserve"> 科珠路233号、彩频路6 号、伴绿路10号   </t>
  </si>
  <si>
    <t xml:space="preserve">黄埔   </t>
  </si>
  <si>
    <t xml:space="preserve">2019-12-03   </t>
  </si>
  <si>
    <t xml:space="preserve">84000   </t>
  </si>
  <si>
    <t xml:space="preserve">153671   </t>
  </si>
  <si>
    <t xml:space="preserve">  广州科学城投资发展有限公司(内资)  </t>
  </si>
  <si>
    <t xml:space="preserve">   威创集团股份有限公司 </t>
  </si>
  <si>
    <t xml:space="preserve"> 电子城科技园C3-B   </t>
  </si>
  <si>
    <t xml:space="preserve">酒仙桥   </t>
  </si>
  <si>
    <t xml:space="preserve">2017-08-30   </t>
  </si>
  <si>
    <t xml:space="preserve">34000   </t>
  </si>
  <si>
    <t xml:space="preserve">26701   </t>
  </si>
  <si>
    <t xml:space="preserve">12734   </t>
  </si>
  <si>
    <t xml:space="preserve">   北京电子城高科技集团股份有限公司 </t>
  </si>
  <si>
    <t xml:space="preserve"> 金桥科技产业基地（1-5号楼）   </t>
  </si>
  <si>
    <t xml:space="preserve">2019-12-22   </t>
  </si>
  <si>
    <t xml:space="preserve">24808.91   </t>
  </si>
  <si>
    <t xml:space="preserve">5195   </t>
  </si>
  <si>
    <t xml:space="preserve">47754   </t>
  </si>
  <si>
    <t xml:space="preserve">  深圳市丰盛投资有限公司(内资)  </t>
  </si>
  <si>
    <t xml:space="preserve">   北京纳尔特保温节能材料有限公司 </t>
  </si>
  <si>
    <t xml:space="preserve"> 周溪诺基亚工厂   </t>
  </si>
  <si>
    <t xml:space="preserve">东莞   </t>
  </si>
  <si>
    <t xml:space="preserve">2020-03-04   </t>
  </si>
  <si>
    <t xml:space="preserve">63934   </t>
  </si>
  <si>
    <t xml:space="preserve">  东莞市莞和实业投资有限公司(内资)  </t>
  </si>
  <si>
    <t xml:space="preserve"> 坤润纺织厂   </t>
  </si>
  <si>
    <t xml:space="preserve">吴江   </t>
  </si>
  <si>
    <t xml:space="preserve">2020-05-12   </t>
  </si>
  <si>
    <t xml:space="preserve">24178   </t>
  </si>
  <si>
    <t xml:space="preserve">2403   </t>
  </si>
  <si>
    <t xml:space="preserve">72667   </t>
  </si>
  <si>
    <t xml:space="preserve">   苏州坤润纺织科技有限公司 </t>
  </si>
  <si>
    <t xml:space="preserve"> 凯龙南汇商务园   </t>
  </si>
  <si>
    <t xml:space="preserve">惠南   </t>
  </si>
  <si>
    <t xml:space="preserve">2019-09-25   </t>
  </si>
  <si>
    <t xml:space="preserve">36373.85   </t>
  </si>
  <si>
    <t xml:space="preserve">6954   </t>
  </si>
  <si>
    <t xml:space="preserve">52303   </t>
  </si>
  <si>
    <t xml:space="preserve">  上海美迪西生物医药股份有限公司(合资)  </t>
  </si>
  <si>
    <t xml:space="preserve">   宏基资本有限公司 </t>
  </si>
  <si>
    <t xml:space="preserve"> ESR广州物流园   </t>
  </si>
  <si>
    <t xml:space="preserve">2020-07-06   </t>
  </si>
  <si>
    <t xml:space="preserve">  MANULIFE FINANCIAL CORPORATION(外资)  </t>
  </si>
  <si>
    <t xml:space="preserve">   荷兰养老基金 </t>
  </si>
  <si>
    <t xml:space="preserve"> 廊坊经济技术开发区工厂   </t>
  </si>
  <si>
    <t xml:space="preserve">廊坊   </t>
  </si>
  <si>
    <t xml:space="preserve">广阳   </t>
  </si>
  <si>
    <t xml:space="preserve">2017-10-09   </t>
  </si>
  <si>
    <t xml:space="preserve">23000   </t>
  </si>
  <si>
    <t xml:space="preserve">5106   </t>
  </si>
  <si>
    <t xml:space="preserve">45045   </t>
  </si>
  <si>
    <t xml:space="preserve">  北京联东金泰投资有限公司(内资)  </t>
  </si>
  <si>
    <t xml:space="preserve">   北京京城机电股份有限公司 </t>
  </si>
  <si>
    <t xml:space="preserve"> 天津宝坻工业园区   </t>
  </si>
  <si>
    <t xml:space="preserve">宝坻   </t>
  </si>
  <si>
    <t xml:space="preserve">2019-08-12   </t>
  </si>
  <si>
    <t xml:space="preserve">法拍   </t>
  </si>
  <si>
    <t xml:space="preserve">26055   </t>
  </si>
  <si>
    <t xml:space="preserve">3721   </t>
  </si>
  <si>
    <t xml:space="preserve">70021   </t>
  </si>
  <si>
    <t xml:space="preserve">  天津宝星工贸有限公司(内资)  </t>
  </si>
  <si>
    <t xml:space="preserve">   天津宝迪农业科技股份有限公司 </t>
  </si>
  <si>
    <t xml:space="preserve"> 金汇化纤工业园   </t>
  </si>
  <si>
    <t xml:space="preserve">金华   </t>
  </si>
  <si>
    <t xml:space="preserve">浦江   </t>
  </si>
  <si>
    <t xml:space="preserve">12000.96   </t>
  </si>
  <si>
    <t xml:space="preserve">2272   </t>
  </si>
  <si>
    <t xml:space="preserve">52825   </t>
  </si>
  <si>
    <t xml:space="preserve">   浙江义乌金汇化纤有限公司 </t>
  </si>
  <si>
    <t xml:space="preserve"> 锦州路15号   </t>
  </si>
  <si>
    <t xml:space="preserve">新区   </t>
  </si>
  <si>
    <t xml:space="preserve">2020-10-31   </t>
  </si>
  <si>
    <t xml:space="preserve">7250   </t>
  </si>
  <si>
    <t xml:space="preserve">1387   </t>
  </si>
  <si>
    <t xml:space="preserve">52262   </t>
  </si>
  <si>
    <t xml:space="preserve">  常熟市人民政府东南街道办事处工会(内资)  </t>
  </si>
  <si>
    <t xml:space="preserve">   研精舍(常熟)精密机械加工有限公司 </t>
  </si>
  <si>
    <t xml:space="preserve"> 永顺自行车厂   </t>
  </si>
  <si>
    <t xml:space="preserve">湖州   </t>
  </si>
  <si>
    <t xml:space="preserve">柯桥   </t>
  </si>
  <si>
    <t xml:space="preserve">2020-05-03   </t>
  </si>
  <si>
    <t xml:space="preserve">8026   </t>
  </si>
  <si>
    <t xml:space="preserve">2519   </t>
  </si>
  <si>
    <t xml:space="preserve">31860   </t>
  </si>
  <si>
    <t xml:space="preserve">   浙江永顺车业有限公司 </t>
  </si>
  <si>
    <t xml:space="preserve"> 世门手袋工业园   </t>
  </si>
  <si>
    <t xml:space="preserve">番禺   </t>
  </si>
  <si>
    <t xml:space="preserve">18000   </t>
  </si>
  <si>
    <t xml:space="preserve">  广州市番禺汇强经贸发展有限公司(内资),广州市超群实业有限公司(内资)  </t>
  </si>
  <si>
    <t xml:space="preserve">   SIMONE ACC.COLLECTION,LTD. </t>
  </si>
  <si>
    <t xml:space="preserve"> 葑亭大道710号   </t>
  </si>
  <si>
    <t xml:space="preserve">苏州工业园   </t>
  </si>
  <si>
    <t xml:space="preserve">2017-12-29   </t>
  </si>
  <si>
    <t xml:space="preserve">5444.45   </t>
  </si>
  <si>
    <t xml:space="preserve">5270   </t>
  </si>
  <si>
    <t xml:space="preserve">10330   </t>
  </si>
  <si>
    <t xml:space="preserve">   时代化学电子股份有限公司 </t>
  </si>
  <si>
    <t xml:space="preserve"> 星峰企业园   </t>
  </si>
  <si>
    <t xml:space="preserve">张江   </t>
  </si>
  <si>
    <t xml:space="preserve">68400   </t>
  </si>
  <si>
    <t xml:space="preserve">16891   </t>
  </si>
  <si>
    <t xml:space="preserve">40494   </t>
  </si>
  <si>
    <t xml:space="preserve">  光大资本投资有限公司(内资),上海张江高科技园区开发股份有限公司(内资)  </t>
  </si>
  <si>
    <t xml:space="preserve">   星峰投资咨询(上海)有限公司 </t>
  </si>
  <si>
    <t xml:space="preserve"> 新陈义工业园   </t>
  </si>
  <si>
    <t xml:space="preserve">杭州   </t>
  </si>
  <si>
    <t xml:space="preserve">余杭   </t>
  </si>
  <si>
    <t xml:space="preserve">2019-10-11   </t>
  </si>
  <si>
    <t xml:space="preserve">28101   </t>
  </si>
  <si>
    <t xml:space="preserve">2498   </t>
  </si>
  <si>
    <t xml:space="preserve">112507   </t>
  </si>
  <si>
    <t xml:space="preserve">  杭州珑帝置业有限公司(内资)  </t>
  </si>
  <si>
    <t xml:space="preserve">   杭州工控置业有限公司 </t>
  </si>
  <si>
    <t xml:space="preserve"> 杏坛工业区厂房   </t>
  </si>
  <si>
    <t xml:space="preserve">佛山   </t>
  </si>
  <si>
    <t xml:space="preserve">顺德   </t>
  </si>
  <si>
    <t xml:space="preserve">2019-07-16   </t>
  </si>
  <si>
    <t xml:space="preserve">21116   </t>
  </si>
  <si>
    <t xml:space="preserve">2169   </t>
  </si>
  <si>
    <t xml:space="preserve">97354   </t>
  </si>
  <si>
    <t xml:space="preserve">  佛山市顺德区博信企业管理有限公司(内资)  </t>
  </si>
  <si>
    <t xml:space="preserve">   置银有限公司 </t>
  </si>
  <si>
    <t xml:space="preserve"> 青白江大道99号工业厂房   </t>
  </si>
  <si>
    <t xml:space="preserve">青白江   </t>
  </si>
  <si>
    <t xml:space="preserve">31528.39   </t>
  </si>
  <si>
    <t xml:space="preserve">2570   </t>
  </si>
  <si>
    <t xml:space="preserve">122678   </t>
  </si>
  <si>
    <t xml:space="preserve">  成都盛鼎宏园区管理有限公司(内资)  </t>
  </si>
  <si>
    <t xml:space="preserve">   成都大港置业有限公司 </t>
  </si>
  <si>
    <t xml:space="preserve"> 丰树天津武清物流园   </t>
  </si>
  <si>
    <t xml:space="preserve">武清   </t>
  </si>
  <si>
    <t xml:space="preserve">2018-07-23   </t>
  </si>
  <si>
    <t xml:space="preserve">14752.91   </t>
  </si>
  <si>
    <t xml:space="preserve">5062   </t>
  </si>
  <si>
    <t xml:space="preserve">29147   </t>
  </si>
  <si>
    <t xml:space="preserve">  丰树物流信托(外资)  </t>
  </si>
  <si>
    <t xml:space="preserve">   伊藤忠商事株式会社,新加坡丰树管理咨询有限公司 </t>
  </si>
  <si>
    <t xml:space="preserve"> 德谦杭重工业园区   </t>
  </si>
  <si>
    <t xml:space="preserve">临安   </t>
  </si>
  <si>
    <t xml:space="preserve">13273.72   </t>
  </si>
  <si>
    <t xml:space="preserve">4300   </t>
  </si>
  <si>
    <t xml:space="preserve">30867   </t>
  </si>
  <si>
    <t xml:space="preserve">   德谦集团有限公司,德谦杭重锻造有限公司 </t>
  </si>
  <si>
    <t xml:space="preserve"> 新城电动汽车产业园区（1-3号楼）   </t>
  </si>
  <si>
    <t xml:space="preserve">吴兴   </t>
  </si>
  <si>
    <t xml:space="preserve">2020-01-11   </t>
  </si>
  <si>
    <t xml:space="preserve">6340   </t>
  </si>
  <si>
    <t xml:space="preserve">1538   </t>
  </si>
  <si>
    <t xml:space="preserve">41210   </t>
  </si>
  <si>
    <t xml:space="preserve">  优信(湖州)机械制造有限责任公司(内资)  </t>
  </si>
  <si>
    <t xml:space="preserve">   湖州信成电动汽车有限公司 </t>
  </si>
  <si>
    <t xml:space="preserve"> 东华工业园区   </t>
  </si>
  <si>
    <t xml:space="preserve">锦江   </t>
  </si>
  <si>
    <t xml:space="preserve">2020-04-08   </t>
  </si>
  <si>
    <t xml:space="preserve">21267   </t>
  </si>
  <si>
    <t xml:space="preserve">  上海信达立人投资管理有限公司(内资)  </t>
  </si>
  <si>
    <t xml:space="preserve">   四川东华机械集团有限公司 </t>
  </si>
  <si>
    <t xml:space="preserve"> 鸿运环境产业园区   </t>
  </si>
  <si>
    <t xml:space="preserve">宿迁   </t>
  </si>
  <si>
    <t xml:space="preserve">宿城   </t>
  </si>
  <si>
    <t xml:space="preserve">2019-11-07   </t>
  </si>
  <si>
    <t xml:space="preserve">3592.18   </t>
  </si>
  <si>
    <t xml:space="preserve">916   </t>
  </si>
  <si>
    <t xml:space="preserve">39200   </t>
  </si>
  <si>
    <t xml:space="preserve">   江苏宏运环保科技有限公司 </t>
  </si>
  <si>
    <t xml:space="preserve"> 丰树南通崇川物流园   </t>
  </si>
  <si>
    <t xml:space="preserve">南通   </t>
  </si>
  <si>
    <t xml:space="preserve">崇川   </t>
  </si>
  <si>
    <t xml:space="preserve">24260   </t>
  </si>
  <si>
    <t xml:space="preserve">3594   </t>
  </si>
  <si>
    <t xml:space="preserve">67502   </t>
  </si>
  <si>
    <t xml:space="preserve">   新加坡丰树管理咨询有限公司,伊藤忠商事 </t>
  </si>
  <si>
    <t xml:space="preserve"> 万家村工业园区   </t>
  </si>
  <si>
    <t xml:space="preserve">婺城   </t>
  </si>
  <si>
    <t xml:space="preserve">2019-09-11   </t>
  </si>
  <si>
    <t xml:space="preserve">8650   </t>
  </si>
  <si>
    <t xml:space="preserve">829   </t>
  </si>
  <si>
    <t xml:space="preserve">104352   </t>
  </si>
  <si>
    <t xml:space="preserve">   浙江百盛卫生用品有限公司 </t>
  </si>
  <si>
    <t xml:space="preserve"> 苏家高速公路物业B   </t>
  </si>
  <si>
    <t xml:space="preserve">2018-08-28   </t>
  </si>
  <si>
    <t xml:space="preserve">9257.2   </t>
  </si>
  <si>
    <t xml:space="preserve">2200   </t>
  </si>
  <si>
    <t xml:space="preserve">42085   </t>
  </si>
  <si>
    <t xml:space="preserve">  亨通集团有限公司(内资)  </t>
  </si>
  <si>
    <t xml:space="preserve">   华冠通讯股份有限公司 </t>
  </si>
  <si>
    <t xml:space="preserve"> 畅达路8号   </t>
  </si>
  <si>
    <t xml:space="preserve">常熟   </t>
  </si>
  <si>
    <t xml:space="preserve">2020-05-18   </t>
  </si>
  <si>
    <t xml:space="preserve">11137   </t>
  </si>
  <si>
    <t xml:space="preserve">3180   </t>
  </si>
  <si>
    <t xml:space="preserve">43372   </t>
  </si>
  <si>
    <t xml:space="preserve">  江阴滨江澄源投资集团有限公司(内资)  </t>
  </si>
  <si>
    <t xml:space="preserve">   江阴市中昌担保有限公司 </t>
  </si>
  <si>
    <t xml:space="preserve"> 龙岗物流园   </t>
  </si>
  <si>
    <t xml:space="preserve">2019-09-26   </t>
  </si>
  <si>
    <t xml:space="preserve">162960   </t>
  </si>
  <si>
    <t xml:space="preserve">6890   </t>
  </si>
  <si>
    <t xml:space="preserve">236513   </t>
  </si>
  <si>
    <t xml:space="preserve">  深圳市鸿讯投资发展有限公司(内资)  </t>
  </si>
  <si>
    <t xml:space="preserve">   沈阳公用发展股份有限公司 </t>
  </si>
  <si>
    <t xml:space="preserve"> 北京十三号数据中心   </t>
  </si>
  <si>
    <t xml:space="preserve">2020-07-23   </t>
  </si>
  <si>
    <t xml:space="preserve">260000   </t>
  </si>
  <si>
    <t xml:space="preserve">123813   </t>
  </si>
  <si>
    <t xml:space="preserve">21000   </t>
  </si>
  <si>
    <t xml:space="preserve">  万国数据服务有限公司(内资),中国中信集团有限公司(内资)  </t>
  </si>
  <si>
    <t xml:space="preserve">   腾龙数据(北京)科技发展有限公司 </t>
  </si>
  <si>
    <t xml:space="preserve"> 九江经济技术开发区城西区厂房   </t>
  </si>
  <si>
    <t xml:space="preserve">九江   </t>
  </si>
  <si>
    <t xml:space="preserve">柴桑   </t>
  </si>
  <si>
    <t xml:space="preserve">2017-11-03   </t>
  </si>
  <si>
    <t xml:space="preserve">921   </t>
  </si>
  <si>
    <t xml:space="preserve">390915   </t>
  </si>
  <si>
    <t xml:space="preserve">  香港艾美特国际集团有限公司(外资)  </t>
  </si>
  <si>
    <t xml:space="preserve">   九江经济技术开发区(出口加工区)管理委员会 </t>
  </si>
  <si>
    <t xml:space="preserve"> 苏虹西路9号   </t>
  </si>
  <si>
    <t xml:space="preserve">2019-08-19   </t>
  </si>
  <si>
    <t xml:space="preserve">10000   </t>
  </si>
  <si>
    <t xml:space="preserve">3227   </t>
  </si>
  <si>
    <t xml:space="preserve">30991   </t>
  </si>
  <si>
    <t xml:space="preserve">  苏州新合生置业有限公司(内资)  </t>
  </si>
  <si>
    <t xml:space="preserve">   虹光精密工业股份有限公司 </t>
  </si>
  <si>
    <t xml:space="preserve"> 太古冷链（成都站点）   </t>
  </si>
  <si>
    <t xml:space="preserve">新津   </t>
  </si>
  <si>
    <t xml:space="preserve">2018-07-11   </t>
  </si>
  <si>
    <t xml:space="preserve">27955.54   </t>
  </si>
  <si>
    <t xml:space="preserve">8736   </t>
  </si>
  <si>
    <t xml:space="preserve">31999   </t>
  </si>
  <si>
    <t xml:space="preserve">  万科企业股份有限公司(内资)  </t>
  </si>
  <si>
    <t xml:space="preserve">   太古实业有限公司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</si>
  <si>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</si>
  <si>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</si>
  <si>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</si>
  <si>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</si>
  <si>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</si>
  <si>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</si>
  <si>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丰树长沙物流园（二期）   </t>
  </si>
  <si>
    <t xml:space="preserve">长沙   </t>
  </si>
  <si>
    <t xml:space="preserve">岳麓   </t>
  </si>
  <si>
    <t xml:space="preserve">2019-11-26   </t>
  </si>
  <si>
    <t xml:space="preserve">37534.55   </t>
  </si>
  <si>
    <t xml:space="preserve">3835   </t>
  </si>
  <si>
    <t xml:space="preserve">97886   </t>
  </si>
  <si>
    <t xml:space="preserve">  上海丰树管理有限公司(外资)  </t>
  </si>
  <si>
    <t xml:space="preserve">   伊藤忠商事株式会社 </t>
  </si>
  <si>
    <t xml:space="preserve"> 玉林制药工业园区   </t>
  </si>
  <si>
    <t xml:space="preserve">玉林   </t>
  </si>
  <si>
    <t xml:space="preserve">容县   </t>
  </si>
  <si>
    <t xml:space="preserve">2019-12-11   </t>
  </si>
  <si>
    <t xml:space="preserve">70000   </t>
  </si>
  <si>
    <t xml:space="preserve">13917   </t>
  </si>
  <si>
    <t xml:space="preserve">50299   </t>
  </si>
  <si>
    <t xml:space="preserve">  广西华发房地产开发集团有限公司(内资),玉林市顺浪置业投资有限公司(内资)  </t>
  </si>
  <si>
    <t xml:space="preserve">   康臣药业集团有限公司,玉林市顺浪置业投资有限公司 </t>
  </si>
  <si>
    <t xml:space="preserve"> 天映机械制造   </t>
  </si>
  <si>
    <t xml:space="preserve">望城   </t>
  </si>
  <si>
    <t xml:space="preserve">2018-09-28   </t>
  </si>
  <si>
    <t xml:space="preserve">22736   </t>
  </si>
  <si>
    <t xml:space="preserve">  江西华伍制动器股份有限公司(内资)  </t>
  </si>
  <si>
    <t xml:space="preserve">   长沙天映航空装备有限公司 </t>
  </si>
  <si>
    <t xml:space="preserve"> 萧山金洋集团工业园区   </t>
  </si>
  <si>
    <t xml:space="preserve">萧山   </t>
  </si>
  <si>
    <t xml:space="preserve">2020-02-25   </t>
  </si>
  <si>
    <t xml:space="preserve">7910   </t>
  </si>
  <si>
    <t xml:space="preserve">1710   </t>
  </si>
  <si>
    <t xml:space="preserve">46269   </t>
  </si>
  <si>
    <t xml:space="preserve">  杭州奇俊贸易有限公司(内资)  </t>
  </si>
  <si>
    <t xml:space="preserve">   浙江金洋控股集团有限公司 </t>
  </si>
  <si>
    <t xml:space="preserve"> 东岗村工业楼   </t>
  </si>
  <si>
    <t xml:space="preserve">2020-07-31   </t>
  </si>
  <si>
    <t xml:space="preserve">20000   </t>
  </si>
  <si>
    <t xml:space="preserve">2562   </t>
  </si>
  <si>
    <t xml:space="preserve">78061   </t>
  </si>
  <si>
    <t xml:space="preserve">  兰溪市鸿业建设有限公司(内资)  </t>
  </si>
  <si>
    <t xml:space="preserve">   浙江嘉宝化工有限公司 </t>
  </si>
  <si>
    <t xml:space="preserve"> 人民路2888号   </t>
  </si>
  <si>
    <t xml:space="preserve">2017-05-25   </t>
  </si>
  <si>
    <t xml:space="preserve">35568.73   </t>
  </si>
  <si>
    <t xml:space="preserve">21182   </t>
  </si>
  <si>
    <t xml:space="preserve">16792   </t>
  </si>
  <si>
    <t xml:space="preserve">  道信信息技术(上海)有限公司(内资)  </t>
  </si>
  <si>
    <t xml:space="preserve">   绿地控股集团有限公司 </t>
  </si>
  <si>
    <t xml:space="preserve"> 高峰糖业厂房   </t>
  </si>
  <si>
    <t xml:space="preserve">2019-10-21   </t>
  </si>
  <si>
    <t xml:space="preserve">11020   </t>
  </si>
  <si>
    <t xml:space="preserve">3561   </t>
  </si>
  <si>
    <t xml:space="preserve">30945   </t>
  </si>
  <si>
    <t xml:space="preserve">   苏州高峰糖业有限公司 </t>
  </si>
  <si>
    <t xml:space="preserve"> 志高工业园   </t>
  </si>
  <si>
    <t xml:space="preserve">南海   </t>
  </si>
  <si>
    <t xml:space="preserve">2019-08-08   </t>
  </si>
  <si>
    <t xml:space="preserve">45000   </t>
  </si>
  <si>
    <t xml:space="preserve">3289   </t>
  </si>
  <si>
    <t xml:space="preserve">136808   </t>
  </si>
  <si>
    <t xml:space="preserve">  粤港澳大湾区产融资产管理有限公司(内资)  </t>
  </si>
  <si>
    <t xml:space="preserve">   志高控股有限公司 </t>
  </si>
  <si>
    <t xml:space="preserve"> 丰树武汉阳逻物流园   </t>
  </si>
  <si>
    <t xml:space="preserve">武汉   </t>
  </si>
  <si>
    <t xml:space="preserve">新洲   </t>
  </si>
  <si>
    <t xml:space="preserve">29191.15   </t>
  </si>
  <si>
    <t xml:space="preserve">4171   </t>
  </si>
  <si>
    <t xml:space="preserve">69982   </t>
  </si>
  <si>
    <t xml:space="preserve"> 南沙物业   </t>
  </si>
  <si>
    <t xml:space="preserve">南沙   </t>
  </si>
  <si>
    <t xml:space="preserve">2017-08-12   </t>
  </si>
  <si>
    <t xml:space="preserve">13100   </t>
  </si>
  <si>
    <t xml:space="preserve">6493   </t>
  </si>
  <si>
    <t xml:space="preserve">20174   </t>
  </si>
  <si>
    <t xml:space="preserve">  创美药业股份有限公司(内资)  </t>
  </si>
  <si>
    <t xml:space="preserve">   雅和(广州)首饰有限公司 </t>
  </si>
  <si>
    <t xml:space="preserve"> 星光印刷厂   </t>
  </si>
  <si>
    <t xml:space="preserve">西乡   </t>
  </si>
  <si>
    <t xml:space="preserve">2020-02-21   </t>
  </si>
  <si>
    <t xml:space="preserve">31920   </t>
  </si>
  <si>
    <t xml:space="preserve">10209   </t>
  </si>
  <si>
    <t xml:space="preserve">31268   </t>
  </si>
  <si>
    <t xml:space="preserve">  安徽峻岭企业服务集团有限公司(内资)  </t>
  </si>
  <si>
    <t xml:space="preserve">   星光集团有限公司 </t>
  </si>
  <si>
    <t xml:space="preserve"> 三博永康工业园区   </t>
  </si>
  <si>
    <t xml:space="preserve">2020-01-24   </t>
  </si>
  <si>
    <t xml:space="preserve">7400.8   </t>
  </si>
  <si>
    <t xml:space="preserve">1142   </t>
  </si>
  <si>
    <t xml:space="preserve">64826   </t>
  </si>
  <si>
    <t xml:space="preserve">   浙江三博实业有限公司 </t>
  </si>
  <si>
    <t xml:space="preserve"> 凤栖路22号工业厂房   </t>
  </si>
  <si>
    <t xml:space="preserve">常州   </t>
  </si>
  <si>
    <t xml:space="preserve">武进   </t>
  </si>
  <si>
    <t xml:space="preserve">2021-01-31   </t>
  </si>
  <si>
    <t xml:space="preserve">18059.2   </t>
  </si>
  <si>
    <t xml:space="preserve">2404   </t>
  </si>
  <si>
    <t xml:space="preserve">75123   </t>
  </si>
  <si>
    <t xml:space="preserve">   常州大诚纺织集团有限公司 </t>
  </si>
  <si>
    <t xml:space="preserve"> 南沙区工厂   </t>
  </si>
  <si>
    <t xml:space="preserve">2017-11-24   </t>
  </si>
  <si>
    <t xml:space="preserve">6500   </t>
  </si>
  <si>
    <t xml:space="preserve">2803   </t>
  </si>
  <si>
    <t xml:space="preserve">23186   </t>
  </si>
  <si>
    <t xml:space="preserve">   广州番禺立联电子有限公司 </t>
  </si>
  <si>
    <t xml:space="preserve"> 同得仕大厦   </t>
  </si>
  <si>
    <t xml:space="preserve">福田   </t>
  </si>
  <si>
    <t xml:space="preserve">梅林   </t>
  </si>
  <si>
    <t xml:space="preserve">2020-03-31   </t>
  </si>
  <si>
    <t xml:space="preserve">27600   </t>
  </si>
  <si>
    <t xml:space="preserve">25016   </t>
  </si>
  <si>
    <t xml:space="preserve">11033   </t>
  </si>
  <si>
    <t xml:space="preserve">  森锋有限公司(外资)  </t>
  </si>
  <si>
    <t xml:space="preserve">   同得仕(集团)有限公司 </t>
  </si>
  <si>
    <t xml:space="preserve"> 丰树常熟高科技物流园   </t>
  </si>
  <si>
    <t xml:space="preserve">23149   </t>
  </si>
  <si>
    <t xml:space="preserve">3797   </t>
  </si>
  <si>
    <t xml:space="preserve">60965   </t>
  </si>
  <si>
    <t xml:space="preserve"> 春兴精密工业园区   </t>
  </si>
  <si>
    <t xml:space="preserve">2018-10-26   </t>
  </si>
  <si>
    <t xml:space="preserve">9500   </t>
  </si>
  <si>
    <t xml:space="preserve">3932   </t>
  </si>
  <si>
    <t xml:space="preserve">24163   </t>
  </si>
  <si>
    <t xml:space="preserve">  苏州正得利环保技术服务有限公司(内资)  </t>
  </si>
  <si>
    <t xml:space="preserve">   苏州春兴精工股份有限公司 </t>
  </si>
  <si>
    <t xml:space="preserve"> 东瑞四路328号   </t>
  </si>
  <si>
    <t xml:space="preserve">2020-08-20   </t>
  </si>
  <si>
    <t xml:space="preserve">12220   </t>
  </si>
  <si>
    <t xml:space="preserve">2294   </t>
  </si>
  <si>
    <t xml:space="preserve">53277   </t>
  </si>
  <si>
    <t xml:space="preserve">   杭州冠亮园林工程有限公司 </t>
  </si>
  <si>
    <t xml:space="preserve"> 金马鞋业中山厂   </t>
  </si>
  <si>
    <t xml:space="preserve">16800   </t>
  </si>
  <si>
    <t xml:space="preserve">1691   </t>
  </si>
  <si>
    <t xml:space="preserve">99361   </t>
  </si>
  <si>
    <t xml:space="preserve">  汇骏(香港)投资有限公司(外资)  </t>
  </si>
  <si>
    <t xml:space="preserve"> 青岛装备制造基地地块及厂房   </t>
  </si>
  <si>
    <t xml:space="preserve">青岛   </t>
  </si>
  <si>
    <t xml:space="preserve">城阳   </t>
  </si>
  <si>
    <t xml:space="preserve">高新区   </t>
  </si>
  <si>
    <t xml:space="preserve">2021-02-23   </t>
  </si>
  <si>
    <t xml:space="preserve">  青岛市城阳区国有资产发展中心(内资)  </t>
  </si>
  <si>
    <t xml:space="preserve"> 德通电气综合体   </t>
  </si>
  <si>
    <t xml:space="preserve">泰州   </t>
  </si>
  <si>
    <t xml:space="preserve">2020-04-23   </t>
  </si>
  <si>
    <t xml:space="preserve">   泰州德通电气有限公司 </t>
  </si>
  <si>
    <t xml:space="preserve"> 鹏博士深圳南山数据中心   </t>
  </si>
  <si>
    <t xml:space="preserve">南山   </t>
  </si>
  <si>
    <t xml:space="preserve">科技园   </t>
  </si>
  <si>
    <t xml:space="preserve"> 刀枪河路9号工业厂房   </t>
  </si>
  <si>
    <t xml:space="preserve">2020-01-03   </t>
  </si>
  <si>
    <t xml:space="preserve">4400   </t>
  </si>
  <si>
    <t xml:space="preserve">1625   </t>
  </si>
  <si>
    <t xml:space="preserve">27084   </t>
  </si>
  <si>
    <t xml:space="preserve">  南京康士洁洗涤服务有限公司(内资)  </t>
  </si>
  <si>
    <t xml:space="preserve">   江苏爱心企业服务有限公司 </t>
  </si>
  <si>
    <t xml:space="preserve"> 英业达物流园   </t>
  </si>
  <si>
    <t xml:space="preserve">闵行   </t>
  </si>
  <si>
    <t xml:space="preserve">2020-01-16   </t>
  </si>
  <si>
    <t xml:space="preserve">137000   </t>
  </si>
  <si>
    <t xml:space="preserve">7018   </t>
  </si>
  <si>
    <t xml:space="preserve">195212   </t>
  </si>
  <si>
    <t xml:space="preserve">  GDS控股有限公司(GDS Holdings LLC)(外资)  </t>
  </si>
  <si>
    <t xml:space="preserve">   英业达集团(天津)电子技术有限公司 </t>
  </si>
  <si>
    <t xml:space="preserve"> 通业路58号   </t>
  </si>
  <si>
    <t xml:space="preserve">金山   </t>
  </si>
  <si>
    <t xml:space="preserve">5144   </t>
  </si>
  <si>
    <t xml:space="preserve">3151   </t>
  </si>
  <si>
    <t xml:space="preserve">16323   </t>
  </si>
  <si>
    <t xml:space="preserve">  上海恒信源企业(集团)有限公司(内资)  </t>
  </si>
  <si>
    <t xml:space="preserve">   上海中际电气有限公司 </t>
  </si>
  <si>
    <t xml:space="preserve"> 金澳工业园   </t>
  </si>
  <si>
    <t xml:space="preserve">2017-12-10   </t>
  </si>
  <si>
    <t xml:space="preserve">6000   </t>
  </si>
  <si>
    <t xml:space="preserve">49999   </t>
  </si>
  <si>
    <t xml:space="preserve"> 成都750园区   </t>
  </si>
  <si>
    <t xml:space="preserve">高新西区   </t>
  </si>
  <si>
    <t xml:space="preserve">2020-01-14   </t>
  </si>
  <si>
    <t xml:space="preserve">30200   </t>
  </si>
  <si>
    <t xml:space="preserve">2823   </t>
  </si>
  <si>
    <t xml:space="preserve">106997   </t>
  </si>
  <si>
    <t xml:space="preserve">  业成科技(成都)有限公司(外资)  </t>
  </si>
  <si>
    <t xml:space="preserve">   成都建工第五建筑工程有限公司 </t>
  </si>
  <si>
    <t xml:space="preserve"> 台虹科技产业园区   </t>
  </si>
  <si>
    <t xml:space="preserve">2019-12-12   </t>
  </si>
  <si>
    <t xml:space="preserve">13871   </t>
  </si>
  <si>
    <t xml:space="preserve">32256   </t>
  </si>
  <si>
    <t xml:space="preserve">  淳华科技(昆山)有限公司(合资)  </t>
  </si>
  <si>
    <t xml:space="preserve">   南京台虹新材料科技有限公司 </t>
  </si>
  <si>
    <t xml:space="preserve"> 南京江宁新宜物流园   </t>
  </si>
  <si>
    <t xml:space="preserve">江宁   </t>
  </si>
  <si>
    <t xml:space="preserve">2020-05-06   </t>
  </si>
  <si>
    <t xml:space="preserve">63559.22   </t>
  </si>
  <si>
    <t xml:space="preserve">8707   </t>
  </si>
  <si>
    <t xml:space="preserve">72998   </t>
  </si>
  <si>
    <t xml:space="preserve">  摩根大通银行(中国)有限公司(外资)  </t>
  </si>
  <si>
    <t xml:space="preserve">   新宜(上海)企业管理咨询有限公司 </t>
  </si>
  <si>
    <t xml:space="preserve"> 苍南县玲合工业园区   </t>
  </si>
  <si>
    <t xml:space="preserve">温州   </t>
  </si>
  <si>
    <t xml:space="preserve">苍南   </t>
  </si>
  <si>
    <t xml:space="preserve">2019-11-14   </t>
  </si>
  <si>
    <t xml:space="preserve">8804.2   </t>
  </si>
  <si>
    <t xml:space="preserve">2816   </t>
  </si>
  <si>
    <t xml:space="preserve">31260   </t>
  </si>
  <si>
    <t xml:space="preserve">   温州玲合家具有限公司 </t>
  </si>
  <si>
    <t xml:space="preserve"> 海川街大厦   </t>
  </si>
  <si>
    <t xml:space="preserve">滨海新区   </t>
  </si>
  <si>
    <t xml:space="preserve">11500   </t>
  </si>
  <si>
    <t xml:space="preserve">1775   </t>
  </si>
  <si>
    <t xml:space="preserve">64776   </t>
  </si>
  <si>
    <t xml:space="preserve">  南京曦德市政工程有限公司(合资)  </t>
  </si>
  <si>
    <t xml:space="preserve">   晟通亿和(天津)企业管理咨询有限公司 </t>
  </si>
  <si>
    <t xml:space="preserve"> 美恩生物科技广场   </t>
  </si>
  <si>
    <t xml:space="preserve">2020-06-23   </t>
  </si>
  <si>
    <t xml:space="preserve">56000   </t>
  </si>
  <si>
    <t xml:space="preserve">28000   </t>
  </si>
  <si>
    <t xml:space="preserve">14086   </t>
  </si>
  <si>
    <t xml:space="preserve">  摩根士丹利亚洲投资有限公司(外资)  </t>
  </si>
  <si>
    <t xml:space="preserve">   Medipharm Biotech Pharmaceutical有限公司 </t>
  </si>
  <si>
    <t xml:space="preserve"> 爱华路工业厂房   </t>
  </si>
  <si>
    <t xml:space="preserve">11160   </t>
  </si>
  <si>
    <t xml:space="preserve">2116   </t>
  </si>
  <si>
    <t xml:space="preserve">52743   </t>
  </si>
  <si>
    <t xml:space="preserve">  杭州民生药业有限公司(内资)  </t>
  </si>
  <si>
    <t xml:space="preserve">   杭州爱华文具有限公司 </t>
  </si>
  <si>
    <t xml:space="preserve"> 北京十四号数据中心   </t>
  </si>
  <si>
    <t xml:space="preserve">顺义   </t>
  </si>
  <si>
    <t xml:space="preserve">2020-09-23   </t>
  </si>
  <si>
    <t xml:space="preserve">380000   </t>
  </si>
  <si>
    <t xml:space="preserve">19000   </t>
  </si>
  <si>
    <t xml:space="preserve">  万国数据服务有限公司(内资),中信产业投资基金管理有限公司(内资)  </t>
  </si>
  <si>
    <t xml:space="preserve">   中信产业投资基金管理有限公司 </t>
  </si>
  <si>
    <t xml:space="preserve"> 二公河俄电加工区工业厂房   </t>
  </si>
  <si>
    <t xml:space="preserve">黑河   </t>
  </si>
  <si>
    <t xml:space="preserve">2020-12-28   </t>
  </si>
  <si>
    <t xml:space="preserve">15600   </t>
  </si>
  <si>
    <t xml:space="preserve">65260.6   </t>
  </si>
  <si>
    <t xml:space="preserve">  黑河龙合投资管理有限责任公司(内资)  </t>
  </si>
  <si>
    <t xml:space="preserve">   黑河龙江化工有限公司,信阳毛尖控股有限公司 </t>
  </si>
  <si>
    <t xml:space="preserve"> 海翔广场   </t>
  </si>
  <si>
    <t xml:space="preserve">蛇口   </t>
  </si>
  <si>
    <t xml:space="preserve">2018-08-01   </t>
  </si>
  <si>
    <t xml:space="preserve">47295.98   </t>
  </si>
  <si>
    <t xml:space="preserve">11797   </t>
  </si>
  <si>
    <t xml:space="preserve">40092   </t>
  </si>
  <si>
    <t xml:space="preserve"> 南京江宁物流园   </t>
  </si>
  <si>
    <t xml:space="preserve">2020-03-10   </t>
  </si>
  <si>
    <t xml:space="preserve">48265   </t>
  </si>
  <si>
    <t xml:space="preserve">  捷豹路虎(中国)投资有限公司(外资),锦海捷亚国际货运有限公司(合资)  </t>
  </si>
  <si>
    <t xml:space="preserve">   北京凯雷投资中心(有限合伙) </t>
  </si>
  <si>
    <t xml:space="preserve"> 新宜嘉定物流园区   </t>
  </si>
  <si>
    <t xml:space="preserve">嘉定   </t>
  </si>
  <si>
    <t xml:space="preserve">89265.1   </t>
  </si>
  <si>
    <t xml:space="preserve">18993   </t>
  </si>
  <si>
    <t xml:space="preserve">46999   </t>
  </si>
  <si>
    <t xml:space="preserve">  摩根资产管理(中国)有限公司(外资)  </t>
  </si>
  <si>
    <t xml:space="preserve"> 昆山花桥数据中心（二期）   </t>
  </si>
  <si>
    <t xml:space="preserve">2019-11-09   </t>
  </si>
  <si>
    <t xml:space="preserve">275993   </t>
  </si>
  <si>
    <t xml:space="preserve">  GAW CAPITAL ASSET MANAGEMENT (HK) LIMITED(外资),中金数据集团有限公司(内资)  </t>
  </si>
  <si>
    <t xml:space="preserve">   万国数据服务有限公司 </t>
  </si>
  <si>
    <t xml:space="preserve"> 中山(潮州)产业转移工业园径南分园JN06-08-2地块   </t>
  </si>
  <si>
    <t xml:space="preserve">潮州   </t>
  </si>
  <si>
    <t xml:space="preserve">饶平县   </t>
  </si>
  <si>
    <t xml:space="preserve">2018-12-31   </t>
  </si>
  <si>
    <t xml:space="preserve">977.78   </t>
  </si>
  <si>
    <t xml:space="preserve">321   </t>
  </si>
  <si>
    <t xml:space="preserve">30421   </t>
  </si>
  <si>
    <t xml:space="preserve">  沈阳公用发展股份有限公司(内资)  </t>
  </si>
  <si>
    <t xml:space="preserve">   深圳市中投建设投资有限公司 </t>
  </si>
  <si>
    <t xml:space="preserve"> 江苏苏州高新区厂房   </t>
  </si>
  <si>
    <t xml:space="preserve">2018-05-06   </t>
  </si>
  <si>
    <t xml:space="preserve">11479.66   </t>
  </si>
  <si>
    <t xml:space="preserve">9075   </t>
  </si>
  <si>
    <t xml:space="preserve">12650   </t>
  </si>
  <si>
    <t xml:space="preserve">  南京三友置业有限公司(内资)  </t>
  </si>
  <si>
    <t xml:space="preserve">   永新科技有限公司 </t>
  </si>
  <si>
    <t xml:space="preserve"> 智能制造中心   </t>
  </si>
  <si>
    <t xml:space="preserve">嘉兴   </t>
  </si>
  <si>
    <t xml:space="preserve">南湖   </t>
  </si>
  <si>
    <t xml:space="preserve">2019-09-29   </t>
  </si>
  <si>
    <t xml:space="preserve">4806.7   </t>
  </si>
  <si>
    <t xml:space="preserve">549   </t>
  </si>
  <si>
    <t xml:space="preserve">87618   </t>
  </si>
  <si>
    <t xml:space="preserve">  嘉兴科技城投资发展集团有限公司(内资)  </t>
  </si>
  <si>
    <t xml:space="preserve">   国美控股集团有限公司 </t>
  </si>
  <si>
    <t xml:space="preserve"> 南京新宜空港物流园   </t>
  </si>
  <si>
    <t xml:space="preserve">174134.86   </t>
  </si>
  <si>
    <t xml:space="preserve">199995   </t>
  </si>
  <si>
    <t xml:space="preserve"> 宝利嘉纺织工业园区   </t>
  </si>
  <si>
    <t xml:space="preserve">六安   </t>
  </si>
  <si>
    <t xml:space="preserve">117106   </t>
  </si>
  <si>
    <t xml:space="preserve">  六安西商产业集团有限公司(内资)  </t>
  </si>
  <si>
    <t xml:space="preserve">   宝利嘉集团有限公司 </t>
  </si>
  <si>
    <t xml:space="preserve"> 大连国际物流中心   </t>
  </si>
  <si>
    <t xml:space="preserve">大连   </t>
  </si>
  <si>
    <t xml:space="preserve">金州   </t>
  </si>
  <si>
    <t xml:space="preserve">2018-10-01   </t>
  </si>
  <si>
    <t xml:space="preserve">25022.67   </t>
  </si>
  <si>
    <t xml:space="preserve">1800   </t>
  </si>
  <si>
    <t xml:space="preserve">139028   </t>
  </si>
  <si>
    <t xml:space="preserve"> 申江路新苗村1000号   </t>
  </si>
  <si>
    <t xml:space="preserve">2017-03-15   </t>
  </si>
  <si>
    <t xml:space="preserve">63000   </t>
  </si>
  <si>
    <t xml:space="preserve">5486   </t>
  </si>
  <si>
    <t xml:space="preserve">114829   </t>
  </si>
  <si>
    <t xml:space="preserve">  上海星保信息科技有限公司(内资)  </t>
  </si>
  <si>
    <t xml:space="preserve">   株洲宏达电子股份有限公司,威宏电子(上海)有限公司 </t>
  </si>
  <si>
    <t xml:space="preserve"> DGLZ物业   </t>
  </si>
  <si>
    <t xml:space="preserve">新城   </t>
  </si>
  <si>
    <t xml:space="preserve">2018-08-15   </t>
  </si>
  <si>
    <t xml:space="preserve">11000   </t>
  </si>
  <si>
    <t xml:space="preserve">1929   </t>
  </si>
  <si>
    <t xml:space="preserve">57022   </t>
  </si>
  <si>
    <t xml:space="preserve">  维科控股集团股份有限公司(内资)  </t>
  </si>
  <si>
    <t xml:space="preserve">   联志国际有限公司 </t>
  </si>
  <si>
    <t xml:space="preserve"> 沙田镇冷链综合体   </t>
  </si>
  <si>
    <t xml:space="preserve">沙田   </t>
  </si>
  <si>
    <t xml:space="preserve">2020-11-30   </t>
  </si>
  <si>
    <t xml:space="preserve">33799   </t>
  </si>
  <si>
    <t xml:space="preserve">  Hines Hong Kong Limited(外资),凯雷斯投资咨询(上海)有限公司(外资)  </t>
  </si>
  <si>
    <t xml:space="preserve"> 兴利龙岗工厂   </t>
  </si>
  <si>
    <t xml:space="preserve">2019-08-23   </t>
  </si>
  <si>
    <t xml:space="preserve">7468.36   </t>
  </si>
  <si>
    <t xml:space="preserve">2133   </t>
  </si>
  <si>
    <t xml:space="preserve">35009   </t>
  </si>
  <si>
    <t xml:space="preserve">  宏海发展有限公司(外资)  </t>
  </si>
  <si>
    <t xml:space="preserve">   兴利 (香港) 控股有限公司 </t>
  </si>
  <si>
    <t xml:space="preserve"> 龙岗工业园区   </t>
  </si>
  <si>
    <t xml:space="preserve">2018-07-13   </t>
  </si>
  <si>
    <t xml:space="preserve">6806.84   </t>
  </si>
  <si>
    <t xml:space="preserve">1453   </t>
  </si>
  <si>
    <t xml:space="preserve">46856   </t>
  </si>
  <si>
    <t xml:space="preserve">   上海中星(集团)有限公司 </t>
  </si>
  <si>
    <t xml:space="preserve"> 科珠路196号厂房   </t>
  </si>
  <si>
    <t xml:space="preserve">19469.87   </t>
  </si>
  <si>
    <t xml:space="preserve">9161   </t>
  </si>
  <si>
    <t xml:space="preserve">21253   </t>
  </si>
  <si>
    <t xml:space="preserve">  普洛斯投资(上海)有限公司(外资)  </t>
  </si>
  <si>
    <t xml:space="preserve">   北京弘毅远方投资顾问有限公司 </t>
  </si>
  <si>
    <t xml:space="preserve">2020-02-18   </t>
  </si>
  <si>
    <t xml:space="preserve">  风帆控股有限公司(外资)  </t>
  </si>
  <si>
    <t xml:space="preserve">   苏州百士通精密机械有限公司 </t>
  </si>
  <si>
    <t xml:space="preserve"> 硕银数码科技产业园区   </t>
  </si>
  <si>
    <t xml:space="preserve">龙湾   </t>
  </si>
  <si>
    <t xml:space="preserve">2019-12-20   </t>
  </si>
  <si>
    <t xml:space="preserve">9805   </t>
  </si>
  <si>
    <t xml:space="preserve">2499   </t>
  </si>
  <si>
    <t xml:space="preserve">39232   </t>
  </si>
  <si>
    <t xml:space="preserve">  温州市宏源铜业有限公司(内资)  </t>
  </si>
  <si>
    <t xml:space="preserve">   硕颖集团有限公司,温州恒力投资发展有限公司 </t>
  </si>
  <si>
    <t xml:space="preserve"> 昆明机床股份有限公司厂房   </t>
  </si>
  <si>
    <t xml:space="preserve">昆明   </t>
  </si>
  <si>
    <t xml:space="preserve">盘龙   </t>
  </si>
  <si>
    <t xml:space="preserve">2017-01-31   </t>
  </si>
  <si>
    <t xml:space="preserve">47138.04   </t>
  </si>
  <si>
    <t xml:space="preserve">3732   </t>
  </si>
  <si>
    <t xml:space="preserve">126324   </t>
  </si>
  <si>
    <t xml:space="preserve">  昆明市盘龙区人民政府办公室(内资)  </t>
  </si>
  <si>
    <t xml:space="preserve">   沈机集团昆明机床股份有限公司 </t>
  </si>
  <si>
    <t xml:space="preserve"> 高通路工业建筑   </t>
  </si>
  <si>
    <t xml:space="preserve">瓯海   </t>
  </si>
  <si>
    <t xml:space="preserve">2020-08-31   </t>
  </si>
  <si>
    <t xml:space="preserve">12111   </t>
  </si>
  <si>
    <t xml:space="preserve">1762   </t>
  </si>
  <si>
    <t xml:space="preserve">68717   </t>
  </si>
  <si>
    <t xml:space="preserve">   浙江美福食品有限公司 </t>
  </si>
  <si>
    <t xml:space="preserve"> 金涛物流中心   </t>
  </si>
  <si>
    <t xml:space="preserve">2017-03-16   </t>
  </si>
  <si>
    <t xml:space="preserve">17720.41   </t>
  </si>
  <si>
    <t xml:space="preserve">4909   </t>
  </si>
  <si>
    <t xml:space="preserve">36101   </t>
  </si>
  <si>
    <t xml:space="preserve">   亨泰消费品集团有限公司 </t>
  </si>
  <si>
    <t xml:space="preserve"> 园区路60号   </t>
  </si>
  <si>
    <t xml:space="preserve">2019-10-09   </t>
  </si>
  <si>
    <t xml:space="preserve">91048   </t>
  </si>
  <si>
    <t xml:space="preserve">  苏州永纺纤维科技有限公司(内资)  </t>
  </si>
  <si>
    <t xml:space="preserve">   吴江金时利织造有限公司,维莱特纺织(苏州)有限公司 </t>
  </si>
  <si>
    <t xml:space="preserve"> 兴华港区大道厂房   </t>
  </si>
  <si>
    <t xml:space="preserve">13060   </t>
  </si>
  <si>
    <t xml:space="preserve">2488   </t>
  </si>
  <si>
    <t xml:space="preserve">52477   </t>
  </si>
  <si>
    <t xml:space="preserve">   信达重工(苏州)有限公司 </t>
  </si>
  <si>
    <t xml:space="preserve"> 康桥鹿顺路项目   </t>
  </si>
  <si>
    <t xml:space="preserve">康桥   </t>
  </si>
  <si>
    <t xml:space="preserve">10600   </t>
  </si>
  <si>
    <t xml:space="preserve">  GAW CAPITAL ASSET MANAGEMENT (HK) LIMITED(外资)  </t>
  </si>
  <si>
    <t xml:space="preserve">   上海康桥实业发展(集团)有限公司 </t>
  </si>
  <si>
    <t xml:space="preserve"> 惠州LPL工业园区   </t>
  </si>
  <si>
    <t xml:space="preserve">惠州   </t>
  </si>
  <si>
    <t xml:space="preserve">博罗   </t>
  </si>
  <si>
    <t xml:space="preserve">2019-08-26   </t>
  </si>
  <si>
    <t xml:space="preserve">8323.94   </t>
  </si>
  <si>
    <t xml:space="preserve">1662   </t>
  </si>
  <si>
    <t xml:space="preserve">50074   </t>
  </si>
  <si>
    <t xml:space="preserve">  浙江东方基因生物制品股份有限公司(外资)  </t>
  </si>
  <si>
    <t xml:space="preserve">   RHB Banking Group,欧宝电气(深圳)有限公司,RUBBEREX (HONG KONG) LIMITED </t>
  </si>
  <si>
    <t xml:space="preserve"> 源进路3号   </t>
  </si>
  <si>
    <t xml:space="preserve">吴中   </t>
  </si>
  <si>
    <t xml:space="preserve">2017-08-22   </t>
  </si>
  <si>
    <t xml:space="preserve">3221.72   </t>
  </si>
  <si>
    <t xml:space="preserve">1688   </t>
  </si>
  <si>
    <t xml:space="preserve">19091   </t>
  </si>
  <si>
    <t xml:space="preserve">  苏州华尔迪胶粘五金制品有限公司(内资)  </t>
  </si>
  <si>
    <t xml:space="preserve">   和进电子股份有限公司 </t>
  </si>
  <si>
    <t xml:space="preserve"> 南京河西新城科技园   </t>
  </si>
  <si>
    <t xml:space="preserve">建邺   </t>
  </si>
  <si>
    <t xml:space="preserve">2020-03-19   </t>
  </si>
  <si>
    <t xml:space="preserve">16817.49   </t>
  </si>
  <si>
    <t xml:space="preserve">2599   </t>
  </si>
  <si>
    <t xml:space="preserve">64697   </t>
  </si>
  <si>
    <t xml:space="preserve">   江苏经纬建设集团有限公司,南京美展利医药科技有限公司 </t>
  </si>
  <si>
    <t xml:space="preserve"> 汉唐纺织服装工业园区   </t>
  </si>
  <si>
    <t xml:space="preserve">徐州   </t>
  </si>
  <si>
    <t xml:space="preserve">沛县   </t>
  </si>
  <si>
    <t xml:space="preserve">2020-02-15   </t>
  </si>
  <si>
    <t xml:space="preserve">3605.78   </t>
  </si>
  <si>
    <t xml:space="preserve">1144   </t>
  </si>
  <si>
    <t xml:space="preserve">31516   </t>
  </si>
  <si>
    <t xml:space="preserve">   江苏汉唐纺织服饰有限公司 </t>
  </si>
  <si>
    <t xml:space="preserve"> 维龙、基汇上海物流园   </t>
  </si>
  <si>
    <t xml:space="preserve">2018-11-22   </t>
  </si>
  <si>
    <t xml:space="preserve">37999   </t>
  </si>
  <si>
    <t xml:space="preserve">  安联房地产咨询(上海)有限公司(外资)  </t>
  </si>
  <si>
    <t xml:space="preserve">   GAW CAPITAL ASSET MANAGEMENT (HK) LIMITED,SEGRO </t>
  </si>
  <si>
    <t xml:space="preserve"> ESR无锡物流园   </t>
  </si>
  <si>
    <t xml:space="preserve">无锡   </t>
  </si>
  <si>
    <t xml:space="preserve">42043   </t>
  </si>
  <si>
    <t xml:space="preserve">  ESR Cayman Limited(外资),宏利(外资),北京普亘国际贸易有限公司(内资)  </t>
  </si>
  <si>
    <t xml:space="preserve">   REDWOOD HOLDING </t>
  </si>
  <si>
    <t xml:space="preserve"> 康舒科技 (Acbel Polytech Inc.)   </t>
  </si>
  <si>
    <t xml:space="preserve">2017-08-09   </t>
  </si>
  <si>
    <t xml:space="preserve">93154.6   </t>
  </si>
  <si>
    <t xml:space="preserve">8983   </t>
  </si>
  <si>
    <t xml:space="preserve">103695   </t>
  </si>
  <si>
    <t xml:space="preserve">  东莞市华堂实业投资有限公司(内资)  </t>
  </si>
  <si>
    <t xml:space="preserve">   康舒电子(东莞)有限公司 </t>
  </si>
  <si>
    <t xml:space="preserve"> 昆阳市成华工业园区   </t>
  </si>
  <si>
    <t xml:space="preserve">瑞安   </t>
  </si>
  <si>
    <t xml:space="preserve">2019-11-19   </t>
  </si>
  <si>
    <t xml:space="preserve">64128   </t>
  </si>
  <si>
    <t xml:space="preserve">   成华控股集团有限公司 </t>
  </si>
  <si>
    <t xml:space="preserve"> 航头镇好时工厂   </t>
  </si>
  <si>
    <t xml:space="preserve">2018-09-21   </t>
  </si>
  <si>
    <t xml:space="preserve">59999   </t>
  </si>
  <si>
    <t xml:space="preserve">   好时公司 </t>
  </si>
  <si>
    <t xml:space="preserve"> 信达重工厂   </t>
  </si>
  <si>
    <t xml:space="preserve">2020-05-15   </t>
  </si>
  <si>
    <t xml:space="preserve">13055   </t>
  </si>
  <si>
    <t xml:space="preserve">127079   </t>
  </si>
  <si>
    <t xml:space="preserve"> 春晓镇工业区厂房   </t>
  </si>
  <si>
    <t xml:space="preserve">宁波   </t>
  </si>
  <si>
    <t xml:space="preserve">北仑   </t>
  </si>
  <si>
    <t xml:space="preserve">2020-04-17   </t>
  </si>
  <si>
    <t xml:space="preserve">12410   </t>
  </si>
  <si>
    <t xml:space="preserve">1433   </t>
  </si>
  <si>
    <t xml:space="preserve">86600   </t>
  </si>
  <si>
    <t xml:space="preserve">  宁波市金钟调味食品有限公司(内资)  </t>
  </si>
  <si>
    <t xml:space="preserve">   红光控股集团有限公司 </t>
  </si>
  <si>
    <t xml:space="preserve"> 西部智谷A6、A7座   </t>
  </si>
  <si>
    <t xml:space="preserve">咸阳   </t>
  </si>
  <si>
    <t xml:space="preserve">13853.66   </t>
  </si>
  <si>
    <t xml:space="preserve">3148   </t>
  </si>
  <si>
    <t xml:space="preserve">  彩虹集团有限公司(内资)  </t>
  </si>
  <si>
    <t xml:space="preserve">   咸阳中电西部智谷实业有限公司 </t>
  </si>
  <si>
    <t xml:space="preserve"> 丰树长沙高科技物流园1期、2期   </t>
  </si>
  <si>
    <t xml:space="preserve">33057.36   </t>
  </si>
  <si>
    <t xml:space="preserve">79251   </t>
  </si>
  <si>
    <t xml:space="preserve"> 豪威工业园区   </t>
  </si>
  <si>
    <t xml:space="preserve">2019-12-31   </t>
  </si>
  <si>
    <t xml:space="preserve">59000   </t>
  </si>
  <si>
    <t xml:space="preserve">6529   </t>
  </si>
  <si>
    <t xml:space="preserve">90369   </t>
  </si>
  <si>
    <t xml:space="preserve">  赢家时尚(江山)电子商务有限公司(内资),深圳市珂莱蒂尔服饰有限公司(内资)  </t>
  </si>
  <si>
    <t xml:space="preserve">   深圳市西部城建投资控股集团有限公司 </t>
  </si>
  <si>
    <t xml:space="preserve"> 金冶工业园区   </t>
  </si>
  <si>
    <t xml:space="preserve">2019-09-19   </t>
  </si>
  <si>
    <t xml:space="preserve">25668   </t>
  </si>
  <si>
    <t xml:space="preserve">3588   </t>
  </si>
  <si>
    <t xml:space="preserve">71541   </t>
  </si>
  <si>
    <t xml:space="preserve">  湖州市城市投资发展集团有限公司(内资),湖州市华兴城建发展有限公司(内资)  </t>
  </si>
  <si>
    <t xml:space="preserve">   浙江金冶实业集团有限公司,浙江金冶不锈钢制造有限公司,湖州金冶电子材料股份有限公司 </t>
  </si>
  <si>
    <t xml:space="preserve"> 圣雄皮业工厂   </t>
  </si>
  <si>
    <t xml:space="preserve">2020-03-24   </t>
  </si>
  <si>
    <t xml:space="preserve">69216   </t>
  </si>
  <si>
    <t xml:space="preserve">  云斯创科技(温州)有限公司(内资)  </t>
  </si>
  <si>
    <t xml:space="preserve">   圣雄投资集团有限公司 </t>
  </si>
  <si>
    <t xml:space="preserve"> 保盈大道18号   </t>
  </si>
  <si>
    <t xml:space="preserve">2018-06-27   </t>
  </si>
  <si>
    <t xml:space="preserve">11810.51   </t>
  </si>
  <si>
    <t xml:space="preserve">3548   </t>
  </si>
  <si>
    <t xml:space="preserve">33284   </t>
  </si>
  <si>
    <t xml:space="preserve">  广州广合科技股份有限公司(内资)  </t>
  </si>
  <si>
    <t xml:space="preserve">   大众控股有限公司 </t>
  </si>
  <si>
    <t xml:space="preserve"> 中浩工业园   </t>
  </si>
  <si>
    <t xml:space="preserve">八卦岭   </t>
  </si>
  <si>
    <t xml:space="preserve">2017-06-10   </t>
  </si>
  <si>
    <t xml:space="preserve">110000   </t>
  </si>
  <si>
    <t xml:space="preserve">16667   </t>
  </si>
  <si>
    <t xml:space="preserve">65998   </t>
  </si>
  <si>
    <t xml:space="preserve">  第一太平戴维斯物业顾问(上海)有限公司(外资)  </t>
  </si>
  <si>
    <t xml:space="preserve"> 丰树成都青白江物流园   </t>
  </si>
  <si>
    <t xml:space="preserve">9753.07   </t>
  </si>
  <si>
    <t xml:space="preserve">4843   </t>
  </si>
  <si>
    <t xml:space="preserve">20138   </t>
  </si>
  <si>
    <t xml:space="preserve"> 义乌市佛堂工业园区   </t>
  </si>
  <si>
    <t xml:space="preserve">义乌   </t>
  </si>
  <si>
    <t xml:space="preserve">2019-11-16   </t>
  </si>
  <si>
    <t xml:space="preserve">  义乌市国有资本运营有限公司(内资),义乌市双江湖开发集团有限公司(内资)  </t>
  </si>
  <si>
    <t xml:space="preserve">   浙江伟龙包装科技有限公司 </t>
  </si>
  <si>
    <t xml:space="preserve"> 河东路10号工业厂房   </t>
  </si>
  <si>
    <t xml:space="preserve">15720   </t>
  </si>
  <si>
    <t xml:space="preserve">7891   </t>
  </si>
  <si>
    <t xml:space="preserve">19920   </t>
  </si>
  <si>
    <t xml:space="preserve">  青岛安顺嘉合产业运营有限公司(内资)  </t>
  </si>
  <si>
    <t xml:space="preserve">   青岛天时油气科技服务有限公司 </t>
  </si>
  <si>
    <t xml:space="preserve"> 新松普工业园   </t>
  </si>
  <si>
    <t xml:space="preserve">龙华区   </t>
  </si>
  <si>
    <t xml:space="preserve">2020-03-20   </t>
  </si>
  <si>
    <t xml:space="preserve">5000   </t>
  </si>
  <si>
    <t xml:space="preserve">2275   </t>
  </si>
  <si>
    <t xml:space="preserve">21975   </t>
  </si>
  <si>
    <t xml:space="preserve">  深圳市鑫瑞电子有限公司(内资)  </t>
  </si>
  <si>
    <t xml:space="preserve">   松普(北京)科技有限公司 </t>
  </si>
  <si>
    <t xml:space="preserve"> 昆山花桥中心迅驰酒店   </t>
  </si>
  <si>
    <t xml:space="preserve">2019-11-08   </t>
  </si>
  <si>
    <t xml:space="preserve">299993   </t>
  </si>
  <si>
    <t xml:space="preserve">   IDC,中金数据集团有限公司 </t>
  </si>
  <si>
    <t xml:space="preserve"> 中信资本物流项目   </t>
  </si>
  <si>
    <t xml:space="preserve">40100   </t>
  </si>
  <si>
    <t xml:space="preserve">  深圳市前海领盛投资发展有限公司(内资)  </t>
  </si>
  <si>
    <t xml:space="preserve">   中信资本股权投资(天津)股份有限公司 </t>
  </si>
  <si>
    <t xml:space="preserve"> 硅科技（苏州）有限公司   </t>
  </si>
  <si>
    <t xml:space="preserve">2018-07-19   </t>
  </si>
  <si>
    <t xml:space="preserve">23500   </t>
  </si>
  <si>
    <t xml:space="preserve">2298   </t>
  </si>
  <si>
    <t xml:space="preserve">102252   </t>
  </si>
  <si>
    <t xml:space="preserve">  苏州胥叠实业有限公司(内资)  </t>
  </si>
  <si>
    <t xml:space="preserve">   闳晖实业股份有限公司 </t>
  </si>
  <si>
    <t xml:space="preserve"> 余姚市艾莱依工业园   </t>
  </si>
  <si>
    <t xml:space="preserve">余姚   </t>
  </si>
  <si>
    <t xml:space="preserve">鄞州   </t>
  </si>
  <si>
    <t xml:space="preserve">2019-08-13   </t>
  </si>
  <si>
    <t xml:space="preserve">13600   </t>
  </si>
  <si>
    <t xml:space="preserve">1128   </t>
  </si>
  <si>
    <t xml:space="preserve">120621   </t>
  </si>
  <si>
    <t xml:space="preserve">  宁波陵江日化有限公司(内资)  </t>
  </si>
  <si>
    <t xml:space="preserve">   广东新峰投资集团有限公司 </t>
  </si>
  <si>
    <t xml:space="preserve"> 北沙东路60号   </t>
  </si>
  <si>
    <t xml:space="preserve">2020-05-19   </t>
  </si>
  <si>
    <t xml:space="preserve">10217   </t>
  </si>
  <si>
    <t xml:space="preserve">3287   </t>
  </si>
  <si>
    <t xml:space="preserve">22266   </t>
  </si>
  <si>
    <t xml:space="preserve">  浙江鸿辰新材料科技有限公司(内资)  </t>
  </si>
  <si>
    <t xml:space="preserve">   浙江瑞欧纳化妆品有限公司 </t>
  </si>
  <si>
    <t xml:space="preserve"> 华新丽华特钢厂   </t>
  </si>
  <si>
    <t xml:space="preserve">2019-09-27   </t>
  </si>
  <si>
    <t xml:space="preserve">22199   </t>
  </si>
  <si>
    <t xml:space="preserve">4937   </t>
  </si>
  <si>
    <t xml:space="preserve">44968   </t>
  </si>
  <si>
    <t xml:space="preserve">  白鹤镇土地减量化工作小组办公室(内资)  </t>
  </si>
  <si>
    <t xml:space="preserve">   上海白鹤华新丽华特殊钢制品有限公司 </t>
  </si>
  <si>
    <t xml:space="preserve"> 洛阳物流中心一期C、D、H栋   </t>
  </si>
  <si>
    <t xml:space="preserve">呈贡   </t>
  </si>
  <si>
    <t xml:space="preserve">38105.77   </t>
  </si>
  <si>
    <t xml:space="preserve">3045   </t>
  </si>
  <si>
    <t xml:space="preserve">125151   </t>
  </si>
  <si>
    <t xml:space="preserve">  昆明钢铁控股有限公司(内资),云南宝象物流集团有限公司(内资)  </t>
  </si>
  <si>
    <t xml:space="preserve">   德宏后谷咖啡有限公司 </t>
  </si>
  <si>
    <t xml:space="preserve"> 长春市经开区杨浦路工业区   </t>
  </si>
  <si>
    <t xml:space="preserve">长春   </t>
  </si>
  <si>
    <t xml:space="preserve">南关   </t>
  </si>
  <si>
    <t xml:space="preserve">12604.63   </t>
  </si>
  <si>
    <t xml:space="preserve">1066   </t>
  </si>
  <si>
    <t xml:space="preserve">118295   </t>
  </si>
  <si>
    <t xml:space="preserve">  长春经济技术开发区城市建设集团有限责任公司(内资)  </t>
  </si>
  <si>
    <t xml:space="preserve">   长春经开(集团)股份有限公司 </t>
  </si>
  <si>
    <t xml:space="preserve"> 长塔路558号   </t>
  </si>
  <si>
    <t xml:space="preserve">松江   </t>
  </si>
  <si>
    <t xml:space="preserve">16300   </t>
  </si>
  <si>
    <t xml:space="preserve">4391   </t>
  </si>
  <si>
    <t xml:space="preserve">37121   </t>
  </si>
  <si>
    <t xml:space="preserve">  上海合晶硅材料股份有限公司(合资)  </t>
  </si>
  <si>
    <t xml:space="preserve">   上海新茸惠民物业有限公司 </t>
  </si>
  <si>
    <t xml:space="preserve"> 华富路1号   </t>
  </si>
  <si>
    <t xml:space="preserve">禅城   </t>
  </si>
  <si>
    <t xml:space="preserve">20523.2   </t>
  </si>
  <si>
    <t xml:space="preserve">3290   </t>
  </si>
  <si>
    <t xml:space="preserve">62377   </t>
  </si>
  <si>
    <t xml:space="preserve">  佛山朗贝尼纺织有限公司(内资)  </t>
  </si>
  <si>
    <t xml:space="preserve">   个人投资者 </t>
  </si>
  <si>
    <t xml:space="preserve"> 鑫达路8号厂房   </t>
  </si>
  <si>
    <t xml:space="preserve">嘉善   </t>
  </si>
  <si>
    <t xml:space="preserve">2017-03-28   </t>
  </si>
  <si>
    <t xml:space="preserve">954   </t>
  </si>
  <si>
    <t xml:space="preserve">115359   </t>
  </si>
  <si>
    <t xml:space="preserve">  嘉善经开资产经营管理有限公司(内资)  </t>
  </si>
  <si>
    <t xml:space="preserve"> 华威南屿物流园   </t>
  </si>
  <si>
    <t xml:space="preserve">福州   </t>
  </si>
  <si>
    <t xml:space="preserve">闽侯   </t>
  </si>
  <si>
    <t xml:space="preserve">2020-01-09   </t>
  </si>
  <si>
    <t xml:space="preserve">60199   </t>
  </si>
  <si>
    <t xml:space="preserve">  福建东百集团股份有限公司(内资)  </t>
  </si>
  <si>
    <t xml:space="preserve">   福建华威集团有限公司 </t>
  </si>
  <si>
    <t xml:space="preserve"> 青蛙王子工业园区   </t>
  </si>
  <si>
    <t xml:space="preserve">漳州   </t>
  </si>
  <si>
    <t xml:space="preserve">龙文   </t>
  </si>
  <si>
    <t xml:space="preserve">2019-10-14   </t>
  </si>
  <si>
    <t xml:space="preserve">11399.65   </t>
  </si>
  <si>
    <t xml:space="preserve">2077   </t>
  </si>
  <si>
    <t xml:space="preserve">54878   </t>
  </si>
  <si>
    <t xml:space="preserve">   未来发展集团有限公司 </t>
  </si>
  <si>
    <t xml:space="preserve"> 航艇带业大厦   </t>
  </si>
  <si>
    <t xml:space="preserve">2020-04-15   </t>
  </si>
  <si>
    <t xml:space="preserve">  义乌市优瑞服饰有限公司(内资)  </t>
  </si>
  <si>
    <t xml:space="preserve">   义乌市航艇带业有限公司 </t>
  </si>
  <si>
    <t xml:space="preserve"> 长园新材料城市更新   </t>
  </si>
  <si>
    <t xml:space="preserve">2020-09-25   </t>
  </si>
  <si>
    <t xml:space="preserve">212000   </t>
  </si>
  <si>
    <t xml:space="preserve">  正中投资集团有限公司(内资)  </t>
  </si>
  <si>
    <t xml:space="preserve">   长园科技集团股份有限公司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</si>
  <si>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</si>
  <si>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</si>
  <si>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</si>
  <si>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</si>
  <si>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</si>
  <si>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</si>
  <si>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鹅岭南路工业园区   </t>
  </si>
  <si>
    <t xml:space="preserve">惠城   </t>
  </si>
  <si>
    <t xml:space="preserve">2018-10-16   </t>
  </si>
  <si>
    <t xml:space="preserve">17547.47   </t>
  </si>
  <si>
    <t xml:space="preserve">3408   </t>
  </si>
  <si>
    <t xml:space="preserve">51496   </t>
  </si>
  <si>
    <t xml:space="preserve">   大昌微线有限公司 </t>
  </si>
  <si>
    <t xml:space="preserve"> 格锐达工业园区（东区）   </t>
  </si>
  <si>
    <t xml:space="preserve">平度   </t>
  </si>
  <si>
    <t xml:space="preserve">2018-09-25   </t>
  </si>
  <si>
    <t xml:space="preserve">2809.86   </t>
  </si>
  <si>
    <t xml:space="preserve">1183   </t>
  </si>
  <si>
    <t xml:space="preserve">23749   </t>
  </si>
  <si>
    <t xml:space="preserve">  赛轮集团股份有限公司(内资)  </t>
  </si>
  <si>
    <t xml:space="preserve">   青岛易元投资有限公司,Upon completion,固铂轮胎(中国)投资有限公司,赛轮集团股份有限公司 </t>
  </si>
  <si>
    <t xml:space="preserve"> 昆山淀山湖花桥物流园   </t>
  </si>
  <si>
    <t xml:space="preserve">74935   </t>
  </si>
  <si>
    <t xml:space="preserve">6812   </t>
  </si>
  <si>
    <t xml:space="preserve">109997   </t>
  </si>
  <si>
    <t xml:space="preserve"> 重庆双凯产业园   </t>
  </si>
  <si>
    <t xml:space="preserve">江津   </t>
  </si>
  <si>
    <t xml:space="preserve">52022   </t>
  </si>
  <si>
    <t xml:space="preserve"> 丰树济南国际物流园   </t>
  </si>
  <si>
    <t xml:space="preserve">济南   </t>
  </si>
  <si>
    <t xml:space="preserve">历城   </t>
  </si>
  <si>
    <t xml:space="preserve">28274.06   </t>
  </si>
  <si>
    <t xml:space="preserve">3494   </t>
  </si>
  <si>
    <t xml:space="preserve">80929   </t>
  </si>
  <si>
    <t xml:space="preserve"> 浙江普飞鞋业厂房   </t>
  </si>
  <si>
    <t xml:space="preserve">鹿城   </t>
  </si>
  <si>
    <t xml:space="preserve">11629.11   </t>
  </si>
  <si>
    <t xml:space="preserve">3937   </t>
  </si>
  <si>
    <t xml:space="preserve">29535   </t>
  </si>
  <si>
    <t xml:space="preserve">   浙江普飞鞋业有限公司 </t>
  </si>
  <si>
    <t xml:space="preserve"> 东方万国企业中心   </t>
  </si>
  <si>
    <t xml:space="preserve">金桥   </t>
  </si>
  <si>
    <t xml:space="preserve">  北京弘毅远方投资顾问有限公司(外资)  </t>
  </si>
  <si>
    <t xml:space="preserve">   上海润安置业发展有限公司 </t>
  </si>
  <si>
    <t xml:space="preserve"> 金山廊下物流园   </t>
  </si>
  <si>
    <t xml:space="preserve">48296   </t>
  </si>
  <si>
    <t xml:space="preserve"> 昆山花桥数据中心（一期）   </t>
  </si>
  <si>
    <t xml:space="preserve">23999   </t>
  </si>
  <si>
    <t xml:space="preserve"> 南湖路1号工业厂房   </t>
  </si>
  <si>
    <t xml:space="preserve">滨湖区   </t>
  </si>
  <si>
    <t xml:space="preserve">21350   </t>
  </si>
  <si>
    <t xml:space="preserve">3348   </t>
  </si>
  <si>
    <t xml:space="preserve">63760   </t>
  </si>
  <si>
    <t xml:space="preserve">  无锡山水产业投资发展有限公司(内资)  </t>
  </si>
  <si>
    <t xml:space="preserve">   无锡二泉太阳能科技有限公司 </t>
  </si>
  <si>
    <t xml:space="preserve"> 湖南科瑞工业园区   </t>
  </si>
  <si>
    <t xml:space="preserve">2019-09-12   </t>
  </si>
  <si>
    <t xml:space="preserve">9062.04   </t>
  </si>
  <si>
    <t xml:space="preserve">3654   </t>
  </si>
  <si>
    <t xml:space="preserve">24801   </t>
  </si>
  <si>
    <t xml:space="preserve">   湖南科瑞鸿泰医药有限公司 </t>
  </si>
  <si>
    <t xml:space="preserve"> 稠江新世纪电子商务园   </t>
  </si>
  <si>
    <t xml:space="preserve">12720   </t>
  </si>
  <si>
    <t xml:space="preserve">1461   </t>
  </si>
  <si>
    <t xml:space="preserve">87040   </t>
  </si>
  <si>
    <t xml:space="preserve">   浙江义乌丰臻工艺品有限公司 </t>
  </si>
  <si>
    <t xml:space="preserve"> ESR昆山物流园   </t>
  </si>
  <si>
    <t xml:space="preserve">27419   </t>
  </si>
  <si>
    <t xml:space="preserve">  宏利(外资),张家港宏利橡塑制品有限公司(外资),北京普亘国际贸易有限公司(内资)  </t>
  </si>
  <si>
    <t xml:space="preserve"> 峰江齐合铸造   </t>
  </si>
  <si>
    <t xml:space="preserve">台州   </t>
  </si>
  <si>
    <t xml:space="preserve">路桥   </t>
  </si>
  <si>
    <t xml:space="preserve">2017-09-01   </t>
  </si>
  <si>
    <t xml:space="preserve">7311.77   </t>
  </si>
  <si>
    <t xml:space="preserve">2226   </t>
  </si>
  <si>
    <t xml:space="preserve">32853   </t>
  </si>
  <si>
    <t xml:space="preserve">  台州湾循环经济产业集聚区椒江分区建设投资有限公司(内资)  </t>
  </si>
  <si>
    <t xml:space="preserve">   齐合环保集团有限公司 </t>
  </si>
  <si>
    <t xml:space="preserve"> 大塘工业园A区73-1、73-2号土地及厂房   </t>
  </si>
  <si>
    <t xml:space="preserve">三水   </t>
  </si>
  <si>
    <t xml:space="preserve">2017-12-25   </t>
  </si>
  <si>
    <t xml:space="preserve">7678.24   </t>
  </si>
  <si>
    <t xml:space="preserve">   中国农业银行股份有限公司广州市绿色金融改革创新试验区花都分行 </t>
  </si>
  <si>
    <t xml:space="preserve"> 恒飞路8号   </t>
  </si>
  <si>
    <t xml:space="preserve">2020-02-14   </t>
  </si>
  <si>
    <t xml:space="preserve">4750   </t>
  </si>
  <si>
    <t xml:space="preserve">2295   </t>
  </si>
  <si>
    <t xml:space="preserve">20699   </t>
  </si>
  <si>
    <t xml:space="preserve">  南京奥合商务咨询服务有限公司(内资)  </t>
  </si>
  <si>
    <t xml:space="preserve">   大贺传媒股份有限公司 </t>
  </si>
  <si>
    <t xml:space="preserve"> 重庆秦安二郎工业园区   </t>
  </si>
  <si>
    <t xml:space="preserve">九龙坡   </t>
  </si>
  <si>
    <t xml:space="preserve">2019-12-13   </t>
  </si>
  <si>
    <t xml:space="preserve">50094   </t>
  </si>
  <si>
    <t xml:space="preserve">  重庆渝隆资产经营(集团)有限公司(内资)  </t>
  </si>
  <si>
    <t xml:space="preserve">   重庆秦安机电股份有限公司 </t>
  </si>
  <si>
    <t xml:space="preserve"> 火炬路8号   </t>
  </si>
  <si>
    <t xml:space="preserve">2018-12-29   </t>
  </si>
  <si>
    <t xml:space="preserve">14500   </t>
  </si>
  <si>
    <t xml:space="preserve">4599   </t>
  </si>
  <si>
    <t xml:space="preserve">31530   </t>
  </si>
  <si>
    <t xml:space="preserve">  广东万宝龙门实业有限公司(内资)  </t>
  </si>
  <si>
    <t xml:space="preserve">   江苏向阳科技有限公司 </t>
  </si>
  <si>
    <t xml:space="preserve"> 宁波赛特（CTCIT）工业厂房   </t>
  </si>
  <si>
    <t xml:space="preserve">慈溪   </t>
  </si>
  <si>
    <t xml:space="preserve">13166   </t>
  </si>
  <si>
    <t xml:space="preserve">3059   </t>
  </si>
  <si>
    <t xml:space="preserve">43043   </t>
  </si>
  <si>
    <t xml:space="preserve">  宁波奥魄电器有限公司(内资)  </t>
  </si>
  <si>
    <t xml:space="preserve">   宁波赛特信息科技发展有限公司 </t>
  </si>
  <si>
    <t xml:space="preserve"> 昆山淀山湖物流园   </t>
  </si>
  <si>
    <t xml:space="preserve">21799   </t>
  </si>
  <si>
    <t xml:space="preserve"> 天津蓝禾工业园区   </t>
  </si>
  <si>
    <t xml:space="preserve">东丽   </t>
  </si>
  <si>
    <t xml:space="preserve">2019-11-11   </t>
  </si>
  <si>
    <t xml:space="preserve">3500   </t>
  </si>
  <si>
    <t xml:space="preserve">3350   </t>
  </si>
  <si>
    <t xml:space="preserve">10447   </t>
  </si>
  <si>
    <t xml:space="preserve">  天津元朗达商贸有限公司(内资)  </t>
  </si>
  <si>
    <t xml:space="preserve">   天津蓝川木业有限公司 </t>
  </si>
  <si>
    <t xml:space="preserve"> 格兰特购物中心   </t>
  </si>
  <si>
    <t xml:space="preserve">市中   </t>
  </si>
  <si>
    <t xml:space="preserve">商业   </t>
  </si>
  <si>
    <t xml:space="preserve">2019-11-01   </t>
  </si>
  <si>
    <t xml:space="preserve">240094   </t>
  </si>
  <si>
    <t xml:space="preserve">  天津广宇发展股份有限公司(内资)  </t>
  </si>
  <si>
    <t xml:space="preserve">   山东鲁能亘富开发有限公司 </t>
  </si>
  <si>
    <t xml:space="preserve"> 恒大中渝广场   </t>
  </si>
  <si>
    <t xml:space="preserve">2020-07-14   </t>
  </si>
  <si>
    <t xml:space="preserve">131700   </t>
  </si>
  <si>
    <t xml:space="preserve">20024   </t>
  </si>
  <si>
    <t xml:space="preserve">65772   </t>
  </si>
  <si>
    <t xml:space="preserve">  恒大人寿保险有限公司(合资)  </t>
  </si>
  <si>
    <t xml:space="preserve">   重庆中渝物业发展有限公司 </t>
  </si>
  <si>
    <t xml:space="preserve"> 印力中心   </t>
  </si>
  <si>
    <t xml:space="preserve">2017-10-20   </t>
  </si>
  <si>
    <t xml:space="preserve">273220.26   </t>
  </si>
  <si>
    <t xml:space="preserve">78065   </t>
  </si>
  <si>
    <t xml:space="preserve">34999   </t>
  </si>
  <si>
    <t xml:space="preserve">  印力商用置业有限公司(内资)  </t>
  </si>
  <si>
    <t xml:space="preserve"> 友谊商厦   </t>
  </si>
  <si>
    <t xml:space="preserve">友谊路   </t>
  </si>
  <si>
    <t xml:space="preserve">2019-11-22   </t>
  </si>
  <si>
    <t xml:space="preserve">  方大集团股份有限公司(内资)  </t>
  </si>
  <si>
    <t xml:space="preserve">   天津市国有资产监督管理委员会 </t>
  </si>
  <si>
    <t xml:space="preserve"> 石岐地铁商城   </t>
  </si>
  <si>
    <t xml:space="preserve">2017-06-19   </t>
  </si>
  <si>
    <t xml:space="preserve">280350   </t>
  </si>
  <si>
    <t xml:space="preserve">32467   </t>
  </si>
  <si>
    <t xml:space="preserve">86350   </t>
  </si>
  <si>
    <t xml:space="preserve">  大信商用信托(外资)  </t>
  </si>
  <si>
    <t xml:space="preserve">   中山市大信置业有限公司 </t>
  </si>
  <si>
    <t xml:space="preserve"> 步步高广场（合川店）   </t>
  </si>
  <si>
    <t xml:space="preserve">合川   </t>
  </si>
  <si>
    <t xml:space="preserve">2020-12-21   </t>
  </si>
  <si>
    <t xml:space="preserve">65600   </t>
  </si>
  <si>
    <t xml:space="preserve">  重庆百货大楼股份有限公司(内资)  </t>
  </si>
  <si>
    <t xml:space="preserve">   重庆市合川区步步高宝川置业有限责任公司,重庆步步高中煌商业管理有限公司 </t>
  </si>
  <si>
    <t xml:space="preserve"> 八达岭奥特莱斯   </t>
  </si>
  <si>
    <t xml:space="preserve">昌平   </t>
  </si>
  <si>
    <t xml:space="preserve">248200   </t>
  </si>
  <si>
    <t xml:space="preserve">42543   </t>
  </si>
  <si>
    <t xml:space="preserve">58348   </t>
  </si>
  <si>
    <t xml:space="preserve">  北京华联大信商业管理有限公司(内资)  </t>
  </si>
  <si>
    <t xml:space="preserve">   南通凯宝农副产品有限公司 </t>
  </si>
  <si>
    <t xml:space="preserve"> 永潮街138号   </t>
  </si>
  <si>
    <t xml:space="preserve">下城   </t>
  </si>
  <si>
    <t xml:space="preserve">7088   </t>
  </si>
  <si>
    <t xml:space="preserve">6161   </t>
  </si>
  <si>
    <t xml:space="preserve">11504   </t>
  </si>
  <si>
    <t xml:space="preserve">   杭州灯塔养殖总场 </t>
  </si>
  <si>
    <t xml:space="preserve"> 维多利亚星空购物中心   </t>
  </si>
  <si>
    <t xml:space="preserve">硚口   </t>
  </si>
  <si>
    <t xml:space="preserve">2017-12-04   </t>
  </si>
  <si>
    <t xml:space="preserve">70570.56   </t>
  </si>
  <si>
    <t xml:space="preserve">16202   </t>
  </si>
  <si>
    <t xml:space="preserve">43557   </t>
  </si>
  <si>
    <t xml:space="preserve">  越秀房地产投资信托基金(内资)  </t>
  </si>
  <si>
    <t xml:space="preserve">   越秀地产股份有限公司 </t>
  </si>
  <si>
    <t xml:space="preserve"> 昆明大观商业城B1、B2幢   </t>
  </si>
  <si>
    <t xml:space="preserve">五华   </t>
  </si>
  <si>
    <t xml:space="preserve">2014-03-31   </t>
  </si>
  <si>
    <t xml:space="preserve">405.02   </t>
  </si>
  <si>
    <t xml:space="preserve">9541   </t>
  </si>
  <si>
    <t xml:space="preserve">4245   </t>
  </si>
  <si>
    <t xml:space="preserve"> 南海怡丰城购物中心   </t>
  </si>
  <si>
    <t xml:space="preserve">72908   </t>
  </si>
  <si>
    <t xml:space="preserve">  中海企业发展集团有限公司(外资)  </t>
  </si>
  <si>
    <t xml:space="preserve">   丰树中印基金 </t>
  </si>
  <si>
    <t xml:space="preserve"> 姚家园路住宅区某物业发展项目   </t>
  </si>
  <si>
    <t xml:space="preserve">朝阳公园   </t>
  </si>
  <si>
    <t xml:space="preserve">49700   </t>
  </si>
  <si>
    <t xml:space="preserve">84900   </t>
  </si>
  <si>
    <t xml:space="preserve"> 赛特大厦   </t>
  </si>
  <si>
    <t xml:space="preserve">2019-07-25   </t>
  </si>
  <si>
    <t xml:space="preserve">13000   </t>
  </si>
  <si>
    <t xml:space="preserve">  碧桂园地产集团有限公司(内资)  </t>
  </si>
  <si>
    <t xml:space="preserve">   北京赛特商贸有限公司 </t>
  </si>
  <si>
    <t xml:space="preserve"> 城南苑凯德广场   </t>
  </si>
  <si>
    <t xml:space="preserve">南昌   </t>
  </si>
  <si>
    <t xml:space="preserve">青云谱   </t>
  </si>
  <si>
    <t xml:space="preserve">2018-09-04   </t>
  </si>
  <si>
    <t xml:space="preserve">31661.05   </t>
  </si>
  <si>
    <t xml:space="preserve">8475   </t>
  </si>
  <si>
    <t xml:space="preserve">37357   </t>
  </si>
  <si>
    <t xml:space="preserve">  万科企业股份有限公司(内资),厚朴投资管理有限责任公司(内资)  </t>
  </si>
  <si>
    <t xml:space="preserve">   凯德商用产业有限公司 </t>
  </si>
  <si>
    <t xml:space="preserve"> 北京华联长江西路购物中心   </t>
  </si>
  <si>
    <t xml:space="preserve">2018-12-18   </t>
  </si>
  <si>
    <t xml:space="preserve">32830   </t>
  </si>
  <si>
    <t xml:space="preserve">12061   </t>
  </si>
  <si>
    <t xml:space="preserve">27221   </t>
  </si>
  <si>
    <t xml:space="preserve">  北京华联商业信托(外资)  </t>
  </si>
  <si>
    <t xml:space="preserve">   北京华联集团投资控股有限公司 </t>
  </si>
  <si>
    <t xml:space="preserve"> 胶州路152-158号   </t>
  </si>
  <si>
    <t xml:space="preserve">市北   </t>
  </si>
  <si>
    <t xml:space="preserve">2017-04-13   </t>
  </si>
  <si>
    <t xml:space="preserve">70021.55   </t>
  </si>
  <si>
    <t xml:space="preserve">26417   </t>
  </si>
  <si>
    <t xml:space="preserve">26506   </t>
  </si>
  <si>
    <t xml:space="preserve">  福州三盛置业有限公司(内资)  </t>
  </si>
  <si>
    <t xml:space="preserve">   利福国际集团有限公司 </t>
  </si>
  <si>
    <t xml:space="preserve"> 人民路239号   </t>
  </si>
  <si>
    <t xml:space="preserve">姑苏   </t>
  </si>
  <si>
    <t xml:space="preserve">21981   </t>
  </si>
  <si>
    <t xml:space="preserve">  佛山市新明珠实业投资有限公司(内资)  </t>
  </si>
  <si>
    <t xml:space="preserve">   嘉凯城集团股份有限公司 </t>
  </si>
  <si>
    <t xml:space="preserve"> 武汉BHG生活超市   </t>
  </si>
  <si>
    <t xml:space="preserve">武昌   </t>
  </si>
  <si>
    <t xml:space="preserve">2018-11-20   </t>
  </si>
  <si>
    <t xml:space="preserve">10881.98   </t>
  </si>
  <si>
    <t xml:space="preserve">7466   </t>
  </si>
  <si>
    <t xml:space="preserve">14575   </t>
  </si>
  <si>
    <t xml:space="preserve">  汉合江阳(北京)商业发展有限公司(内资)  </t>
  </si>
  <si>
    <t xml:space="preserve">   北京华联商厦股份有限公司 </t>
  </si>
  <si>
    <t xml:space="preserve"> 荣华奥特莱斯商业项目   </t>
  </si>
  <si>
    <t xml:space="preserve">经开   </t>
  </si>
  <si>
    <t xml:space="preserve">2020-08-29   </t>
  </si>
  <si>
    <t xml:space="preserve">80000   </t>
  </si>
  <si>
    <t xml:space="preserve">90013   </t>
  </si>
  <si>
    <t xml:space="preserve">  王府井集团股份有限公司(内资)  </t>
  </si>
  <si>
    <t xml:space="preserve">   陕西荣奥房地产开发有限公司 </t>
  </si>
  <si>
    <t xml:space="preserve"> 小榄地铁商城   </t>
  </si>
  <si>
    <t xml:space="preserve">2017-06-20   </t>
  </si>
  <si>
    <t xml:space="preserve">241100   </t>
  </si>
  <si>
    <t xml:space="preserve">31012   </t>
  </si>
  <si>
    <t xml:space="preserve">77745   </t>
  </si>
  <si>
    <t xml:space="preserve"> 安贞凯德广场   </t>
  </si>
  <si>
    <t xml:space="preserve">2017-09-14   </t>
  </si>
  <si>
    <t xml:space="preserve">112950   </t>
  </si>
  <si>
    <t xml:space="preserve">26000   </t>
  </si>
  <si>
    <t xml:space="preserve">43442   </t>
  </si>
  <si>
    <t xml:space="preserve">  远洋地产控股有限公司(外资)  </t>
  </si>
  <si>
    <t xml:space="preserve"> 中粮万科FUNMIX半岛广场   </t>
  </si>
  <si>
    <t xml:space="preserve">房山   </t>
  </si>
  <si>
    <t xml:space="preserve">2019-11-04   </t>
  </si>
  <si>
    <t xml:space="preserve">159382.46   </t>
  </si>
  <si>
    <t xml:space="preserve">12452   </t>
  </si>
  <si>
    <t xml:space="preserve">127997   </t>
  </si>
  <si>
    <t xml:space="preserve">   中粮集团有限公司 </t>
  </si>
  <si>
    <t xml:space="preserve"> 嘉杰广场   </t>
  </si>
  <si>
    <t xml:space="preserve">四川北路   </t>
  </si>
  <si>
    <t xml:space="preserve">2018-10-18   </t>
  </si>
  <si>
    <t xml:space="preserve">31606   </t>
  </si>
  <si>
    <t xml:space="preserve">22148   </t>
  </si>
  <si>
    <t xml:space="preserve">  上海凯龙瑞项目投资咨询有限公司(外资)  </t>
  </si>
  <si>
    <t xml:space="preserve">   嘉凯城集团股份有限公司,上海捷胜置业有限公司 </t>
  </si>
  <si>
    <t xml:space="preserve"> 深圳DDM Mall   </t>
  </si>
  <si>
    <t xml:space="preserve">2018-12-24   </t>
  </si>
  <si>
    <t xml:space="preserve">  兆邦基投资控股(香港)有限公司(外资)  </t>
  </si>
  <si>
    <t xml:space="preserve"> 北京SKP   </t>
  </si>
  <si>
    <t xml:space="preserve">2017-05-07   </t>
  </si>
  <si>
    <t xml:space="preserve">111398   </t>
  </si>
  <si>
    <t xml:space="preserve">  北京国华置业有限公司(合资),北京华联集团(内资)  </t>
  </si>
  <si>
    <t>正常</t>
  </si>
  <si>
    <t>较好</t>
  </si>
  <si>
    <t>丰台龙湖西宸广场1#</t>
    <phoneticPr fontId="134" type="noConversion"/>
  </si>
  <si>
    <r>
      <t>1</t>
    </r>
    <r>
      <rPr>
        <sz val="11"/>
        <color indexed="8"/>
        <rFont val="宋体"/>
        <family val="3"/>
        <charset val="134"/>
      </rPr>
      <t>以上</t>
    </r>
    <phoneticPr fontId="30" type="noConversion"/>
  </si>
  <si>
    <r>
      <t>1</t>
    </r>
    <r>
      <rPr>
        <sz val="11"/>
        <rFont val="宋体"/>
        <family val="3"/>
        <charset val="134"/>
      </rPr>
      <t>以上</t>
    </r>
    <phoneticPr fontId="30" type="noConversion"/>
  </si>
  <si>
    <t>一般</t>
  </si>
  <si>
    <t>较差</t>
  </si>
  <si>
    <t>七通</t>
  </si>
  <si>
    <r>
      <t>1</t>
    </r>
    <r>
      <rPr>
        <sz val="11"/>
        <color indexed="8"/>
        <rFont val="宋体"/>
        <family val="3"/>
        <charset val="134"/>
      </rPr>
      <t>至</t>
    </r>
    <r>
      <rPr>
        <sz val="11"/>
        <color indexed="8"/>
        <rFont val="Arial"/>
        <family val="2"/>
      </rPr>
      <t>2</t>
    </r>
    <phoneticPr fontId="30" type="noConversion"/>
  </si>
  <si>
    <r>
      <t>2</t>
    </r>
    <r>
      <rPr>
        <sz val="11"/>
        <color indexed="8"/>
        <rFont val="宋体"/>
        <family val="3"/>
        <charset val="134"/>
      </rPr>
      <t>层以上</t>
    </r>
    <phoneticPr fontId="30" type="noConversion"/>
  </si>
  <si>
    <t>钢混</t>
    <phoneticPr fontId="30" type="noConversion"/>
  </si>
  <si>
    <t>精装</t>
  </si>
  <si>
    <t>精装</t>
    <phoneticPr fontId="30" type="noConversion"/>
  </si>
  <si>
    <t>50-40</t>
    <phoneticPr fontId="30" type="noConversion"/>
  </si>
  <si>
    <t>40-30</t>
    <phoneticPr fontId="30" type="noConversion"/>
  </si>
  <si>
    <t>30-20</t>
    <phoneticPr fontId="30" type="noConversion"/>
  </si>
  <si>
    <t>20-10</t>
    <phoneticPr fontId="30" type="noConversion"/>
  </si>
  <si>
    <t>多层</t>
  </si>
  <si>
    <t>多层</t>
    <phoneticPr fontId="30" type="noConversion"/>
  </si>
  <si>
    <t>小高层</t>
  </si>
  <si>
    <t>小高层</t>
    <phoneticPr fontId="30" type="noConversion"/>
  </si>
  <si>
    <t>北京悦荟广场</t>
    <phoneticPr fontId="30" type="noConversion"/>
  </si>
  <si>
    <t>项目模式</t>
  </si>
  <si>
    <t>售价</t>
  </si>
  <si>
    <t>西北旺商业项目</t>
    <phoneticPr fontId="30" type="noConversion"/>
  </si>
  <si>
    <r>
      <rPr>
        <sz val="11"/>
        <color theme="9" tint="-0.249977111117893"/>
        <rFont val="宋体"/>
        <family val="3"/>
        <charset val="134"/>
      </rPr>
      <t>丰台龙湖西宸广场</t>
    </r>
    <r>
      <rPr>
        <sz val="11"/>
        <color theme="9" tint="-0.249977111117893"/>
        <rFont val="Arial"/>
        <family val="2"/>
      </rPr>
      <t>1#</t>
    </r>
    <phoneticPr fontId="30" type="noConversion"/>
  </si>
  <si>
    <t>六通</t>
  </si>
  <si>
    <t>五通</t>
  </si>
  <si>
    <t>四通</t>
  </si>
  <si>
    <t>三通</t>
  </si>
  <si>
    <t>街角</t>
    <phoneticPr fontId="30" type="noConversion"/>
  </si>
  <si>
    <t>多面</t>
  </si>
  <si>
    <t>多面</t>
    <phoneticPr fontId="30" type="noConversion"/>
  </si>
  <si>
    <t>双面</t>
  </si>
  <si>
    <t>双面</t>
    <phoneticPr fontId="30" type="noConversion"/>
  </si>
  <si>
    <t>单面</t>
    <phoneticPr fontId="30" type="noConversion"/>
  </si>
  <si>
    <t>现房</t>
  </si>
  <si>
    <t>项目全部</t>
  </si>
  <si>
    <t>比较法-商业</t>
  </si>
  <si>
    <t>收益法-酒店模型</t>
  </si>
  <si>
    <t>已包含在土地取得成本中</t>
  </si>
  <si>
    <t>全部缴纳</t>
  </si>
  <si>
    <t>未包含在土地购买价格中</t>
  </si>
  <si>
    <t>标准</t>
  </si>
  <si>
    <t>标准</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</si>
  <si>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</si>
  <si>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</si>
  <si>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</si>
  <si>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</si>
  <si>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</si>
  <si>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</si>
  <si>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较好</t>
    <phoneticPr fontId="30" type="noConversion"/>
  </si>
  <si>
    <t>加权平均</t>
  </si>
  <si>
    <t>京（2019）昌不动产权第0033165号</t>
    <phoneticPr fontId="134" type="noConversion"/>
  </si>
  <si>
    <t>收益比率</t>
  </si>
  <si>
    <t>总价</t>
  </si>
  <si>
    <t>已注销</t>
  </si>
  <si>
    <t>注销后放款</t>
  </si>
  <si>
    <t>2.估价师知悉的除抵押担保权以外的法定优先受偿款</t>
  </si>
  <si>
    <t>商业项目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</si>
</sst>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 numFmtId="197" formatCode="#,##0_);\(#,##0\)"/>
    <numFmt numFmtId="198" formatCode="#,##0.0_);\(#,##0.0\)"/>
    <numFmt numFmtId="199"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Arial Unicode MS"/>
      <family val="2"/>
      <charset val="134"/>
    </font>
    <font>
      <sz val="11"/>
      <name val="宋体"/>
      <family val="3"/>
      <charset val="134"/>
      <scheme val="minor"/>
    </font>
    <font>
      <sz val="11"/>
      <name val="Arial Unicode MS"/>
      <family val="2"/>
    </font>
    <font>
      <sz val="11"/>
      <color rgb="FF000000"/>
      <name val="Arial Unicode MS"/>
      <family val="2"/>
    </font>
    <font>
      <b/>
      <sz val="11"/>
      <name val="宋体"/>
      <family val="3"/>
      <charset val="134"/>
      <scheme val="minor"/>
    </font>
    <font>
      <b/>
      <sz val="11"/>
      <color theme="0"/>
      <name val="Arial Unicode MS"/>
      <family val="2"/>
    </font>
    <font>
      <sz val="8"/>
      <color theme="1"/>
      <name val="宋体"/>
      <family val="3"/>
      <charset val="134"/>
      <scheme val="minor"/>
    </font>
    <font>
      <sz val="8"/>
      <color theme="1"/>
      <name val="KaiTi"/>
      <family val="3"/>
    </font>
    <font>
      <sz val="6"/>
      <color theme="1"/>
      <name val="KaiTi"/>
      <family val="3"/>
    </font>
    <font>
      <sz val="8"/>
      <name val="KaiTi"/>
      <family val="3"/>
    </font>
    <font>
      <sz val="8"/>
      <color rgb="FF252525"/>
      <name val="KaiTi"/>
      <family val="3"/>
    </font>
    <font>
      <sz val="8"/>
      <color rgb="FF000000"/>
      <name val="KaiTi"/>
      <family val="3"/>
    </font>
    <font>
      <b/>
      <sz val="8"/>
      <color rgb="FF006A4D"/>
      <name val="KaiTi"/>
      <family val="3"/>
    </font>
    <font>
      <b/>
      <sz val="8"/>
      <name val="KaiTi"/>
      <family val="1"/>
    </font>
    <font>
      <sz val="8"/>
      <color rgb="FFFFFFFF"/>
      <name val="宋体"/>
      <family val="3"/>
      <charset val="134"/>
    </font>
    <font>
      <sz val="8"/>
      <color rgb="FFFFFFFF"/>
      <name val="Times New Roman"/>
      <family val="1"/>
    </font>
    <font>
      <b/>
      <sz val="8"/>
      <color rgb="FFFFFFFF"/>
      <name val="等线"/>
      <family val="3"/>
      <charset val="134"/>
    </font>
    <font>
      <sz val="12"/>
      <color theme="1"/>
      <name val="宋体"/>
      <family val="2"/>
      <scheme val="minor"/>
    </font>
    <font>
      <sz val="10"/>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C00000"/>
        <bgColor indexed="64"/>
      </patternFill>
    </fill>
    <fill>
      <patternFill patternType="solid">
        <fgColor rgb="FFF1F1F1"/>
        <bgColor indexed="64"/>
      </patternFill>
    </fill>
    <fill>
      <patternFill patternType="solid">
        <fgColor rgb="FF006A4D"/>
        <bgColor indexed="64"/>
      </patternFill>
    </fill>
    <fill>
      <patternFill patternType="solid">
        <fgColor rgb="FF00B0F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86" fillId="0" borderId="0"/>
  </cellStyleXfs>
  <cellXfs count="39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0" borderId="1" xfId="0" applyFont="1" applyBorder="1" applyAlignment="1">
      <alignment horizontal="left" vertical="center"/>
    </xf>
    <xf numFmtId="0" fontId="269" fillId="0" borderId="1" xfId="0" applyFont="1" applyBorder="1">
      <alignment vertical="center"/>
    </xf>
    <xf numFmtId="10" fontId="47" fillId="12" borderId="0" xfId="17" applyNumberFormat="1" applyFont="1" applyFill="1" applyAlignment="1" applyProtection="1">
      <alignment vertical="center"/>
      <protection locked="0"/>
    </xf>
    <xf numFmtId="178" fontId="53" fillId="0" borderId="1" xfId="4" applyNumberFormat="1" applyFont="1" applyFill="1" applyBorder="1" applyAlignment="1" applyProtection="1">
      <alignment horizontal="left" vertical="center"/>
      <protection locked="0"/>
    </xf>
    <xf numFmtId="185" fontId="54" fillId="5" borderId="1" xfId="4" applyNumberFormat="1" applyFont="1" applyFill="1" applyBorder="1" applyAlignment="1">
      <alignment horizontal="left" vertical="center"/>
    </xf>
    <xf numFmtId="0" fontId="53" fillId="5" borderId="1" xfId="4" applyFont="1" applyFill="1" applyBorder="1" applyAlignment="1">
      <alignment horizontal="left" vertical="center"/>
    </xf>
    <xf numFmtId="0" fontId="270" fillId="0" borderId="0" xfId="10" applyFont="1">
      <alignment vertical="center"/>
    </xf>
    <xf numFmtId="0" fontId="270" fillId="0" borderId="0" xfId="10" applyFont="1" applyAlignment="1">
      <alignment horizontal="center" vertical="center"/>
    </xf>
    <xf numFmtId="179" fontId="271" fillId="0" borderId="1" xfId="10" applyNumberFormat="1" applyFont="1" applyBorder="1">
      <alignment vertical="center"/>
    </xf>
    <xf numFmtId="196" fontId="271" fillId="0" borderId="1" xfId="10" applyNumberFormat="1" applyFont="1" applyBorder="1" applyAlignment="1">
      <alignment horizontal="right" vertical="center"/>
    </xf>
    <xf numFmtId="0" fontId="271" fillId="0" borderId="1" xfId="10" applyFont="1" applyBorder="1">
      <alignment vertical="center"/>
    </xf>
    <xf numFmtId="0" fontId="271" fillId="0" borderId="1" xfId="10" applyFont="1" applyBorder="1" applyAlignment="1">
      <alignment horizontal="center" vertical="center"/>
    </xf>
    <xf numFmtId="0" fontId="270" fillId="22" borderId="0" xfId="10" applyFont="1" applyFill="1">
      <alignment vertical="center"/>
    </xf>
    <xf numFmtId="179" fontId="271" fillId="22" borderId="1" xfId="10" applyNumberFormat="1" applyFont="1" applyFill="1" applyBorder="1">
      <alignment vertical="center"/>
    </xf>
    <xf numFmtId="179" fontId="271" fillId="22" borderId="1" xfId="10" applyNumberFormat="1" applyFont="1" applyFill="1" applyBorder="1" applyAlignment="1">
      <alignment horizontal="right" vertical="center"/>
    </xf>
    <xf numFmtId="196" fontId="271" fillId="22" borderId="1" xfId="10" applyNumberFormat="1" applyFont="1" applyFill="1" applyBorder="1" applyAlignment="1">
      <alignment horizontal="right" vertical="center"/>
    </xf>
    <xf numFmtId="0" fontId="271" fillId="22" borderId="1" xfId="10" applyFont="1" applyFill="1" applyBorder="1">
      <alignment vertical="center"/>
    </xf>
    <xf numFmtId="0" fontId="271" fillId="22" borderId="1" xfId="10" applyFont="1" applyFill="1" applyBorder="1" applyAlignment="1">
      <alignment horizontal="center" vertical="center"/>
    </xf>
    <xf numFmtId="179" fontId="272" fillId="0" borderId="1" xfId="10" applyNumberFormat="1" applyFont="1" applyBorder="1" applyAlignment="1">
      <alignment horizontal="right" vertical="center" wrapText="1"/>
    </xf>
    <xf numFmtId="196" fontId="272" fillId="0" borderId="1" xfId="10" applyNumberFormat="1" applyFont="1" applyBorder="1" applyAlignment="1">
      <alignment horizontal="right" vertical="center" wrapText="1"/>
    </xf>
    <xf numFmtId="0" fontId="272" fillId="0" borderId="1" xfId="10" applyFont="1" applyBorder="1" applyAlignment="1">
      <alignment horizontal="left" vertical="center" wrapText="1"/>
    </xf>
    <xf numFmtId="179" fontId="271" fillId="0" borderId="1" xfId="10" applyNumberFormat="1" applyFont="1" applyBorder="1" applyAlignment="1">
      <alignment horizontal="right" vertical="center"/>
    </xf>
    <xf numFmtId="0" fontId="273" fillId="0" borderId="0" xfId="10" applyFont="1">
      <alignment vertical="center"/>
    </xf>
    <xf numFmtId="0" fontId="95" fillId="0" borderId="0" xfId="10">
      <alignment vertical="center"/>
    </xf>
    <xf numFmtId="9" fontId="0" fillId="0" borderId="0" xfId="19" applyFont="1">
      <alignment vertical="center"/>
    </xf>
    <xf numFmtId="0" fontId="274" fillId="23" borderId="1" xfId="10" applyFont="1" applyFill="1" applyBorder="1" applyAlignment="1">
      <alignment horizontal="right" vertical="center" wrapText="1" readingOrder="1"/>
    </xf>
    <xf numFmtId="0" fontId="274" fillId="23" borderId="1" xfId="10" applyFont="1" applyFill="1" applyBorder="1" applyAlignment="1">
      <alignment horizontal="left" vertical="center" wrapText="1" readingOrder="1"/>
    </xf>
    <xf numFmtId="0" fontId="274" fillId="23" borderId="1" xfId="10" applyFont="1" applyFill="1" applyBorder="1" applyAlignment="1">
      <alignment horizontal="center" vertical="center" wrapText="1" readingOrder="1"/>
    </xf>
    <xf numFmtId="0" fontId="275" fillId="0" borderId="0" xfId="10" applyFont="1" applyAlignment="1">
      <alignment horizontal="left" vertical="top"/>
    </xf>
    <xf numFmtId="0" fontId="275" fillId="0" borderId="0" xfId="10" applyFont="1" applyAlignment="1"/>
    <xf numFmtId="197" fontId="275" fillId="0" borderId="1" xfId="10" applyNumberFormat="1" applyFont="1" applyBorder="1" applyAlignment="1">
      <alignment horizontal="left" vertical="top"/>
    </xf>
    <xf numFmtId="0" fontId="275" fillId="0" borderId="1" xfId="10" applyFont="1" applyBorder="1" applyAlignment="1">
      <alignment horizontal="left" vertical="top"/>
    </xf>
    <xf numFmtId="0" fontId="276" fillId="0" borderId="0" xfId="10" applyFont="1" applyAlignment="1">
      <alignment horizontal="left" vertical="top"/>
    </xf>
    <xf numFmtId="198" fontId="276" fillId="5" borderId="0" xfId="10" applyNumberFormat="1" applyFont="1" applyFill="1" applyAlignment="1"/>
    <xf numFmtId="198" fontId="277" fillId="5" borderId="0" xfId="10" applyNumberFormat="1" applyFont="1" applyFill="1" applyAlignment="1"/>
    <xf numFmtId="0" fontId="275" fillId="5" borderId="0" xfId="10" applyFont="1" applyFill="1" applyAlignment="1">
      <alignment horizontal="left" vertical="top"/>
    </xf>
    <xf numFmtId="0" fontId="278" fillId="5" borderId="176" xfId="10" applyFont="1" applyFill="1" applyBorder="1" applyAlignment="1">
      <alignment horizontal="center" vertical="center" wrapText="1"/>
    </xf>
    <xf numFmtId="3" fontId="279" fillId="5" borderId="177" xfId="10" applyNumberFormat="1" applyFont="1" applyFill="1" applyBorder="1" applyAlignment="1">
      <alignment shrinkToFit="1"/>
    </xf>
    <xf numFmtId="3" fontId="279" fillId="5" borderId="176" xfId="10" applyNumberFormat="1" applyFont="1" applyFill="1" applyBorder="1" applyAlignment="1">
      <alignment shrinkToFit="1"/>
    </xf>
    <xf numFmtId="2" fontId="280" fillId="5" borderId="176" xfId="10" applyNumberFormat="1" applyFont="1" applyFill="1" applyBorder="1" applyAlignment="1">
      <alignment shrinkToFit="1"/>
    </xf>
    <xf numFmtId="1" fontId="280" fillId="5" borderId="176" xfId="10" applyNumberFormat="1" applyFont="1" applyFill="1" applyBorder="1" applyAlignment="1">
      <alignment horizontal="center" vertical="center" shrinkToFit="1"/>
    </xf>
    <xf numFmtId="0" fontId="278" fillId="0" borderId="178" xfId="10" applyFont="1" applyBorder="1" applyAlignment="1">
      <alignment horizontal="center" vertical="center" wrapText="1"/>
    </xf>
    <xf numFmtId="3" fontId="279" fillId="0" borderId="179" xfId="10" applyNumberFormat="1" applyFont="1" applyBorder="1" applyAlignment="1">
      <alignment shrinkToFit="1"/>
    </xf>
    <xf numFmtId="3" fontId="279" fillId="0" borderId="178" xfId="10" applyNumberFormat="1" applyFont="1" applyBorder="1" applyAlignment="1">
      <alignment shrinkToFit="1"/>
    </xf>
    <xf numFmtId="2" fontId="280" fillId="0" borderId="178" xfId="10" applyNumberFormat="1" applyFont="1" applyBorder="1" applyAlignment="1">
      <alignment shrinkToFit="1"/>
    </xf>
    <xf numFmtId="0" fontId="278" fillId="0" borderId="178" xfId="10" applyFont="1" applyBorder="1" applyAlignment="1">
      <alignment horizontal="center" vertical="top" wrapText="1"/>
    </xf>
    <xf numFmtId="0" fontId="278" fillId="0" borderId="178" xfId="10" applyFont="1" applyBorder="1" applyAlignment="1">
      <alignment horizontal="left" vertical="top" wrapText="1"/>
    </xf>
    <xf numFmtId="1" fontId="280" fillId="0" borderId="178" xfId="10" applyNumberFormat="1" applyFont="1" applyBorder="1" applyAlignment="1">
      <alignment horizontal="center" vertical="top" shrinkToFit="1"/>
    </xf>
    <xf numFmtId="0" fontId="278" fillId="24" borderId="178" xfId="10" applyFont="1" applyFill="1" applyBorder="1" applyAlignment="1">
      <alignment horizontal="center" vertical="center" wrapText="1"/>
    </xf>
    <xf numFmtId="3" fontId="279" fillId="24" borderId="179" xfId="10" applyNumberFormat="1" applyFont="1" applyFill="1" applyBorder="1" applyAlignment="1">
      <alignment shrinkToFit="1"/>
    </xf>
    <xf numFmtId="3" fontId="279" fillId="24" borderId="178" xfId="10" applyNumberFormat="1" applyFont="1" applyFill="1" applyBorder="1" applyAlignment="1">
      <alignment shrinkToFit="1"/>
    </xf>
    <xf numFmtId="2" fontId="280" fillId="24" borderId="178" xfId="10" applyNumberFormat="1" applyFont="1" applyFill="1" applyBorder="1" applyAlignment="1">
      <alignment shrinkToFit="1"/>
    </xf>
    <xf numFmtId="0" fontId="278" fillId="24" borderId="178" xfId="10" applyFont="1" applyFill="1" applyBorder="1" applyAlignment="1">
      <alignment horizontal="center" vertical="top" wrapText="1"/>
    </xf>
    <xf numFmtId="1" fontId="280" fillId="24" borderId="178" xfId="10" applyNumberFormat="1" applyFont="1" applyFill="1" applyBorder="1" applyAlignment="1">
      <alignment horizontal="center" vertical="top" shrinkToFit="1"/>
    </xf>
    <xf numFmtId="0" fontId="278" fillId="5" borderId="178" xfId="10" applyFont="1" applyFill="1" applyBorder="1" applyAlignment="1">
      <alignment horizontal="center" vertical="center" wrapText="1"/>
    </xf>
    <xf numFmtId="3" fontId="279" fillId="5" borderId="179" xfId="10" applyNumberFormat="1" applyFont="1" applyFill="1" applyBorder="1" applyAlignment="1">
      <alignment shrinkToFit="1"/>
    </xf>
    <xf numFmtId="3" fontId="279" fillId="5" borderId="178" xfId="10" applyNumberFormat="1" applyFont="1" applyFill="1" applyBorder="1" applyAlignment="1">
      <alignment shrinkToFit="1"/>
    </xf>
    <xf numFmtId="2" fontId="280" fillId="5" borderId="178" xfId="10" applyNumberFormat="1" applyFont="1" applyFill="1" applyBorder="1" applyAlignment="1">
      <alignment shrinkToFit="1"/>
    </xf>
    <xf numFmtId="0" fontId="278" fillId="5" borderId="178" xfId="10" applyFont="1" applyFill="1" applyBorder="1" applyAlignment="1">
      <alignment horizontal="center" vertical="top" wrapText="1"/>
    </xf>
    <xf numFmtId="1" fontId="280" fillId="5" borderId="178" xfId="10" applyNumberFormat="1" applyFont="1" applyFill="1" applyBorder="1" applyAlignment="1">
      <alignment horizontal="center" vertical="top" shrinkToFit="1"/>
    </xf>
    <xf numFmtId="0" fontId="278" fillId="24" borderId="178" xfId="10" applyFont="1" applyFill="1" applyBorder="1" applyAlignment="1">
      <alignment horizontal="left" vertical="top" wrapText="1"/>
    </xf>
    <xf numFmtId="0" fontId="279" fillId="24" borderId="178" xfId="10" applyFont="1" applyFill="1" applyBorder="1" applyAlignment="1">
      <alignment horizontal="center" vertical="center" wrapText="1"/>
    </xf>
    <xf numFmtId="199" fontId="280" fillId="0" borderId="178" xfId="10" applyNumberFormat="1" applyFont="1" applyBorder="1" applyAlignment="1">
      <alignment shrinkToFit="1"/>
    </xf>
    <xf numFmtId="0" fontId="275" fillId="22" borderId="0" xfId="10" applyFont="1" applyFill="1" applyAlignment="1">
      <alignment horizontal="left" vertical="top"/>
    </xf>
    <xf numFmtId="0" fontId="278" fillId="22" borderId="178" xfId="10" applyFont="1" applyFill="1" applyBorder="1" applyAlignment="1">
      <alignment horizontal="center" vertical="center" wrapText="1"/>
    </xf>
    <xf numFmtId="3" fontId="279" fillId="22" borderId="179" xfId="10" applyNumberFormat="1" applyFont="1" applyFill="1" applyBorder="1" applyAlignment="1">
      <alignment shrinkToFit="1"/>
    </xf>
    <xf numFmtId="3" fontId="279" fillId="22" borderId="178" xfId="10" applyNumberFormat="1" applyFont="1" applyFill="1" applyBorder="1" applyAlignment="1">
      <alignment shrinkToFit="1"/>
    </xf>
    <xf numFmtId="1" fontId="280" fillId="22" borderId="178" xfId="10" applyNumberFormat="1" applyFont="1" applyFill="1" applyBorder="1" applyAlignment="1">
      <alignment shrinkToFit="1"/>
    </xf>
    <xf numFmtId="0" fontId="278" fillId="22" borderId="178" xfId="10" applyFont="1" applyFill="1" applyBorder="1" applyAlignment="1">
      <alignment horizontal="center" vertical="top" wrapText="1"/>
    </xf>
    <xf numFmtId="1" fontId="280" fillId="22" borderId="178" xfId="10" applyNumberFormat="1" applyFont="1" applyFill="1" applyBorder="1" applyAlignment="1">
      <alignment horizontal="center" vertical="top" shrinkToFit="1"/>
    </xf>
    <xf numFmtId="0" fontId="278" fillId="0" borderId="176" xfId="10" applyFont="1" applyBorder="1" applyAlignment="1">
      <alignment horizontal="center" vertical="center" wrapText="1"/>
    </xf>
    <xf numFmtId="3" fontId="279" fillId="0" borderId="176" xfId="10" applyNumberFormat="1" applyFont="1" applyBorder="1" applyAlignment="1">
      <alignment shrinkToFit="1"/>
    </xf>
    <xf numFmtId="199" fontId="280" fillId="0" borderId="176" xfId="10" applyNumberFormat="1" applyFont="1" applyBorder="1" applyAlignment="1">
      <alignment shrinkToFit="1"/>
    </xf>
    <xf numFmtId="0" fontId="278" fillId="0" borderId="176" xfId="10" applyFont="1" applyBorder="1" applyAlignment="1">
      <alignment horizontal="center" vertical="top" wrapText="1"/>
    </xf>
    <xf numFmtId="1" fontId="280" fillId="0" borderId="176" xfId="10" applyNumberFormat="1" applyFont="1" applyBorder="1" applyAlignment="1">
      <alignment horizontal="center" vertical="top" shrinkToFit="1"/>
    </xf>
    <xf numFmtId="1" fontId="280" fillId="0" borderId="178" xfId="10" applyNumberFormat="1" applyFont="1" applyBorder="1" applyAlignment="1">
      <alignment shrinkToFit="1"/>
    </xf>
    <xf numFmtId="3" fontId="280" fillId="5" borderId="179" xfId="10" applyNumberFormat="1" applyFont="1" applyFill="1" applyBorder="1" applyAlignment="1">
      <alignment shrinkToFit="1"/>
    </xf>
    <xf numFmtId="199" fontId="280" fillId="24" borderId="178" xfId="10" applyNumberFormat="1" applyFont="1" applyFill="1" applyBorder="1" applyAlignment="1">
      <alignment shrinkToFit="1"/>
    </xf>
    <xf numFmtId="0" fontId="278" fillId="0" borderId="179" xfId="10" applyFont="1" applyBorder="1" applyAlignment="1">
      <alignment wrapText="1"/>
    </xf>
    <xf numFmtId="0" fontId="278" fillId="0" borderId="178" xfId="10" applyFont="1" applyBorder="1" applyAlignment="1">
      <alignment wrapText="1"/>
    </xf>
    <xf numFmtId="3" fontId="280" fillId="24" borderId="179" xfId="10" applyNumberFormat="1" applyFont="1" applyFill="1" applyBorder="1" applyAlignment="1">
      <alignment shrinkToFit="1"/>
    </xf>
    <xf numFmtId="3" fontId="280" fillId="24" borderId="178" xfId="10" applyNumberFormat="1" applyFont="1" applyFill="1" applyBorder="1" applyAlignment="1">
      <alignment shrinkToFit="1"/>
    </xf>
    <xf numFmtId="1" fontId="280" fillId="24" borderId="178" xfId="10" applyNumberFormat="1" applyFont="1" applyFill="1" applyBorder="1" applyAlignment="1">
      <alignment shrinkToFit="1"/>
    </xf>
    <xf numFmtId="3" fontId="280" fillId="0" borderId="179" xfId="10" applyNumberFormat="1" applyFont="1" applyBorder="1" applyAlignment="1">
      <alignment shrinkToFit="1"/>
    </xf>
    <xf numFmtId="3" fontId="280" fillId="0" borderId="178" xfId="10" applyNumberFormat="1" applyFont="1" applyBorder="1" applyAlignment="1">
      <alignment shrinkToFit="1"/>
    </xf>
    <xf numFmtId="3" fontId="280" fillId="5" borderId="178" xfId="10" applyNumberFormat="1" applyFont="1" applyFill="1" applyBorder="1" applyAlignment="1">
      <alignment shrinkToFit="1"/>
    </xf>
    <xf numFmtId="0" fontId="281" fillId="0" borderId="180" xfId="10" applyFont="1" applyBorder="1" applyAlignment="1">
      <alignment horizontal="center" vertical="top" wrapText="1"/>
    </xf>
    <xf numFmtId="0" fontId="281" fillId="0" borderId="180" xfId="10" applyFont="1" applyBorder="1" applyAlignment="1">
      <alignment horizontal="left" vertical="top" wrapText="1" indent="1"/>
    </xf>
    <xf numFmtId="0" fontId="281" fillId="0" borderId="181" xfId="10" applyFont="1" applyBorder="1" applyAlignment="1">
      <alignment horizontal="left" vertical="top" wrapText="1"/>
    </xf>
    <xf numFmtId="0" fontId="276" fillId="0" borderId="180" xfId="10" applyFont="1" applyBorder="1" applyAlignment="1">
      <alignment horizontal="left" vertical="top" wrapText="1"/>
    </xf>
    <xf numFmtId="0" fontId="282" fillId="0" borderId="180" xfId="10" applyFont="1" applyBorder="1" applyAlignment="1">
      <alignment horizontal="center" vertical="top" wrapText="1"/>
    </xf>
    <xf numFmtId="189" fontId="44" fillId="6"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6" fillId="0" borderId="1" xfId="20" applyNumberFormat="1" applyFont="1" applyBorder="1" applyAlignment="1">
      <alignment horizontal="left"/>
    </xf>
    <xf numFmtId="0" fontId="96" fillId="0" borderId="0" xfId="20" applyNumberFormat="1" applyFont="1" applyAlignment="1">
      <alignment horizontal="left"/>
    </xf>
    <xf numFmtId="0" fontId="287" fillId="0" borderId="1" xfId="20" applyNumberFormat="1" applyFont="1" applyBorder="1"/>
    <xf numFmtId="0" fontId="107" fillId="0" borderId="0" xfId="20" applyNumberFormat="1" applyFont="1"/>
    <xf numFmtId="0" fontId="287" fillId="0" borderId="1" xfId="20" applyNumberFormat="1" applyFont="1" applyBorder="1" applyAlignment="1">
      <alignment horizontal="left"/>
    </xf>
    <xf numFmtId="0" fontId="107" fillId="0" borderId="0" xfId="20" applyNumberFormat="1" applyFont="1" applyAlignment="1">
      <alignment horizontal="left"/>
    </xf>
    <xf numFmtId="0" fontId="107" fillId="0" borderId="1" xfId="20" applyNumberFormat="1" applyFont="1" applyBorder="1"/>
    <xf numFmtId="0" fontId="107" fillId="0" borderId="1" xfId="20" applyNumberFormat="1" applyFont="1" applyBorder="1" applyAlignment="1">
      <alignment horizontal="left"/>
    </xf>
    <xf numFmtId="0" fontId="107" fillId="26" borderId="1" xfId="20" applyNumberFormat="1" applyFont="1" applyFill="1" applyBorder="1"/>
    <xf numFmtId="0" fontId="107" fillId="26" borderId="0" xfId="20" applyNumberFormat="1" applyFont="1" applyFill="1"/>
    <xf numFmtId="0" fontId="272" fillId="22" borderId="1" xfId="10" applyFont="1" applyFill="1" applyBorder="1" applyAlignment="1">
      <alignment horizontal="left" vertical="center" wrapText="1"/>
    </xf>
    <xf numFmtId="196" fontId="272" fillId="22" borderId="1" xfId="10" applyNumberFormat="1" applyFont="1" applyFill="1" applyBorder="1" applyAlignment="1">
      <alignment horizontal="right" vertical="center" wrapText="1"/>
    </xf>
    <xf numFmtId="179" fontId="272" fillId="22" borderId="1" xfId="10" applyNumberFormat="1" applyFont="1" applyFill="1" applyBorder="1" applyAlignment="1">
      <alignment horizontal="right"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71" fillId="0" borderId="1" xfId="10" applyFont="1" applyBorder="1" applyAlignment="1">
      <alignment horizontal="center" vertical="center"/>
    </xf>
    <xf numFmtId="0" fontId="283" fillId="25" borderId="0" xfId="10" applyFont="1" applyFill="1" applyAlignment="1">
      <alignment horizontal="left" vertical="top"/>
    </xf>
    <xf numFmtId="0" fontId="275" fillId="25" borderId="0" xfId="10" applyFont="1" applyFill="1" applyAlignment="1">
      <alignment horizontal="left" vertical="top"/>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100" fillId="0" borderId="24" xfId="1"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cellXfs>
  <cellStyles count="21">
    <cellStyle name="百分比" xfId="17" builtinId="5"/>
    <cellStyle name="百分比 2" xfId="14"/>
    <cellStyle name="百分比 3" xfId="19"/>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20</xdr:row>
      <xdr:rowOff>123825</xdr:rowOff>
    </xdr:from>
    <xdr:to>
      <xdr:col>5</xdr:col>
      <xdr:colOff>199476</xdr:colOff>
      <xdr:row>41</xdr:row>
      <xdr:rowOff>161470</xdr:rowOff>
    </xdr:to>
    <xdr:pic>
      <xdr:nvPicPr>
        <xdr:cNvPr id="2" name="图片 1"/>
        <xdr:cNvPicPr>
          <a:picLocks noChangeAspect="1"/>
        </xdr:cNvPicPr>
      </xdr:nvPicPr>
      <xdr:blipFill>
        <a:blip xmlns:r="http://schemas.openxmlformats.org/officeDocument/2006/relationships" r:embed="rId1"/>
        <a:stretch>
          <a:fillRect/>
        </a:stretch>
      </xdr:blipFill>
      <xdr:spPr>
        <a:xfrm>
          <a:off x="1000125" y="3819525"/>
          <a:ext cx="4390476" cy="3638095"/>
        </a:xfrm>
        <a:prstGeom prst="rect">
          <a:avLst/>
        </a:prstGeom>
      </xdr:spPr>
    </xdr:pic>
    <xdr:clientData/>
  </xdr:twoCellAnchor>
  <xdr:twoCellAnchor editAs="oneCell">
    <xdr:from>
      <xdr:col>2</xdr:col>
      <xdr:colOff>381000</xdr:colOff>
      <xdr:row>45</xdr:row>
      <xdr:rowOff>85725</xdr:rowOff>
    </xdr:from>
    <xdr:to>
      <xdr:col>5</xdr:col>
      <xdr:colOff>942331</xdr:colOff>
      <xdr:row>55</xdr:row>
      <xdr:rowOff>9320</xdr:rowOff>
    </xdr:to>
    <xdr:pic>
      <xdr:nvPicPr>
        <xdr:cNvPr id="3" name="图片 2"/>
        <xdr:cNvPicPr>
          <a:picLocks noChangeAspect="1"/>
        </xdr:cNvPicPr>
      </xdr:nvPicPr>
      <xdr:blipFill>
        <a:blip xmlns:r="http://schemas.openxmlformats.org/officeDocument/2006/relationships" r:embed="rId2"/>
        <a:stretch>
          <a:fillRect/>
        </a:stretch>
      </xdr:blipFill>
      <xdr:spPr>
        <a:xfrm>
          <a:off x="981075" y="8067675"/>
          <a:ext cx="5152381" cy="1638095"/>
        </a:xfrm>
        <a:prstGeom prst="rect">
          <a:avLst/>
        </a:prstGeom>
      </xdr:spPr>
    </xdr:pic>
    <xdr:clientData/>
  </xdr:twoCellAnchor>
  <xdr:twoCellAnchor editAs="oneCell">
    <xdr:from>
      <xdr:col>2</xdr:col>
      <xdr:colOff>266700</xdr:colOff>
      <xdr:row>56</xdr:row>
      <xdr:rowOff>152400</xdr:rowOff>
    </xdr:from>
    <xdr:to>
      <xdr:col>6</xdr:col>
      <xdr:colOff>370765</xdr:colOff>
      <xdr:row>61</xdr:row>
      <xdr:rowOff>114198</xdr:rowOff>
    </xdr:to>
    <xdr:pic>
      <xdr:nvPicPr>
        <xdr:cNvPr id="4" name="图片 3"/>
        <xdr:cNvPicPr>
          <a:picLocks noChangeAspect="1"/>
        </xdr:cNvPicPr>
      </xdr:nvPicPr>
      <xdr:blipFill>
        <a:blip xmlns:r="http://schemas.openxmlformats.org/officeDocument/2006/relationships" r:embed="rId3"/>
        <a:stretch>
          <a:fillRect/>
        </a:stretch>
      </xdr:blipFill>
      <xdr:spPr>
        <a:xfrm>
          <a:off x="866775" y="10020300"/>
          <a:ext cx="5685715" cy="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北京市南口路南口段1号院一区1至14号商业用房房地产抵押价值预评估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受贵公司委托，我公司对北京市南口路南口段1号院一区1至14号商业用房房地产抵押价值进行了预评估。</v>
      </c>
    </row>
    <row r="7" spans="1:2" s="1202" customFormat="1">
      <c r="A7" s="1200" t="s">
        <v>566</v>
      </c>
      <c r="B7" s="1201" t="str">
        <f>'预评函-1'!A7</f>
        <v>估价对象为北京市南口路南口段1号院一区1至14号商业用房房地产，为所有。根据《国有土地使用证》[]，估价对象（分摊）出让国有建设用地使用权面积为0平方米，建筑面积为58348.11平方米。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南口路南口段1号院一区1至14号商业用房房地产,为开发建设的商业项目，该项目尚在开发建设中。根据《国有土地使用证》[]，估价对象（分摊）出让国有建设用地使用权面积为0平方米，规划建筑面积为58348.11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南口路南口段1号院一区1至14号商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2023年6月28日（评估专业人员实地查勘之日）</v>
      </c>
    </row>
    <row r="13" spans="1:2" s="1202" customFormat="1">
      <c r="A13" s="1200" t="s">
        <v>529</v>
      </c>
      <c r="B13" s="1201" t="str">
        <f>'预评函-1'!A18</f>
        <v>本次估价的“房地产价值”是指在正常市场情况下，在价值时点2023年6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272808</v>
      </c>
    </row>
    <row r="21" spans="1:2" s="1202" customFormat="1">
      <c r="A21" s="1200" t="s">
        <v>537</v>
      </c>
      <c r="B21" s="1201">
        <f ca="1">'预评函-2'!D7</f>
        <v>47495</v>
      </c>
    </row>
    <row r="22" spans="1:2" s="1202" customFormat="1">
      <c r="A22" s="1200" t="s">
        <v>538</v>
      </c>
      <c r="B22" s="1201" t="str">
        <f ca="1">'预评函-2'!D6</f>
        <v>贰拾柒亿贰仟捌佰零捌万元整</v>
      </c>
    </row>
    <row r="23" spans="1:2" s="1202" customFormat="1">
      <c r="A23" s="1200" t="s">
        <v>589</v>
      </c>
      <c r="B23" s="1201" t="str">
        <f>'预评函-2'!B8</f>
        <v>2.估价师知悉的除抵押担保权以外的法定优先受偿款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v>
      </c>
    </row>
    <row r="30" spans="1:2" s="1202" customFormat="1">
      <c r="A30" s="1200" t="s">
        <v>594</v>
      </c>
      <c r="B30" s="1201" t="str">
        <f>'预评函-2'!D13</f>
        <v>——</v>
      </c>
    </row>
    <row r="31" spans="1:2" s="1202" customFormat="1">
      <c r="A31" s="1200" t="s">
        <v>576</v>
      </c>
      <c r="B31" s="1201" t="e">
        <f ca="1">'预评函-2'!D15</f>
        <v>#VALUE!</v>
      </c>
    </row>
    <row r="32" spans="1:2" s="1202" customFormat="1">
      <c r="A32" s="1200" t="s">
        <v>543</v>
      </c>
      <c r="B32" s="1201" t="e">
        <f>'预评函-2'!D14</f>
        <v>#VALUE!</v>
      </c>
    </row>
    <row r="33" spans="1:2" s="1202" customFormat="1">
      <c r="A33" s="1200" t="s">
        <v>578</v>
      </c>
      <c r="B33" s="1201" t="str">
        <f>'预评函-2'!B16</f>
        <v>3.抵押担保权已注销时的房地产抵押价值</v>
      </c>
    </row>
    <row r="34" spans="1:2" s="1202" customFormat="1">
      <c r="A34" s="1200" t="s">
        <v>596</v>
      </c>
      <c r="B34" s="1201">
        <f ca="1">'预评函-2'!D16</f>
        <v>272808</v>
      </c>
    </row>
    <row r="35" spans="1:2" s="1202" customFormat="1">
      <c r="A35" s="1200" t="s">
        <v>577</v>
      </c>
      <c r="B35" s="1201">
        <f ca="1">'预评函-2'!D18</f>
        <v>46755</v>
      </c>
    </row>
    <row r="36" spans="1:2" s="1202" customFormat="1">
      <c r="A36" s="1200" t="s">
        <v>544</v>
      </c>
      <c r="B36" s="1201" t="str">
        <f ca="1">'预评函-2'!D17</f>
        <v>贰拾柒亿贰仟捌佰零捌万元整</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北京市南口路南口段1号院一区1至14号商业用房房地产</v>
      </c>
    </row>
    <row r="42" spans="1:2" s="1202" customFormat="1">
      <c r="A42" s="1200" t="s">
        <v>590</v>
      </c>
      <c r="B42" s="1201" t="str">
        <f>'预评函-3'!B2</f>
        <v>建筑面积</v>
      </c>
    </row>
    <row r="43" spans="1:2" s="1202" customFormat="1">
      <c r="A43" s="1200" t="s">
        <v>591</v>
      </c>
      <c r="B43" s="1201">
        <f>'预评函-3'!B4</f>
        <v>58348.11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210881</v>
      </c>
    </row>
    <row r="48" spans="1:2" s="1202" customFormat="1">
      <c r="A48" s="1200" t="s">
        <v>549</v>
      </c>
      <c r="B48" s="1201">
        <f ca="1">'预评函-3'!E4</f>
        <v>36714</v>
      </c>
    </row>
    <row r="49" spans="1:2" s="1202" customFormat="1">
      <c r="A49" s="1200" t="s">
        <v>550</v>
      </c>
      <c r="B49" s="1201" t="str">
        <f ca="1">'预评函-3'!D5</f>
        <v>贰拾壹亿零捌佰捌拾壹万元整</v>
      </c>
    </row>
    <row r="50" spans="1:2" s="1202" customFormat="1">
      <c r="A50" s="1200" t="s">
        <v>574</v>
      </c>
      <c r="B50" s="1201" t="str">
        <f>'预评函-3'!F2</f>
        <v>在建建筑物价值</v>
      </c>
    </row>
    <row r="51" spans="1:2" s="1202" customFormat="1">
      <c r="A51" s="1200" t="s">
        <v>551</v>
      </c>
      <c r="B51" s="1201">
        <f ca="1">'预评函-3'!F4</f>
        <v>61927</v>
      </c>
    </row>
    <row r="52" spans="1:2" s="1202" customFormat="1">
      <c r="A52" s="1200" t="s">
        <v>552</v>
      </c>
      <c r="B52" s="1201">
        <f ca="1">'预评函-3'!G4</f>
        <v>10781</v>
      </c>
    </row>
    <row r="53" spans="1:2" s="1202" customFormat="1">
      <c r="A53" s="1200" t="s">
        <v>580</v>
      </c>
      <c r="B53" s="1201" t="str">
        <f ca="1">'预评函-3'!F5</f>
        <v>陆亿壹仟玖佰贰拾柒万元整</v>
      </c>
    </row>
    <row r="54" spans="1:2" s="1202" customFormat="1">
      <c r="A54" s="1200" t="s">
        <v>598</v>
      </c>
      <c r="B54" s="1201" t="str">
        <f>'预评函-3'!A8</f>
        <v/>
      </c>
    </row>
    <row r="55" spans="1:2" s="1202" customFormat="1">
      <c r="A55" s="1200" t="s">
        <v>581</v>
      </c>
      <c r="B55" s="1201" t="str">
        <f>'预评函-3'!A10</f>
        <v>抵押担保权已注销时的房地产抵押价值</v>
      </c>
    </row>
    <row r="56" spans="1:2" s="1202" customFormat="1">
      <c r="A56" s="1200" t="s">
        <v>582</v>
      </c>
      <c r="B56" s="1201" t="str">
        <f>'预评函-3'!A12</f>
        <v/>
      </c>
    </row>
    <row r="57" spans="1:2" s="1196" customFormat="1" ht="15" thickBot="1">
      <c r="A57" s="1203" t="s">
        <v>599</v>
      </c>
      <c r="B57" s="1204" t="str">
        <f>'预评函-3'!A6</f>
        <v>估价师知悉的除抵押担保权以外的法定优先受偿款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故，本次评估不存在估价师知悉的除抵押担保权以外的法定优先受偿款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南口路南口段1号院一区1至14号商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9"/>
      <c r="B54" s="1553" t="s">
        <v>385</v>
      </c>
      <c r="C54" s="1550" t="s">
        <v>583</v>
      </c>
    </row>
    <row r="55" spans="1:4">
      <c r="A55" s="3599"/>
      <c r="B55" s="1553" t="s">
        <v>386</v>
      </c>
      <c r="C55" s="1550" t="s">
        <v>584</v>
      </c>
    </row>
    <row r="56" spans="1:4">
      <c r="A56" s="3599"/>
      <c r="B56" s="1553" t="s">
        <v>387</v>
      </c>
      <c r="C56" s="1550" t="s">
        <v>588</v>
      </c>
    </row>
    <row r="57" spans="1:4">
      <c r="A57" s="35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600" t="s">
        <v>2583</v>
      </c>
      <c r="J2" s="3600"/>
      <c r="K2" s="3600"/>
      <c r="L2" s="3600"/>
      <c r="M2" s="3600"/>
      <c r="N2" s="3600"/>
      <c r="O2" s="3600"/>
      <c r="P2" s="3600"/>
      <c r="Q2" s="3600"/>
      <c r="R2" s="3600"/>
    </row>
    <row r="3" spans="1:18">
      <c r="A3" s="3018" t="s">
        <v>2504</v>
      </c>
      <c r="B3" s="3019">
        <f>项目基本情况!D3</f>
        <v>45105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3.47</v>
      </c>
      <c r="D5" s="3023">
        <f>IF(ISERROR(ROUND(POWER(1+E5,A5-C5)*(POWER(1+E5,C5)-1)/(POWER(1+E5,A5)-1),3)),0,ROUND(POWER(1+E5,A5-C5)*(POWER(1+E5,C5)-1)/(POWER(1+E5,A5)-1),4))</f>
        <v>0.16070000000000001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13.48</v>
      </c>
      <c r="D6" s="3023">
        <f>IF(ISERROR(ROUND(POWER(1+E6,A6-C6)*(POWER(1+E6,C6)-1)/(POWER(1+E6,A6)-1),3)),0,ROUND(POWER(1+E6,A6-C6)*(POWER(1+E6,C6)-1)/(POWER(1+E6,A6)-1),4))</f>
        <v>0.47789999999999999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33.5</v>
      </c>
      <c r="D7" s="3023">
        <f>IF(ISERROR(ROUND(POWER(1+E7,A7-C7)*(POWER(1+E7,C7)-1)/(POWER(1+E7,A7)-1),3)),0,ROUND(POWER(1+E7,A7-C7)*(POWER(1+E7,C7)-1)/(POWER(1+E7,A7)-1),4))</f>
        <v>0.78139999999999998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K19"/>
  <sheetViews>
    <sheetView topLeftCell="A34" workbookViewId="0">
      <selection activeCell="K29" sqref="K29"/>
    </sheetView>
  </sheetViews>
  <sheetFormatPr defaultRowHeight="13.5"/>
  <cols>
    <col min="1" max="1" width="1.625" customWidth="1"/>
    <col min="2" max="2" width="10" customWidth="1"/>
    <col min="3" max="3" width="33.625" bestFit="1" customWidth="1"/>
    <col min="4" max="4" width="17.625" customWidth="1"/>
    <col min="5" max="5" width="9" customWidth="1"/>
    <col min="6" max="6" width="13" bestFit="1" customWidth="1"/>
  </cols>
  <sheetData>
    <row r="2" spans="2:11">
      <c r="B2" s="3448" t="s">
        <v>3427</v>
      </c>
      <c r="C2">
        <v>128690.19</v>
      </c>
    </row>
    <row r="4" spans="2:11" ht="16.5">
      <c r="B4" s="3449" t="s">
        <v>3385</v>
      </c>
      <c r="C4" s="3449" t="s">
        <v>3386</v>
      </c>
      <c r="D4" s="3449" t="s">
        <v>3387</v>
      </c>
      <c r="E4" s="3449" t="s">
        <v>3420</v>
      </c>
      <c r="F4" s="3449" t="s">
        <v>3388</v>
      </c>
      <c r="G4" s="3449" t="s">
        <v>3389</v>
      </c>
      <c r="H4" s="3252"/>
      <c r="I4" s="3252"/>
      <c r="J4" s="3252"/>
      <c r="K4" s="3252"/>
    </row>
    <row r="5" spans="2:11" ht="16.5">
      <c r="B5" s="3449">
        <v>1</v>
      </c>
      <c r="C5" s="3449" t="s">
        <v>5208</v>
      </c>
      <c r="D5" s="3449" t="s">
        <v>3391</v>
      </c>
      <c r="E5" s="3449" t="s">
        <v>3392</v>
      </c>
      <c r="F5" s="3449">
        <v>10028.620000000001</v>
      </c>
      <c r="G5" s="3449" t="s">
        <v>3390</v>
      </c>
      <c r="H5" s="3252"/>
      <c r="I5" s="3252"/>
      <c r="J5" s="3252"/>
      <c r="K5" s="3252"/>
    </row>
    <row r="6" spans="2:11" ht="16.5">
      <c r="B6" s="3449">
        <v>2</v>
      </c>
      <c r="C6" s="3449" t="s">
        <v>3396</v>
      </c>
      <c r="D6" s="3449" t="s">
        <v>3393</v>
      </c>
      <c r="E6" s="3449" t="s">
        <v>3392</v>
      </c>
      <c r="F6" s="3449">
        <v>5977.28</v>
      </c>
      <c r="G6" s="3449" t="s">
        <v>3390</v>
      </c>
      <c r="H6" s="3252"/>
      <c r="I6" s="3252"/>
      <c r="J6" s="3252"/>
      <c r="K6" s="3252"/>
    </row>
    <row r="7" spans="2:11" ht="16.5">
      <c r="B7" s="3449">
        <v>3</v>
      </c>
      <c r="C7" s="3449" t="s">
        <v>3397</v>
      </c>
      <c r="D7" s="3449" t="s">
        <v>3394</v>
      </c>
      <c r="E7" s="3449" t="s">
        <v>3395</v>
      </c>
      <c r="F7" s="3449">
        <v>15073.21</v>
      </c>
      <c r="G7" s="3449" t="s">
        <v>3390</v>
      </c>
      <c r="H7" s="3252"/>
      <c r="I7" s="3252"/>
      <c r="J7" s="3252"/>
      <c r="K7" s="3252"/>
    </row>
    <row r="8" spans="2:11" ht="16.5">
      <c r="B8" s="3449">
        <v>4</v>
      </c>
      <c r="C8" s="3449" t="s">
        <v>3398</v>
      </c>
      <c r="D8" s="3449" t="s">
        <v>3399</v>
      </c>
      <c r="E8" s="3449" t="s">
        <v>3392</v>
      </c>
      <c r="F8" s="3449">
        <v>5619.42</v>
      </c>
      <c r="G8" s="3449" t="s">
        <v>3390</v>
      </c>
      <c r="H8" s="3252"/>
      <c r="I8" s="3252"/>
      <c r="J8" s="3252"/>
      <c r="K8" s="3252"/>
    </row>
    <row r="9" spans="2:11" ht="16.5">
      <c r="B9" s="3449">
        <v>5</v>
      </c>
      <c r="C9" s="3449" t="s">
        <v>3400</v>
      </c>
      <c r="D9" s="3449" t="s">
        <v>3404</v>
      </c>
      <c r="E9" s="3449" t="s">
        <v>3401</v>
      </c>
      <c r="F9" s="3449">
        <v>2555.19</v>
      </c>
      <c r="G9" s="3449" t="s">
        <v>3390</v>
      </c>
      <c r="H9" s="3252"/>
      <c r="I9" s="3252"/>
      <c r="J9" s="3252"/>
      <c r="K9" s="3252"/>
    </row>
    <row r="10" spans="2:11" ht="16.5">
      <c r="B10" s="3449">
        <v>6</v>
      </c>
      <c r="C10" s="3449" t="s">
        <v>3402</v>
      </c>
      <c r="D10" s="3449" t="s">
        <v>3403</v>
      </c>
      <c r="E10" s="3449" t="s">
        <v>3401</v>
      </c>
      <c r="F10" s="3449">
        <v>5956.24</v>
      </c>
      <c r="G10" s="3449" t="s">
        <v>3390</v>
      </c>
      <c r="H10" s="3252"/>
      <c r="I10" s="3252"/>
      <c r="J10" s="3252"/>
      <c r="K10" s="3252"/>
    </row>
    <row r="11" spans="2:11" ht="16.5">
      <c r="B11" s="3449">
        <v>7</v>
      </c>
      <c r="C11" s="3449" t="s">
        <v>3406</v>
      </c>
      <c r="D11" s="3449" t="s">
        <v>3405</v>
      </c>
      <c r="E11" s="3449" t="s">
        <v>3401</v>
      </c>
      <c r="F11" s="3449">
        <v>4154.82</v>
      </c>
      <c r="G11" s="3449" t="s">
        <v>3390</v>
      </c>
      <c r="H11" s="3252"/>
      <c r="I11" s="3252"/>
      <c r="J11" s="3252"/>
      <c r="K11" s="3252"/>
    </row>
    <row r="12" spans="2:11" ht="16.5">
      <c r="B12" s="3449">
        <v>8</v>
      </c>
      <c r="C12" s="3449" t="s">
        <v>3407</v>
      </c>
      <c r="D12" s="3449" t="s">
        <v>3408</v>
      </c>
      <c r="E12" s="3449" t="s">
        <v>3401</v>
      </c>
      <c r="F12" s="3449">
        <v>2562.67</v>
      </c>
      <c r="G12" s="3449" t="s">
        <v>3390</v>
      </c>
      <c r="H12" s="3252"/>
      <c r="I12" s="3252"/>
      <c r="J12" s="3252"/>
      <c r="K12" s="3252"/>
    </row>
    <row r="13" spans="2:11" ht="16.5">
      <c r="B13" s="3449">
        <v>9</v>
      </c>
      <c r="C13" s="3449" t="s">
        <v>3410</v>
      </c>
      <c r="D13" s="3449" t="s">
        <v>3409</v>
      </c>
      <c r="E13" s="3449" t="s">
        <v>3401</v>
      </c>
      <c r="F13" s="3449">
        <v>2572.15</v>
      </c>
      <c r="G13" s="3449" t="s">
        <v>3390</v>
      </c>
      <c r="H13" s="3252"/>
      <c r="I13" s="3252"/>
      <c r="J13" s="3252"/>
      <c r="K13" s="3252"/>
    </row>
    <row r="14" spans="2:11" ht="16.5">
      <c r="B14" s="3449">
        <v>10</v>
      </c>
      <c r="C14" s="3449" t="s">
        <v>3411</v>
      </c>
      <c r="D14" s="3449" t="s">
        <v>3412</v>
      </c>
      <c r="E14" s="3449" t="s">
        <v>3401</v>
      </c>
      <c r="F14" s="3449">
        <v>3356.32</v>
      </c>
      <c r="G14" s="3449" t="s">
        <v>3390</v>
      </c>
      <c r="H14" s="3252"/>
      <c r="I14" s="3252"/>
      <c r="J14" s="3252"/>
      <c r="K14" s="3252"/>
    </row>
    <row r="15" spans="2:11" ht="16.5">
      <c r="B15" s="3449">
        <v>11</v>
      </c>
      <c r="C15" s="3449" t="s">
        <v>3413</v>
      </c>
      <c r="D15" s="3449" t="s">
        <v>3414</v>
      </c>
      <c r="E15" s="3449" t="s">
        <v>3401</v>
      </c>
      <c r="F15" s="3449">
        <v>131.13999999999999</v>
      </c>
      <c r="G15" s="3449" t="s">
        <v>3415</v>
      </c>
      <c r="H15" s="3252"/>
      <c r="I15" s="3252"/>
      <c r="J15" s="3252"/>
      <c r="K15" s="3252"/>
    </row>
    <row r="16" spans="2:11" ht="16.5">
      <c r="B16" s="3449">
        <v>12</v>
      </c>
      <c r="C16" s="3449" t="s">
        <v>3416</v>
      </c>
      <c r="D16" s="3449" t="s">
        <v>3417</v>
      </c>
      <c r="E16" s="3449" t="s">
        <v>3401</v>
      </c>
      <c r="F16" s="3449">
        <v>128.65</v>
      </c>
      <c r="G16" s="3449" t="s">
        <v>3415</v>
      </c>
      <c r="H16" s="3252"/>
      <c r="I16" s="3252"/>
      <c r="J16" s="3252"/>
      <c r="K16" s="3252"/>
    </row>
    <row r="17" spans="2:11" ht="16.5">
      <c r="B17" s="3449">
        <v>13</v>
      </c>
      <c r="C17" s="3449" t="s">
        <v>3419</v>
      </c>
      <c r="D17" s="3449" t="s">
        <v>3418</v>
      </c>
      <c r="E17" s="3449" t="s">
        <v>3401</v>
      </c>
      <c r="F17" s="3449">
        <v>103.75</v>
      </c>
      <c r="G17" s="3449" t="s">
        <v>3415</v>
      </c>
      <c r="H17" s="3252"/>
      <c r="I17" s="3252"/>
      <c r="J17" s="3252"/>
      <c r="K17" s="3252"/>
    </row>
    <row r="18" spans="2:11" ht="16.5">
      <c r="B18" s="3449">
        <v>14</v>
      </c>
      <c r="C18" s="3449" t="s">
        <v>3422</v>
      </c>
      <c r="D18" s="3449" t="s">
        <v>3421</v>
      </c>
      <c r="E18" s="3449" t="s">
        <v>3401</v>
      </c>
      <c r="F18" s="3449">
        <v>128.65</v>
      </c>
      <c r="G18" s="3449" t="s">
        <v>3415</v>
      </c>
      <c r="H18" s="3252"/>
      <c r="I18" s="3252"/>
      <c r="J18" s="3252"/>
      <c r="K18" s="3252"/>
    </row>
    <row r="19" spans="2:11" ht="16.5">
      <c r="B19" s="3450"/>
      <c r="C19" s="3450" t="s">
        <v>3423</v>
      </c>
      <c r="D19" s="3450"/>
      <c r="E19" s="3450"/>
      <c r="F19" s="3450">
        <f>SUM(F5:F18)</f>
        <v>58348.11</v>
      </c>
      <c r="G19" s="3450"/>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7" sqref="G2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601" t="str">
        <f>IF(B10="北京市","北京市",C10)&amp;F10&amp;IF(结果表!G1="在建","出让国有建设用地使用权及在建建筑物",IF(结果表!G1="土地","出让国有建设用地使用权",))&amp;B9&amp;"预评估"</f>
        <v>北京市南口路南口段1号院一区1至14号商业用房房地产抵押价值预评估</v>
      </c>
      <c r="C1" s="3602"/>
      <c r="D1" s="3602"/>
      <c r="E1" s="3602"/>
      <c r="F1" s="3602"/>
      <c r="G1" s="3602"/>
      <c r="H1" s="3602"/>
      <c r="I1" s="36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北京市南口路南口段1号院一区1至14号商业用房房地产抵押价值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北京市南口路南口段1号院一区1至14号商业用房房地产</v>
      </c>
      <c r="T2" s="1744"/>
      <c r="U2" s="1744"/>
      <c r="V2" s="1744"/>
      <c r="W2" s="1744"/>
      <c r="X2" s="1744"/>
      <c r="Y2" s="1744"/>
      <c r="Z2" s="1744"/>
      <c r="AA2" s="1744"/>
      <c r="AB2" s="1744"/>
    </row>
    <row r="3" spans="1:30">
      <c r="A3" s="301" t="s">
        <v>2169</v>
      </c>
      <c r="B3" s="2372">
        <v>45105</v>
      </c>
      <c r="C3" s="2373" t="s">
        <v>2170</v>
      </c>
      <c r="D3" s="2372">
        <f>B3</f>
        <v>45105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3377</v>
      </c>
      <c r="C4" s="2375">
        <f ca="1">SUMIF(注册房地产估价师,B4,估价师及机构信息!B3:B24)</f>
        <v>1120070131</v>
      </c>
      <c r="D4" s="2374" t="s">
        <v>3378</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604" t="s">
        <v>2176</v>
      </c>
      <c r="E8" s="2390" t="s">
        <v>5211</v>
      </c>
      <c r="F8" s="2391"/>
      <c r="G8" s="2662"/>
      <c r="H8" s="2662"/>
      <c r="I8" s="2662"/>
      <c r="J8" s="2438"/>
      <c r="K8" s="2613"/>
      <c r="L8" s="2612"/>
      <c r="M8" s="2612"/>
      <c r="N8" s="2438"/>
      <c r="O8" s="2449"/>
      <c r="P8" s="2438"/>
      <c r="Q8" s="2438"/>
      <c r="R8" s="2438"/>
    </row>
    <row r="9" spans="1:30" ht="13.5" thickBot="1">
      <c r="A9" s="2392" t="s">
        <v>2177</v>
      </c>
      <c r="B9" s="2393" t="s">
        <v>3380</v>
      </c>
      <c r="C9" s="2394"/>
      <c r="D9" s="3605"/>
      <c r="E9" s="2393" t="s">
        <v>43</v>
      </c>
      <c r="F9" s="2395"/>
      <c r="G9" s="2664"/>
      <c r="H9" s="2664"/>
      <c r="I9" s="2664"/>
      <c r="J9" s="2438"/>
      <c r="K9" s="2615"/>
      <c r="L9" s="2612"/>
      <c r="M9" s="2612"/>
      <c r="N9" s="2438"/>
      <c r="O9" s="2449"/>
      <c r="P9" s="2438"/>
      <c r="Q9" s="2438"/>
      <c r="R9" s="2438"/>
    </row>
    <row r="10" spans="1:30" ht="13.5" thickTop="1">
      <c r="A10" s="2396" t="s">
        <v>2178</v>
      </c>
      <c r="B10" s="2397" t="s">
        <v>3381</v>
      </c>
      <c r="C10" s="2398"/>
      <c r="D10" s="2381"/>
      <c r="E10" s="2399" t="s">
        <v>2179</v>
      </c>
      <c r="F10" s="2665" t="s">
        <v>3382</v>
      </c>
      <c r="G10" s="2666"/>
      <c r="H10" s="2667"/>
      <c r="I10" s="2668"/>
      <c r="J10" s="2438"/>
      <c r="K10" s="2615"/>
      <c r="L10" s="2612"/>
      <c r="M10" s="2612"/>
      <c r="N10" s="2438"/>
      <c r="O10" s="2449"/>
      <c r="P10" s="2438"/>
      <c r="Q10" s="2438"/>
      <c r="R10" s="2438"/>
    </row>
    <row r="11" spans="1:30">
      <c r="A11" s="2400" t="s">
        <v>2180</v>
      </c>
      <c r="B11" s="2401" t="s">
        <v>3438</v>
      </c>
      <c r="C11" s="2402"/>
      <c r="D11" s="2403"/>
      <c r="E11" s="2369"/>
      <c r="F11" s="2369"/>
      <c r="G11" s="2369"/>
      <c r="H11" s="2369"/>
      <c r="I11" s="2369"/>
      <c r="J11" s="3059"/>
      <c r="K11" s="3058"/>
      <c r="L11" s="2612"/>
      <c r="M11" s="2612"/>
      <c r="N11" s="2438"/>
      <c r="O11" s="2449"/>
      <c r="P11" s="2438"/>
      <c r="Q11" s="2438"/>
      <c r="R11" s="2438"/>
    </row>
    <row r="12" spans="1:30">
      <c r="A12" s="2404" t="s">
        <v>2181</v>
      </c>
      <c r="B12" s="322" t="s">
        <v>2182</v>
      </c>
      <c r="C12" s="2405" t="s">
        <v>2183</v>
      </c>
      <c r="D12" s="2405" t="s">
        <v>2184</v>
      </c>
      <c r="E12" s="2405" t="s">
        <v>2185</v>
      </c>
      <c r="F12" s="2405" t="s">
        <v>2186</v>
      </c>
      <c r="G12" s="2405" t="s">
        <v>2187</v>
      </c>
      <c r="H12" s="2405" t="s">
        <v>2188</v>
      </c>
      <c r="I12" s="3057" t="s">
        <v>2579</v>
      </c>
      <c r="J12" s="3060"/>
      <c r="K12" s="2612"/>
      <c r="L12" s="2612"/>
      <c r="M12" s="2438"/>
      <c r="N12" s="2449"/>
      <c r="O12" s="2438"/>
      <c r="P12" s="2438"/>
      <c r="Q12" s="2438"/>
      <c r="AD12" s="1744"/>
    </row>
    <row r="13" spans="1:30">
      <c r="A13" s="3421" t="s">
        <v>3337</v>
      </c>
      <c r="B13" s="2406" t="s">
        <v>2189</v>
      </c>
      <c r="C13" s="855"/>
      <c r="D13" s="855">
        <v>50307</v>
      </c>
      <c r="E13" s="855"/>
      <c r="F13" s="855"/>
      <c r="G13" s="855"/>
      <c r="H13" s="855"/>
      <c r="I13" s="855"/>
      <c r="J13" s="3060"/>
      <c r="K13" s="2612"/>
      <c r="L13" s="2612"/>
      <c r="M13" s="2438"/>
      <c r="N13" s="2449"/>
      <c r="O13" s="2438"/>
      <c r="P13" s="2438"/>
      <c r="Q13" s="2438"/>
      <c r="AD13" s="1744"/>
    </row>
    <row r="14" spans="1:30">
      <c r="A14" s="1080"/>
      <c r="B14" s="2406" t="s">
        <v>2190</v>
      </c>
      <c r="C14" s="2407"/>
      <c r="D14" s="2407">
        <v>40</v>
      </c>
      <c r="E14" s="2407"/>
      <c r="F14" s="2407"/>
      <c r="G14" s="2407"/>
      <c r="H14" s="2407"/>
      <c r="I14" s="2407"/>
      <c r="J14" s="3061"/>
      <c r="K14" s="2612"/>
      <c r="L14" s="2612"/>
      <c r="M14" s="2438"/>
      <c r="N14" s="2449"/>
      <c r="O14" s="2438"/>
      <c r="P14" s="2438"/>
      <c r="Q14" s="2438"/>
      <c r="AD14" s="1744"/>
    </row>
    <row r="15" spans="1:30">
      <c r="A15" s="319"/>
      <c r="B15" s="2408" t="s">
        <v>2191</v>
      </c>
      <c r="C15" s="2409" t="str">
        <f>IF(A13="出让",IF(C13="","",ROUNDDOWN(MIN((C13-$D$3)/365,C14),2)),C14)</f>
        <v/>
      </c>
      <c r="D15" s="2409">
        <f>IF(A13="出让",IF(D13="","",ROUNDDOWN(MIN((D13-$D$3)/365,D14),2)),D14)</f>
        <v>14.25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611"/>
      <c r="C16" s="3612"/>
      <c r="D16" s="3613"/>
      <c r="E16" s="2412" t="s">
        <v>2193</v>
      </c>
      <c r="F16" s="3614"/>
      <c r="G16" s="3615"/>
      <c r="H16" s="3615"/>
      <c r="I16" s="3616"/>
      <c r="J16" s="2438"/>
      <c r="K16" s="2616"/>
      <c r="L16" s="2450"/>
      <c r="M16" s="2450"/>
      <c r="N16" s="2508"/>
      <c r="O16" s="2450"/>
      <c r="P16" s="2508"/>
      <c r="Q16" s="2438"/>
      <c r="R16" s="2438"/>
    </row>
    <row r="17" spans="1:28">
      <c r="A17" s="312" t="s">
        <v>2194</v>
      </c>
      <c r="B17" s="301" t="s">
        <v>2195</v>
      </c>
      <c r="C17" s="8">
        <f>'数据-汇总表'!E3</f>
        <v>58348.11</v>
      </c>
      <c r="D17" s="2321" t="s">
        <v>2196</v>
      </c>
      <c r="E17" s="3617" t="s">
        <v>2197</v>
      </c>
      <c r="F17" s="3618"/>
      <c r="G17" s="3618"/>
      <c r="H17" s="3618"/>
      <c r="I17" s="361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620" t="s">
        <v>2201</v>
      </c>
      <c r="F18" s="3621"/>
      <c r="G18" s="3621"/>
      <c r="H18" s="3621"/>
      <c r="I18" s="3622"/>
      <c r="J18" s="2438"/>
      <c r="K18" s="2617"/>
      <c r="L18" s="2450"/>
      <c r="M18" s="2450"/>
      <c r="N18" s="2508"/>
      <c r="O18" s="2450"/>
      <c r="P18" s="2508"/>
      <c r="Q18" s="2438"/>
      <c r="R18" s="2438"/>
      <c r="S18" s="2438"/>
      <c r="T18" s="2438"/>
      <c r="U18" s="2438"/>
      <c r="V18" s="2438"/>
    </row>
    <row r="19" spans="1:28" ht="37.5" thickTop="1" thickBot="1">
      <c r="A19" s="326" t="s">
        <v>1055</v>
      </c>
      <c r="B19" s="306" t="s">
        <v>2202</v>
      </c>
      <c r="C19" s="1562" t="s">
        <v>3383</v>
      </c>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607" t="s">
        <v>2205</v>
      </c>
      <c r="C20" s="3608"/>
      <c r="D20" s="3609" t="s">
        <v>2206</v>
      </c>
      <c r="E20" s="3610"/>
      <c r="F20" s="2646" t="s">
        <v>1056</v>
      </c>
      <c r="G20" s="2663"/>
      <c r="H20" s="2663"/>
      <c r="I20" s="2663"/>
      <c r="J20" s="2438"/>
      <c r="K20" s="360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6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6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24" t="s">
        <v>2213</v>
      </c>
      <c r="B27" s="319" t="s">
        <v>2214</v>
      </c>
      <c r="C27" s="2415" t="s">
        <v>5214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624"/>
      <c r="B28" s="301"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24"/>
      <c r="B29" s="301"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25"/>
      <c r="B30" s="301" t="s">
        <v>2217</v>
      </c>
      <c r="C30" s="3626"/>
      <c r="D30" s="3627"/>
      <c r="E30" s="2663"/>
      <c r="F30" s="2663"/>
      <c r="G30" s="2663"/>
      <c r="H30" s="2663"/>
      <c r="I30" s="2663"/>
      <c r="J30" s="2438"/>
      <c r="K30" s="2615"/>
      <c r="L30" s="2612"/>
      <c r="M30" s="2612"/>
      <c r="N30" s="2438"/>
      <c r="O30" s="2449"/>
      <c r="P30" s="2438"/>
      <c r="Q30" s="2438"/>
      <c r="R30" s="2438"/>
      <c r="S30" s="2438"/>
      <c r="T30" s="2438"/>
      <c r="U30" s="2438"/>
      <c r="V30" s="2438"/>
    </row>
    <row r="31" spans="1:28">
      <c r="A31" s="3628" t="s">
        <v>2218</v>
      </c>
      <c r="B31" s="2421" t="s">
        <v>5191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2219</v>
      </c>
      <c r="B34" s="2025" t="s">
        <v>3428</v>
      </c>
      <c r="C34" s="2025" t="s">
        <v>3429</v>
      </c>
      <c r="D34" s="2025" t="s">
        <v>3431</v>
      </c>
      <c r="E34" s="2025" t="s">
        <v>3430</v>
      </c>
      <c r="F34" s="2025"/>
      <c r="G34" s="2025"/>
      <c r="H34" s="2025"/>
      <c r="I34" s="2663"/>
      <c r="J34" s="2438"/>
      <c r="K34" s="2426">
        <f>COUNTIF(B34:H34,"——")</f>
        <v>0</v>
      </c>
      <c r="L34" s="322" t="s">
        <v>2220</v>
      </c>
      <c r="M34" s="322" t="s">
        <v>2221</v>
      </c>
      <c r="N34" s="322" t="s">
        <v>2222</v>
      </c>
      <c r="O34" s="322" t="s">
        <v>2223</v>
      </c>
      <c r="P34" s="322" t="s">
        <v>2224</v>
      </c>
      <c r="Q34" s="322" t="s">
        <v>2225</v>
      </c>
      <c r="R34" s="322" t="s">
        <v>2226</v>
      </c>
      <c r="S34" s="3623" t="s">
        <v>2227</v>
      </c>
      <c r="T34" s="2427" t="str">
        <f>NUMBERSTRING(7-K34,1)&amp;"通"</f>
        <v>七通</v>
      </c>
      <c r="U34" s="2438"/>
      <c r="V34" s="2438"/>
    </row>
    <row r="35" spans="1:30">
      <c r="A35" s="2428"/>
      <c r="B35" s="3630" t="s">
        <v>2228</v>
      </c>
      <c r="C35" s="3630"/>
      <c r="D35" s="3630"/>
      <c r="E35" s="3630"/>
      <c r="F35" s="663">
        <f>C10</f>
        <v>0</v>
      </c>
      <c r="G35" s="2663"/>
      <c r="H35" s="2663"/>
      <c r="I35" s="2663"/>
      <c r="J35" s="2438"/>
      <c r="K35" s="322"/>
      <c r="L35" s="322" t="str">
        <f>B34</f>
        <v>通路</v>
      </c>
      <c r="M35" s="328" t="str">
        <f>B34&amp;"、"&amp;C34</f>
        <v>通路、通电</v>
      </c>
      <c r="N35" s="328" t="str">
        <f>B34&amp;"、"&amp;C34&amp;"、"&amp;D34</f>
        <v>通路、通电、通讯</v>
      </c>
      <c r="O35" s="328" t="str">
        <f>B34&amp;"、"&amp;C34&amp;"、"&amp;D34&amp;"、"&amp;E34</f>
        <v>通路、通电、通讯、平整</v>
      </c>
      <c r="P35" s="328" t="str">
        <f>B34&amp;"、"&amp;C34&amp;"、"&amp;D34&amp;"、"&amp;E34&amp;"、"&amp;F34</f>
        <v>通路、通电、通讯、平整、</v>
      </c>
      <c r="Q35" s="328" t="str">
        <f>B34&amp;"、"&amp;C34&amp;"、"&amp;D34&amp;"、"&amp;E34&amp;"、"&amp;F34&amp;"、"&amp;G34</f>
        <v>通路、通电、通讯、平整、、</v>
      </c>
      <c r="R35" s="328" t="str">
        <f>B34&amp;"、"&amp;C34&amp;"、"&amp;D34&amp;"、"&amp;E34&amp;"、"&amp;F34&amp;"、"&amp;G34&amp;"、"&amp;H34</f>
        <v>通路、通电、通讯、平整、、、</v>
      </c>
      <c r="S35" s="3623"/>
      <c r="T35" s="328" t="str">
        <f>IF(T34="一通",L35,IF(T34="二通",M35,IF(T34="三通",N35,IF(T34="四通",O35,IF(T34="五通",P35,IF(T34="六通",Q35,R35))))))</f>
        <v>通路、通电、通讯、平整、、、</v>
      </c>
      <c r="U35" s="2438"/>
      <c r="V35" s="2438"/>
    </row>
    <row r="36" spans="1:30">
      <c r="A36" s="2429"/>
      <c r="B36" s="663" t="s">
        <v>2184</v>
      </c>
      <c r="C36" s="663" t="s">
        <v>2185</v>
      </c>
      <c r="D36" s="663" t="s">
        <v>2183</v>
      </c>
      <c r="E36" s="663" t="s">
        <v>2188</v>
      </c>
      <c r="F36" s="3063"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290</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20" sqref="AN20"/>
    </sheetView>
  </sheetViews>
  <sheetFormatPr defaultColWidth="8.875" defaultRowHeight="14.25"/>
  <cols>
    <col min="1" max="1" width="10.625" style="1572" customWidth="1"/>
    <col min="2" max="2" width="11" style="1572" customWidth="1"/>
    <col min="3" max="3" width="16"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hidden="1" customWidth="1"/>
    <col min="12"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58348.11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58348.11</v>
      </c>
      <c r="H5" s="13">
        <f t="shared" ref="H5:AT5" si="0">SUM(H13:H656)</f>
        <v>57439.57</v>
      </c>
      <c r="I5" s="13">
        <f t="shared" si="0"/>
        <v>57439.57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908.54</v>
      </c>
      <c r="AD5" s="13">
        <f t="shared" si="0"/>
        <v>0</v>
      </c>
      <c r="AE5" s="13">
        <f t="shared" si="0"/>
        <v>0</v>
      </c>
      <c r="AF5" s="13">
        <f t="shared" si="0"/>
        <v>0</v>
      </c>
      <c r="AG5" s="13">
        <f t="shared" si="0"/>
        <v>0</v>
      </c>
      <c r="AH5" s="13">
        <f t="shared" si="0"/>
        <v>0</v>
      </c>
      <c r="AI5" s="13">
        <f t="shared" si="0"/>
        <v>0</v>
      </c>
      <c r="AJ5" s="13">
        <f t="shared" si="0"/>
        <v>0</v>
      </c>
      <c r="AK5" s="13">
        <f t="shared" si="0"/>
        <v>0</v>
      </c>
      <c r="AL5" s="13">
        <f t="shared" si="0"/>
        <v>492.18999999999994</v>
      </c>
      <c r="AM5" s="13">
        <f t="shared" si="0"/>
        <v>0</v>
      </c>
      <c r="AN5" s="13">
        <f t="shared" si="0"/>
        <v>416.35</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58348.11</v>
      </c>
      <c r="BA5" s="15">
        <f t="shared" si="1"/>
        <v>57439.57</v>
      </c>
      <c r="BB5" s="15">
        <f t="shared" si="1"/>
        <v>57439.57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908.54</v>
      </c>
      <c r="BM5" s="15">
        <f t="shared" si="1"/>
        <v>0</v>
      </c>
      <c r="BN5" s="15">
        <f t="shared" si="1"/>
        <v>0</v>
      </c>
      <c r="BO5" s="15">
        <f t="shared" si="1"/>
        <v>0</v>
      </c>
      <c r="BP5" s="15">
        <f t="shared" si="1"/>
        <v>0</v>
      </c>
      <c r="BQ5" s="15">
        <f t="shared" si="1"/>
        <v>492.18999999999994</v>
      </c>
      <c r="BR5" s="15">
        <f t="shared" si="1"/>
        <v>416.35</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3425</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独立商业</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5" customHeight="1">
      <c r="A13" s="1050"/>
      <c r="B13" s="1050"/>
      <c r="C13" s="1050" t="str">
        <f>Sheet1!D5</f>
        <v>1号楼1至2层101</v>
      </c>
      <c r="D13" s="1624" t="s">
        <v>3383</v>
      </c>
      <c r="E13" s="13">
        <f>IF($C$3="是",ROUND($A$3*G13/$B$3,2),ROUND($A$3*(G13-AT13)/$B$3,2))</f>
        <v>0</v>
      </c>
      <c r="F13" s="29"/>
      <c r="G13" s="30">
        <f>H13+AC13+AT13</f>
        <v>10028.620000000001</v>
      </c>
      <c r="H13" s="17">
        <f>SUMIF(I$12:AB$12,"总值",I13:AB13)</f>
        <v>10028.620000000001</v>
      </c>
      <c r="I13" s="1625">
        <f>Sheet1!F5</f>
        <v>10028.620000000001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1号楼1至2层101</v>
      </c>
      <c r="AY13" s="1348">
        <f>ROUND($AY$6*AZ13/$AZ$5,2)</f>
        <v>0</v>
      </c>
      <c r="AZ13" s="13">
        <f>BA13+BL13</f>
        <v>10028.620000000001</v>
      </c>
      <c r="BA13" s="13">
        <f>SUM(BB13:BK13)</f>
        <v>10028.620000000001</v>
      </c>
      <c r="BB13" s="13">
        <f>IF($D13="是",I13-J13,0)</f>
        <v>10028.620000000001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5" customHeight="1">
      <c r="A14" s="1050"/>
      <c r="B14" s="1050"/>
      <c r="C14" s="1050" t="str">
        <f>Sheet1!D6</f>
        <v>2号楼1至2层101</v>
      </c>
      <c r="D14" s="1624" t="s">
        <v>3383</v>
      </c>
      <c r="E14" s="13">
        <f>IF($C$3="是",ROUND($A$3*G14/$B$3,2),ROUND($A$3*(G14-AT14)/$B$3,2))</f>
        <v>0</v>
      </c>
      <c r="F14" s="29"/>
      <c r="G14" s="30">
        <f>H14+AC14+AT14</f>
        <v>5977.28</v>
      </c>
      <c r="H14" s="17">
        <f>SUMIF(I$12:AB$12,"总值",I14:AB14)</f>
        <v>5977.28</v>
      </c>
      <c r="I14" s="1625">
        <f>Sheet1!F6</f>
        <v>5977.28</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2号楼1至2层101</v>
      </c>
      <c r="AY14" s="1348">
        <f>ROUND($AY$6*AZ14/$AZ$5,2)</f>
        <v>0</v>
      </c>
      <c r="AZ14" s="13">
        <f>BA14+BL14</f>
        <v>5977.28</v>
      </c>
      <c r="BA14" s="13">
        <f>SUM(BB14:BK14)</f>
        <v>5977.28</v>
      </c>
      <c r="BB14" s="13">
        <f>IF($D14="是",I14-J14,0)</f>
        <v>5977.28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5" customHeight="1">
      <c r="A15" s="1050"/>
      <c r="B15" s="1050"/>
      <c r="C15" s="1050" t="str">
        <f>Sheet1!D7</f>
        <v>3号楼1至3层101</v>
      </c>
      <c r="D15" s="1624" t="s">
        <v>3383</v>
      </c>
      <c r="E15" s="13">
        <f>IF($C$3="是",ROUND($A$3*G15/$B$3,2),ROUND($A$3*(G15-AT15)/$B$3,2))</f>
        <v>0</v>
      </c>
      <c r="F15" s="29"/>
      <c r="G15" s="30">
        <f>H15+AC15+AT15</f>
        <v>15073.21</v>
      </c>
      <c r="H15" s="17">
        <f>SUMIF(I$12:AB$12,"总值",I15:AB15)</f>
        <v>15073.21</v>
      </c>
      <c r="I15" s="1625">
        <f>Sheet1!F7</f>
        <v>15073.21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3号楼1至3层101</v>
      </c>
      <c r="AY15" s="1348">
        <f>ROUND($AY$6*AZ15/$AZ$5,2)</f>
        <v>0</v>
      </c>
      <c r="AZ15" s="13">
        <f>BA15+BL15</f>
        <v>15073.21</v>
      </c>
      <c r="BA15" s="13">
        <f>SUM(BB15:BK15)</f>
        <v>15073.21</v>
      </c>
      <c r="BB15" s="13">
        <f>IF($D15="是",I15-J15,0)</f>
        <v>15073.21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5" customHeight="1">
      <c r="A16" s="1050"/>
      <c r="B16" s="1050"/>
      <c r="C16" s="1050" t="str">
        <f>Sheet1!D8</f>
        <v>4号楼1至2层101</v>
      </c>
      <c r="D16" s="1624" t="s">
        <v>3383</v>
      </c>
      <c r="E16" s="13">
        <f>IF($C$3="是",ROUND($A$3*G16/$B$3,2),ROUND($A$3*(G16-AT16)/$B$3,2))</f>
        <v>0</v>
      </c>
      <c r="F16" s="29"/>
      <c r="G16" s="30">
        <f>H16+AC16+AT16</f>
        <v>5619.42</v>
      </c>
      <c r="H16" s="17">
        <f>SUMIF(I$12:AB$12,"总值",I16:AB16)</f>
        <v>5203.07</v>
      </c>
      <c r="I16" s="1625">
        <v>5203.07</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416.35</v>
      </c>
      <c r="AD16" s="1626"/>
      <c r="AE16" s="1626"/>
      <c r="AF16" s="1626"/>
      <c r="AG16" s="1626"/>
      <c r="AH16" s="1626"/>
      <c r="AI16" s="1626"/>
      <c r="AJ16" s="1626"/>
      <c r="AK16" s="1626"/>
      <c r="AL16" s="1626"/>
      <c r="AM16" s="1626"/>
      <c r="AN16" s="1626">
        <v>416.35</v>
      </c>
      <c r="AO16" s="1626"/>
      <c r="AP16" s="1626"/>
      <c r="AQ16" s="1626"/>
      <c r="AR16" s="1626"/>
      <c r="AS16" s="1626"/>
      <c r="AT16" s="1627"/>
      <c r="AU16" s="1628"/>
      <c r="AV16" s="8">
        <f t="shared" si="6"/>
        <v>0</v>
      </c>
      <c r="AW16" s="8">
        <f t="shared" si="6"/>
        <v>0</v>
      </c>
      <c r="AX16" s="8" t="str">
        <f t="shared" si="6"/>
        <v>4号楼1至2层101</v>
      </c>
      <c r="AY16" s="1348">
        <f>ROUND($AY$6*AZ16/$AZ$5,2)</f>
        <v>0</v>
      </c>
      <c r="AZ16" s="13">
        <f>BA16+BL16</f>
        <v>5619.42</v>
      </c>
      <c r="BA16" s="13">
        <f>SUM(BB16:BK16)</f>
        <v>5203.07</v>
      </c>
      <c r="BB16" s="13">
        <f>IF($D16="是",I16-J16,0)</f>
        <v>5203.07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416.35</v>
      </c>
      <c r="BM16" s="13">
        <f>IF($D16="是",AD16-AE16,0)</f>
        <v>0</v>
      </c>
      <c r="BN16" s="13">
        <f>IF($D16="是",AF16-AG16,0)</f>
        <v>0</v>
      </c>
      <c r="BO16" s="13">
        <f>IF($D16="是",AH16-AI16,0)</f>
        <v>0</v>
      </c>
      <c r="BP16" s="13">
        <f>IF($D16="是",AJ16-AK16,0)</f>
        <v>0</v>
      </c>
      <c r="BQ16" s="13">
        <f>IF($D16="是",AL16-AM16,0)</f>
        <v>0</v>
      </c>
      <c r="BR16" s="13">
        <f>IF($D16="是",AN16-AO16,0)</f>
        <v>416.35</v>
      </c>
      <c r="BS16" s="13">
        <f>IF($D16="是",AP16-AQ16,0)</f>
        <v>0</v>
      </c>
      <c r="BT16" s="19">
        <f>IF($D16="是",AR16-AS16,0)</f>
        <v>0</v>
      </c>
    </row>
    <row r="17" spans="1:72" s="1578" customFormat="1" ht="13.5" customHeight="1">
      <c r="A17" s="1050"/>
      <c r="B17" s="1050"/>
      <c r="C17" s="1050" t="str">
        <f>Sheet1!D9</f>
        <v>5号1层101</v>
      </c>
      <c r="D17" s="1624" t="s">
        <v>3383</v>
      </c>
      <c r="E17" s="13">
        <f>IF($C$3="是",ROUND($A$3*G17/$B$3,2),ROUND($A$3*(G17-AT17)/$B$3,2))</f>
        <v>0</v>
      </c>
      <c r="F17" s="29"/>
      <c r="G17" s="30">
        <f>H17+AC17+AT17</f>
        <v>2555.19</v>
      </c>
      <c r="H17" s="17">
        <f>SUMIF(I$12:AB$12,"总值",I17:AB17)</f>
        <v>2555.19</v>
      </c>
      <c r="I17" s="1625">
        <f>Sheet1!F9</f>
        <v>2555.19</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5号1层101</v>
      </c>
      <c r="AY17" s="1348">
        <f>ROUND($AY$6*AZ17/$AZ$5,2)</f>
        <v>0</v>
      </c>
      <c r="AZ17" s="13">
        <f>BA17+BL17</f>
        <v>2555.19</v>
      </c>
      <c r="BA17" s="13">
        <f>SUM(BB17:BK17)</f>
        <v>2555.19</v>
      </c>
      <c r="BB17" s="13">
        <f>IF($D17="是",I17-J17,0)</f>
        <v>2555.19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3.5" customHeight="1">
      <c r="A18" s="6"/>
      <c r="B18" s="31"/>
      <c r="C18" s="1050" t="str">
        <f>Sheet1!D10</f>
        <v>6号1层101</v>
      </c>
      <c r="D18" s="1624" t="s">
        <v>3383</v>
      </c>
      <c r="E18" s="32">
        <f t="shared" ref="E18:E112" si="7">IF($C$3="是",ROUND($A$3*G18/$B$3,2),ROUND($A$3*(G18-AT18)/$B$3,2))</f>
        <v>0</v>
      </c>
      <c r="F18" s="33"/>
      <c r="G18" s="34">
        <f t="shared" ref="G18:G109" si="8">H18+AC18+AT18</f>
        <v>5956.24</v>
      </c>
      <c r="H18" s="35">
        <f t="shared" ref="H18:H109" si="9">SUMIF(I$12:AB$12,"总值",I18:AB18)</f>
        <v>5956.24</v>
      </c>
      <c r="I18" s="1625">
        <f>Sheet1!F10</f>
        <v>5956.24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6号1层101</v>
      </c>
      <c r="AY18" s="39">
        <f t="shared" ref="AY18:AY109" si="14">ROUND($AY$6*AZ18/$AZ$5,2)</f>
        <v>0</v>
      </c>
      <c r="AZ18" s="32">
        <f t="shared" ref="AZ18:AZ109" si="15">BA18+BL18</f>
        <v>5956.24</v>
      </c>
      <c r="BA18" s="32">
        <f t="shared" ref="BA18:BA109" si="16">SUM(BB18:BK18)</f>
        <v>5956.24</v>
      </c>
      <c r="BB18" s="32">
        <f t="shared" ref="BB18:BB109" si="17">IF($D18="是",I18-J18,0)</f>
        <v>5956.24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3.5" customHeight="1">
      <c r="A19" s="6"/>
      <c r="B19" s="31"/>
      <c r="C19" s="1050" t="str">
        <f>Sheet1!D11</f>
        <v>7号1层101</v>
      </c>
      <c r="D19" s="1624" t="s">
        <v>3383</v>
      </c>
      <c r="E19" s="32">
        <f t="shared" si="7"/>
        <v>0</v>
      </c>
      <c r="F19" s="33"/>
      <c r="G19" s="34">
        <f t="shared" si="8"/>
        <v>4154.82</v>
      </c>
      <c r="H19" s="35">
        <f t="shared" si="9"/>
        <v>4154.82</v>
      </c>
      <c r="I19" s="1625">
        <f>Sheet1!F11</f>
        <v>4154.82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t="str">
        <f t="shared" si="13"/>
        <v>7号1层101</v>
      </c>
      <c r="AY19" s="39">
        <f t="shared" si="14"/>
        <v>0</v>
      </c>
      <c r="AZ19" s="32">
        <f t="shared" si="15"/>
        <v>4154.82</v>
      </c>
      <c r="BA19" s="32">
        <f t="shared" si="16"/>
        <v>4154.82</v>
      </c>
      <c r="BB19" s="32">
        <f t="shared" si="17"/>
        <v>4154.82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3.5" customHeight="1">
      <c r="A20" s="6"/>
      <c r="B20" s="31"/>
      <c r="C20" s="1050" t="str">
        <f>Sheet1!D12</f>
        <v>8号1层101</v>
      </c>
      <c r="D20" s="1624" t="s">
        <v>3383</v>
      </c>
      <c r="E20" s="32">
        <f t="shared" si="7"/>
        <v>0</v>
      </c>
      <c r="F20" s="33"/>
      <c r="G20" s="34">
        <f t="shared" si="8"/>
        <v>2562.67</v>
      </c>
      <c r="H20" s="35">
        <f t="shared" si="9"/>
        <v>2562.67</v>
      </c>
      <c r="I20" s="1625">
        <f>Sheet1!F12</f>
        <v>2562.67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t="str">
        <f t="shared" si="13"/>
        <v>8号1层101</v>
      </c>
      <c r="AY20" s="39">
        <f t="shared" si="14"/>
        <v>0</v>
      </c>
      <c r="AZ20" s="32">
        <f t="shared" si="15"/>
        <v>2562.67</v>
      </c>
      <c r="BA20" s="32">
        <f t="shared" si="16"/>
        <v>2562.67</v>
      </c>
      <c r="BB20" s="32">
        <f t="shared" si="17"/>
        <v>2562.67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3.5" customHeight="1">
      <c r="A21" s="6"/>
      <c r="B21" s="31"/>
      <c r="C21" s="1050" t="str">
        <f>Sheet1!D13</f>
        <v>9号1层101</v>
      </c>
      <c r="D21" s="1624" t="s">
        <v>3383</v>
      </c>
      <c r="E21" s="32">
        <f t="shared" si="7"/>
        <v>0</v>
      </c>
      <c r="F21" s="33"/>
      <c r="G21" s="34">
        <f t="shared" si="8"/>
        <v>2572.15</v>
      </c>
      <c r="H21" s="35">
        <f t="shared" si="9"/>
        <v>2572.15</v>
      </c>
      <c r="I21" s="1625">
        <f>Sheet1!F13</f>
        <v>2572.15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t="str">
        <f t="shared" si="13"/>
        <v>9号1层101</v>
      </c>
      <c r="AY21" s="39">
        <f t="shared" si="14"/>
        <v>0</v>
      </c>
      <c r="AZ21" s="32">
        <f t="shared" si="15"/>
        <v>2572.15</v>
      </c>
      <c r="BA21" s="32">
        <f t="shared" si="16"/>
        <v>2572.15</v>
      </c>
      <c r="BB21" s="32">
        <f t="shared" si="17"/>
        <v>2572.15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3.5" customHeight="1">
      <c r="A22" s="6"/>
      <c r="B22" s="31"/>
      <c r="C22" s="1050" t="str">
        <f>Sheet1!D14</f>
        <v>10号1层101</v>
      </c>
      <c r="D22" s="1624" t="s">
        <v>3383</v>
      </c>
      <c r="E22" s="32">
        <f t="shared" si="7"/>
        <v>0</v>
      </c>
      <c r="F22" s="33"/>
      <c r="G22" s="34">
        <f t="shared" si="8"/>
        <v>3356.32</v>
      </c>
      <c r="H22" s="35">
        <f t="shared" si="9"/>
        <v>3356.32</v>
      </c>
      <c r="I22" s="1625">
        <f>Sheet1!F14</f>
        <v>3356.32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t="str">
        <f t="shared" si="13"/>
        <v>10号1层101</v>
      </c>
      <c r="AY22" s="39">
        <f t="shared" si="14"/>
        <v>0</v>
      </c>
      <c r="AZ22" s="32">
        <f t="shared" si="15"/>
        <v>3356.32</v>
      </c>
      <c r="BA22" s="32">
        <f t="shared" si="16"/>
        <v>3356.32</v>
      </c>
      <c r="BB22" s="32">
        <f t="shared" si="17"/>
        <v>3356.32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3.5" customHeight="1">
      <c r="A23" s="6"/>
      <c r="B23" s="31"/>
      <c r="C23" s="1050" t="str">
        <f>Sheet1!D15</f>
        <v>11号1层101</v>
      </c>
      <c r="D23" s="1624" t="s">
        <v>3383</v>
      </c>
      <c r="E23" s="32">
        <f t="shared" si="7"/>
        <v>0</v>
      </c>
      <c r="F23" s="33"/>
      <c r="G23" s="34">
        <f t="shared" si="8"/>
        <v>131.13999999999999</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131.13999999999999</v>
      </c>
      <c r="AD23" s="37"/>
      <c r="AE23" s="37"/>
      <c r="AF23" s="37"/>
      <c r="AG23" s="37"/>
      <c r="AH23" s="37"/>
      <c r="AI23" s="37"/>
      <c r="AJ23" s="37"/>
      <c r="AK23" s="37"/>
      <c r="AL23" s="37">
        <f>Sheet1!F15</f>
        <v>131.13999999999999</v>
      </c>
      <c r="AM23" s="37"/>
      <c r="AN23" s="37"/>
      <c r="AO23" s="37"/>
      <c r="AP23" s="37"/>
      <c r="AQ23" s="37"/>
      <c r="AR23" s="37"/>
      <c r="AS23" s="37"/>
      <c r="AT23" s="38"/>
      <c r="AU23" s="1630"/>
      <c r="AV23" s="1342">
        <f t="shared" si="11"/>
        <v>0</v>
      </c>
      <c r="AW23" s="1342">
        <f t="shared" si="12"/>
        <v>0</v>
      </c>
      <c r="AX23" s="1342" t="str">
        <f t="shared" si="13"/>
        <v>11号1层101</v>
      </c>
      <c r="AY23" s="39">
        <f t="shared" si="14"/>
        <v>0</v>
      </c>
      <c r="AZ23" s="32">
        <f t="shared" si="15"/>
        <v>131.13999999999999</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131.13999999999999</v>
      </c>
      <c r="BM23" s="32">
        <f t="shared" si="28"/>
        <v>0</v>
      </c>
      <c r="BN23" s="32">
        <f t="shared" si="29"/>
        <v>0</v>
      </c>
      <c r="BO23" s="32">
        <f t="shared" si="30"/>
        <v>0</v>
      </c>
      <c r="BP23" s="32">
        <f t="shared" si="31"/>
        <v>0</v>
      </c>
      <c r="BQ23" s="32">
        <f t="shared" si="32"/>
        <v>131.13999999999999</v>
      </c>
      <c r="BR23" s="32">
        <f t="shared" si="33"/>
        <v>0</v>
      </c>
      <c r="BS23" s="32">
        <f t="shared" si="34"/>
        <v>0</v>
      </c>
      <c r="BT23" s="40">
        <f t="shared" si="35"/>
        <v>0</v>
      </c>
    </row>
    <row r="24" spans="1:72" ht="13.5" customHeight="1">
      <c r="A24" s="6"/>
      <c r="B24" s="31"/>
      <c r="C24" s="1050" t="str">
        <f>Sheet1!D16</f>
        <v>12号1层101</v>
      </c>
      <c r="D24" s="1624" t="s">
        <v>3383</v>
      </c>
      <c r="E24" s="32">
        <f t="shared" si="7"/>
        <v>0</v>
      </c>
      <c r="F24" s="33"/>
      <c r="G24" s="34">
        <f t="shared" si="8"/>
        <v>128.65</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128.65</v>
      </c>
      <c r="AD24" s="37"/>
      <c r="AE24" s="37"/>
      <c r="AF24" s="37"/>
      <c r="AG24" s="37"/>
      <c r="AH24" s="37"/>
      <c r="AI24" s="37"/>
      <c r="AJ24" s="37"/>
      <c r="AK24" s="37"/>
      <c r="AL24" s="37">
        <f>Sheet1!F16</f>
        <v>128.65</v>
      </c>
      <c r="AM24" s="37"/>
      <c r="AN24" s="37"/>
      <c r="AO24" s="37"/>
      <c r="AP24" s="37"/>
      <c r="AQ24" s="37"/>
      <c r="AR24" s="37"/>
      <c r="AS24" s="37"/>
      <c r="AT24" s="38"/>
      <c r="AU24" s="1630"/>
      <c r="AV24" s="1342">
        <f t="shared" si="11"/>
        <v>0</v>
      </c>
      <c r="AW24" s="1342">
        <f t="shared" si="12"/>
        <v>0</v>
      </c>
      <c r="AX24" s="1342" t="str">
        <f t="shared" si="13"/>
        <v>12号1层101</v>
      </c>
      <c r="AY24" s="39">
        <f t="shared" si="14"/>
        <v>0</v>
      </c>
      <c r="AZ24" s="32">
        <f t="shared" si="15"/>
        <v>128.65</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128.65</v>
      </c>
      <c r="BM24" s="32">
        <f t="shared" si="28"/>
        <v>0</v>
      </c>
      <c r="BN24" s="32">
        <f t="shared" si="29"/>
        <v>0</v>
      </c>
      <c r="BO24" s="32">
        <f t="shared" si="30"/>
        <v>0</v>
      </c>
      <c r="BP24" s="32">
        <f t="shared" si="31"/>
        <v>0</v>
      </c>
      <c r="BQ24" s="32">
        <f t="shared" si="32"/>
        <v>128.65</v>
      </c>
      <c r="BR24" s="32">
        <f t="shared" si="33"/>
        <v>0</v>
      </c>
      <c r="BS24" s="32">
        <f t="shared" si="34"/>
        <v>0</v>
      </c>
      <c r="BT24" s="40">
        <f t="shared" si="35"/>
        <v>0</v>
      </c>
    </row>
    <row r="25" spans="1:72" ht="13.5" customHeight="1">
      <c r="A25" s="6"/>
      <c r="B25" s="31"/>
      <c r="C25" s="1050" t="str">
        <f>Sheet1!D17</f>
        <v>13号1层101</v>
      </c>
      <c r="D25" s="1624" t="s">
        <v>3383</v>
      </c>
      <c r="E25" s="32">
        <f t="shared" si="7"/>
        <v>0</v>
      </c>
      <c r="F25" s="33"/>
      <c r="G25" s="34">
        <f t="shared" si="8"/>
        <v>103.75</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103.75</v>
      </c>
      <c r="AD25" s="37"/>
      <c r="AE25" s="37"/>
      <c r="AF25" s="37"/>
      <c r="AG25" s="37"/>
      <c r="AH25" s="37"/>
      <c r="AI25" s="37"/>
      <c r="AJ25" s="37"/>
      <c r="AK25" s="37"/>
      <c r="AL25" s="37">
        <f>Sheet1!F17</f>
        <v>103.75</v>
      </c>
      <c r="AM25" s="37"/>
      <c r="AN25" s="37"/>
      <c r="AO25" s="37"/>
      <c r="AP25" s="37"/>
      <c r="AQ25" s="37"/>
      <c r="AR25" s="37"/>
      <c r="AS25" s="37"/>
      <c r="AT25" s="38"/>
      <c r="AU25" s="1630"/>
      <c r="AV25" s="1342">
        <f t="shared" si="11"/>
        <v>0</v>
      </c>
      <c r="AW25" s="1342">
        <f t="shared" si="12"/>
        <v>0</v>
      </c>
      <c r="AX25" s="1342" t="str">
        <f t="shared" si="13"/>
        <v>13号1层101</v>
      </c>
      <c r="AY25" s="39">
        <f t="shared" si="14"/>
        <v>0</v>
      </c>
      <c r="AZ25" s="32">
        <f t="shared" si="15"/>
        <v>103.75</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103.75</v>
      </c>
      <c r="BM25" s="32">
        <f t="shared" si="28"/>
        <v>0</v>
      </c>
      <c r="BN25" s="32">
        <f t="shared" si="29"/>
        <v>0</v>
      </c>
      <c r="BO25" s="32">
        <f t="shared" si="30"/>
        <v>0</v>
      </c>
      <c r="BP25" s="32">
        <f t="shared" si="31"/>
        <v>0</v>
      </c>
      <c r="BQ25" s="32">
        <f t="shared" si="32"/>
        <v>103.75</v>
      </c>
      <c r="BR25" s="32">
        <f t="shared" si="33"/>
        <v>0</v>
      </c>
      <c r="BS25" s="32">
        <f t="shared" si="34"/>
        <v>0</v>
      </c>
      <c r="BT25" s="40">
        <f t="shared" si="35"/>
        <v>0</v>
      </c>
    </row>
    <row r="26" spans="1:72" ht="13.5" customHeight="1">
      <c r="A26" s="6"/>
      <c r="B26" s="31"/>
      <c r="C26" s="1050" t="str">
        <f>Sheet1!D18</f>
        <v>14号1层101</v>
      </c>
      <c r="D26" s="1624" t="s">
        <v>3383</v>
      </c>
      <c r="E26" s="32">
        <f t="shared" si="7"/>
        <v>0</v>
      </c>
      <c r="F26" s="33"/>
      <c r="G26" s="34">
        <f t="shared" si="8"/>
        <v>128.65</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128.65</v>
      </c>
      <c r="AD26" s="37"/>
      <c r="AE26" s="37"/>
      <c r="AF26" s="37"/>
      <c r="AG26" s="37"/>
      <c r="AH26" s="37"/>
      <c r="AI26" s="37"/>
      <c r="AJ26" s="37"/>
      <c r="AK26" s="37"/>
      <c r="AL26" s="37">
        <f>Sheet1!F18</f>
        <v>128.65</v>
      </c>
      <c r="AM26" s="37"/>
      <c r="AN26" s="37"/>
      <c r="AO26" s="37"/>
      <c r="AP26" s="37"/>
      <c r="AQ26" s="37"/>
      <c r="AR26" s="37"/>
      <c r="AS26" s="37"/>
      <c r="AT26" s="38"/>
      <c r="AU26" s="1630"/>
      <c r="AV26" s="1342">
        <f t="shared" si="11"/>
        <v>0</v>
      </c>
      <c r="AW26" s="1342">
        <f t="shared" si="12"/>
        <v>0</v>
      </c>
      <c r="AX26" s="1342" t="str">
        <f t="shared" si="13"/>
        <v>14号1层101</v>
      </c>
      <c r="AY26" s="39">
        <f t="shared" si="14"/>
        <v>0</v>
      </c>
      <c r="AZ26" s="32">
        <f t="shared" si="15"/>
        <v>128.65</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128.65</v>
      </c>
      <c r="BM26" s="32">
        <f t="shared" si="28"/>
        <v>0</v>
      </c>
      <c r="BN26" s="32">
        <f t="shared" si="29"/>
        <v>0</v>
      </c>
      <c r="BO26" s="32">
        <f t="shared" si="30"/>
        <v>0</v>
      </c>
      <c r="BP26" s="32">
        <f t="shared" si="31"/>
        <v>0</v>
      </c>
      <c r="BQ26" s="32">
        <f t="shared" si="32"/>
        <v>128.65</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0" sqref="I4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40" t="s">
        <v>1131</v>
      </c>
      <c r="B2" s="3640"/>
      <c r="C2" s="3640"/>
      <c r="D2" s="795" t="s">
        <v>1107</v>
      </c>
      <c r="E2" s="1638" t="s">
        <v>1108</v>
      </c>
      <c r="F2" s="2658"/>
      <c r="G2" s="2649"/>
      <c r="H2" s="2650"/>
      <c r="I2" s="2324" t="s">
        <v>1132</v>
      </c>
      <c r="J2" s="2658"/>
      <c r="K2" s="2658"/>
      <c r="L2" s="2658"/>
      <c r="M2" s="2658"/>
      <c r="N2" s="2660"/>
      <c r="O2" s="2658"/>
      <c r="P2" s="2658"/>
    </row>
    <row r="3" spans="1:16" ht="15.75" thickBot="1">
      <c r="A3" s="3641" t="s">
        <v>1105</v>
      </c>
      <c r="B3" s="3641"/>
      <c r="C3" s="3641"/>
      <c r="D3" s="43">
        <f>'数据-基础表'!AY6</f>
        <v>0</v>
      </c>
      <c r="E3" s="43">
        <f>'数据-基础表'!AZ5</f>
        <v>58348.11</v>
      </c>
      <c r="F3" s="2658"/>
      <c r="G3" s="1144"/>
      <c r="H3" s="1025" t="s">
        <v>1106</v>
      </c>
      <c r="I3" s="854" t="e">
        <f>ROUND('数据-基础表'!B3/'数据-基础表'!A3,2)</f>
        <v>#DIV/0!</v>
      </c>
      <c r="J3" s="2658"/>
      <c r="K3" s="2658"/>
      <c r="L3" s="2658"/>
      <c r="M3" s="2658"/>
      <c r="N3" s="2660"/>
      <c r="O3" s="2658"/>
      <c r="P3" s="2658"/>
    </row>
    <row r="4" spans="1:16" ht="15">
      <c r="A4" s="3642"/>
      <c r="B4" s="3643"/>
      <c r="C4" s="36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45" t="s">
        <v>1110</v>
      </c>
      <c r="C5" s="36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45" t="s">
        <v>1111</v>
      </c>
      <c r="C6" s="3645"/>
      <c r="D6" s="45">
        <f>ROUND($D$3*E6/$E$3,2)</f>
        <v>0</v>
      </c>
      <c r="E6" s="46">
        <f>E3-E5</f>
        <v>58348.11</v>
      </c>
      <c r="F6" s="2658"/>
      <c r="G6" s="2652" t="s">
        <v>1112</v>
      </c>
      <c r="H6" s="1145" t="s">
        <v>1113</v>
      </c>
      <c r="I6" s="2653" t="e">
        <f>ROUND(F31/D31,2)</f>
        <v>#DIV/0!</v>
      </c>
      <c r="J6" s="2658"/>
      <c r="K6" s="2658"/>
      <c r="L6" s="2658"/>
      <c r="M6" s="2658"/>
      <c r="N6" s="2658"/>
      <c r="O6" s="2658"/>
      <c r="P6" s="2658"/>
    </row>
    <row r="7" spans="1:16" ht="15.75" thickBot="1">
      <c r="A7" s="3637"/>
      <c r="B7" s="3638"/>
      <c r="C7" s="3639"/>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57439.57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57439.57</v>
      </c>
      <c r="F16" s="2658"/>
      <c r="G16" s="2659"/>
      <c r="H16" s="1647" t="s">
        <v>1135</v>
      </c>
      <c r="I16" s="1648"/>
      <c r="J16" s="1138"/>
      <c r="K16" s="3634" t="s">
        <v>1135</v>
      </c>
      <c r="L16" s="3635"/>
      <c r="M16" s="3635"/>
      <c r="N16" s="3635"/>
      <c r="O16" s="3635"/>
      <c r="P16" s="3636"/>
    </row>
    <row r="17" spans="1:19" ht="15">
      <c r="A17" s="1649" t="s">
        <v>1136</v>
      </c>
      <c r="B17" s="1650" t="s">
        <v>1137</v>
      </c>
      <c r="C17" s="1651" t="s">
        <v>1138</v>
      </c>
      <c r="D17" s="1652" t="s">
        <v>1126</v>
      </c>
      <c r="E17" s="1653" t="s">
        <v>1127</v>
      </c>
      <c r="F17" s="1654"/>
      <c r="G17" s="1655"/>
      <c r="H17" s="1656" t="s">
        <v>1139</v>
      </c>
      <c r="I17" s="1657" t="s">
        <v>1124</v>
      </c>
      <c r="J17" s="1138"/>
      <c r="K17" s="3631" t="s">
        <v>1140</v>
      </c>
      <c r="L17" s="3632"/>
      <c r="M17" s="3633"/>
      <c r="N17" s="3631" t="s">
        <v>1141</v>
      </c>
      <c r="O17" s="3632"/>
      <c r="P17" s="36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3426</v>
      </c>
      <c r="D19" s="45">
        <f>ROUND($D$3*E19/$E$3,2)</f>
        <v>0</v>
      </c>
      <c r="E19" s="53">
        <f t="shared" ref="E19:E26" si="1">SUM(F19:G19)</f>
        <v>57439.57</v>
      </c>
      <c r="F19" s="2793">
        <f>'数据-基础表'!I5</f>
        <v>57439.57</v>
      </c>
      <c r="G19" s="2794"/>
      <c r="H19" s="669">
        <f>ROUND($D$3*I19/$E$3,2)</f>
        <v>0</v>
      </c>
      <c r="I19" s="48">
        <f t="shared" ref="I19:I26" si="2">IF($I$17="自定义",P19,M19)</f>
        <v>908.54</v>
      </c>
      <c r="J19" s="1138"/>
      <c r="K19" s="1137">
        <f t="shared" ref="K19:K26" si="3">ROUND(E$28*E19/E$27,2)</f>
        <v>908.54</v>
      </c>
      <c r="L19" s="1025">
        <f t="shared" ref="L19:L26" si="4">ROUND(IF(COUNTIF(C19,"*住宅*")&gt;0,E$29*E19/E$32,0),2)</f>
        <v>0</v>
      </c>
      <c r="M19" s="1149">
        <f>K19+L19</f>
        <v>908.54</v>
      </c>
      <c r="N19" s="1667"/>
      <c r="O19" s="1668"/>
      <c r="P19" s="1149">
        <f>N19+O19</f>
        <v>0</v>
      </c>
      <c r="R19" s="1025">
        <f t="shared" ref="R19:S26" si="5">D19+H19</f>
        <v>0</v>
      </c>
      <c r="S19" s="1026">
        <f t="shared" si="5"/>
        <v>58348.11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57439.57</v>
      </c>
      <c r="F27" s="1139">
        <f>IF(SUM(F19:F26)=E8,SUM(F19:F26),"地上面积有误")</f>
        <v>57439.57</v>
      </c>
      <c r="G27" s="1141">
        <f>SUM(G19:G26)</f>
        <v>0</v>
      </c>
      <c r="H27" s="1142">
        <f>SUM(H19:H26)</f>
        <v>0</v>
      </c>
      <c r="I27" s="1143">
        <f>SUM(I19:I26)</f>
        <v>908.54</v>
      </c>
      <c r="J27" s="1138"/>
      <c r="K27" s="1146">
        <f>SUM(K19:K26)</f>
        <v>908.54</v>
      </c>
      <c r="L27" s="1147">
        <f>SUM(L19:L26)</f>
        <v>0</v>
      </c>
      <c r="M27" s="1150">
        <f>SUM(M19:M26)</f>
        <v>908.54</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58348.11</v>
      </c>
    </row>
    <row r="28" spans="1:19">
      <c r="A28" s="1669"/>
      <c r="B28" s="47" t="s">
        <v>1155</v>
      </c>
      <c r="C28" s="1037" t="s">
        <v>1156</v>
      </c>
      <c r="D28" s="45">
        <f>ROUND($D$3*E28/$E$3,2)</f>
        <v>0</v>
      </c>
      <c r="E28" s="53">
        <f>SUM(F28:G28)</f>
        <v>908.54</v>
      </c>
      <c r="F28" s="56">
        <f>'数据-基础表'!BQ5+'数据-基础表'!BS5</f>
        <v>492.18999999999994</v>
      </c>
      <c r="G28" s="57">
        <f>'数据-基础表'!BR5+'数据-基础表'!BT5</f>
        <v>416.35</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908.54</v>
      </c>
      <c r="F30" s="1139">
        <f>SUM(F28:F29)</f>
        <v>492.18999999999994</v>
      </c>
      <c r="G30" s="1141">
        <f>SUM(G28:G29)</f>
        <v>416.35</v>
      </c>
      <c r="H30" s="2658"/>
      <c r="I30" s="2658"/>
      <c r="J30" s="2658"/>
      <c r="K30" s="2658"/>
      <c r="L30" s="2658"/>
      <c r="M30" s="2658"/>
      <c r="N30" s="2658"/>
      <c r="O30" s="2658"/>
      <c r="P30" s="2658"/>
    </row>
    <row r="31" spans="1:19" ht="15.75" thickBot="1">
      <c r="A31" s="1675"/>
      <c r="B31" s="1676"/>
      <c r="C31" s="834" t="s">
        <v>1158</v>
      </c>
      <c r="D31" s="675">
        <f>D27+D30</f>
        <v>0</v>
      </c>
      <c r="E31" s="675">
        <f>E27+E30</f>
        <v>58348.11</v>
      </c>
      <c r="F31" s="676">
        <f>F27+F30</f>
        <v>57931.76</v>
      </c>
      <c r="G31" s="677">
        <f>G27+G30</f>
        <v>416.35</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F30" sqref="F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45105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3432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50307</v>
      </c>
      <c r="F6" s="64">
        <f>SUMIF(项目基本情况!C$12:I$12,C6,项目基本情况!C$15:I$15)</f>
        <v>14.25</v>
      </c>
      <c r="G6" s="65">
        <f>IF(ISERROR(ROUND(POWER(1+H6,D6-F6)*(POWER(1+H6,F6)-1)/(POWER(1+H6,D6)-1),3)),0,ROUND(POWER(1+H6,D6-F6)*(POWER(1+H6,F6)-1)/(POWER(1+H6,D6)-1),3))</f>
        <v>0.58399999999999996</v>
      </c>
      <c r="H6" s="731">
        <v>0.05</v>
      </c>
      <c r="I6" s="731">
        <v>5.5E-2</v>
      </c>
      <c r="J6" s="66">
        <v>7.0000000000000007E-2</v>
      </c>
      <c r="K6" s="1029">
        <f>SUMIF('数据-汇总表'!C$19:C$33,A6,'数据-汇总表'!E$19:E$33)</f>
        <v>57439.57</v>
      </c>
      <c r="L6" s="732">
        <v>10000</v>
      </c>
      <c r="M6" s="67">
        <f t="shared" ref="M6:M14" si="0">ROUND(K6*L6/10000,0)</f>
        <v>57440</v>
      </c>
      <c r="N6" s="730">
        <f>N19</f>
        <v>0.86699999999999999</v>
      </c>
      <c r="O6" s="67" t="str">
        <f>IF($N$5="成新度","——",ROUND(M6*N6,0))</f>
        <v>——</v>
      </c>
      <c r="P6" s="68" t="str">
        <f>IF($N$5="成新度","——",M6-O6)</f>
        <v>——</v>
      </c>
      <c r="Q6" s="3904">
        <v>0.2</v>
      </c>
      <c r="R6" s="69">
        <f ca="1">SUMIF('数据-汇总表'!C$19:C$33,A6,'数据-汇总表'!R$19:R$27)</f>
        <v>0</v>
      </c>
      <c r="S6" s="51">
        <f>IF('数据-汇总表'!$I$17="按面积比例",SUMIF('数据-汇总表'!C$19:C$33,A6,'数据-汇总表'!K$19:K$33),SUMIF('数据-汇总表'!C$19:C$33,A6,'数据-汇总表'!N$19:N$33))</f>
        <v>908.54</v>
      </c>
      <c r="T6" s="1171">
        <f>ROUND($L$14*S6/10000,0)</f>
        <v>0</v>
      </c>
      <c r="U6" s="3426">
        <v>15</v>
      </c>
      <c r="V6" s="70">
        <v>0.03</v>
      </c>
      <c r="W6" s="70">
        <v>0.05</v>
      </c>
      <c r="X6" s="1039"/>
      <c r="Y6" s="71">
        <f>N6</f>
        <v>0.86699999999999999</v>
      </c>
      <c r="Z6" s="72"/>
      <c r="AA6" s="66"/>
      <c r="AB6" s="66"/>
      <c r="AC6" s="1039"/>
      <c r="AD6" s="73"/>
      <c r="AE6" s="1040">
        <f ca="1">IF(AN6="",0,SUMIF(INDIRECT("'"&amp;AN6&amp;"'"&amp;"!E:E"),$AE$5,INDIRECT("'"&amp;AN6&amp;"'"&amp;"!F:F")))</f>
        <v>14.25</v>
      </c>
      <c r="AF6" s="1347"/>
      <c r="AG6" s="137">
        <f>IF(AF6="",0,AE6-AF6)</f>
        <v>0</v>
      </c>
      <c r="AH6" s="74"/>
      <c r="AI6" s="76">
        <v>365</v>
      </c>
      <c r="AJ6" s="77"/>
      <c r="AK6" s="78">
        <v>1.4999999999999999E-2</v>
      </c>
      <c r="AL6" s="79">
        <v>1.5E-3</v>
      </c>
      <c r="AM6" s="80">
        <v>0.02</v>
      </c>
      <c r="AN6" s="1714" t="s">
        <v>3433</v>
      </c>
      <c r="AO6" s="52">
        <f ca="1">SUMIF(INDIRECT("'"&amp;AN6&amp;"'"&amp;"!A:A"),"总价",INDIRECT("'"&amp;AN6&amp;"'"&amp;"!B:B"))</f>
        <v>284832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908.54</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0.58399999999999996</v>
      </c>
      <c r="H16" s="90">
        <f>ROUND(SUMPRODUCT(H6:H13,K6:K13)/SUMPRODUCT((H6:H13&gt;0)*(K6:K13)),3)</f>
        <v>0.05</v>
      </c>
      <c r="I16" s="91"/>
      <c r="J16" s="91"/>
      <c r="K16" s="92">
        <f>SUM(K6:K15)</f>
        <v>58348.11</v>
      </c>
      <c r="L16" s="93">
        <f>ROUND(M16*10000/SUM(K6:K14),0)</f>
        <v>9844</v>
      </c>
      <c r="M16" s="93">
        <f>SUM(M6:M14)</f>
        <v>57440</v>
      </c>
      <c r="N16" s="94">
        <f>ROUND(SUMPRODUCT(M6:M14,N6:N14)/M16,3)</f>
        <v>0.86699999999999999</v>
      </c>
      <c r="O16" s="93">
        <f>SUM(O6:O14)</f>
        <v>0</v>
      </c>
      <c r="P16" s="93">
        <f>SUM(P6:P14)</f>
        <v>0</v>
      </c>
      <c r="Q16" s="95">
        <f>ROUND(SUMPRODUCT(Q6:Q13,K6:K13)/SUMPRODUCT((Q6:Q13&gt;0)*(K6:K13)),2)</f>
        <v>0.2</v>
      </c>
      <c r="R16" s="1033">
        <f ca="1">SUM(R6:R13)</f>
        <v>0</v>
      </c>
      <c r="S16" s="96">
        <f>SUM(S6:S13)</f>
        <v>908.54</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7" t="s">
        <v>2304</v>
      </c>
      <c r="D19" s="2675"/>
      <c r="E19" s="2672"/>
      <c r="F19" s="2672"/>
      <c r="G19" s="2672"/>
      <c r="H19" s="2672"/>
      <c r="I19" s="2672"/>
      <c r="J19" s="2672"/>
      <c r="K19" s="2671"/>
      <c r="L19" s="2671"/>
      <c r="M19" s="2670"/>
      <c r="N19" s="3451">
        <f>ROUND(1-(2023-2015)/60,3)</f>
        <v>0.86699999999999999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3903">
        <v>2.5</v>
      </c>
      <c r="C20" s="2798"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3903">
        <f>B20</f>
        <v>2.5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2.5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2.5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150</v>
      </c>
      <c r="C27" s="2799"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ROUND(B28*L16/10000,0)</f>
        <v>187</v>
      </c>
      <c r="C29" s="2800"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c r="C34" s="2801"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f>B30</f>
        <v>200</v>
      </c>
      <c r="C35" s="2801"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1"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1"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1"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3" t="s">
        <v>2313</v>
      </c>
      <c r="B40" s="1077">
        <f ca="1">IF(A40="利息：取LPR",存贷款利率!G1,存贷款利率!G1+C40)</f>
        <v>3.5499999999999997E-2</v>
      </c>
      <c r="C40" s="2812">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1"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0"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0"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3"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0"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0"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2"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46" t="s">
        <v>2285</v>
      </c>
      <c r="B1" s="3647"/>
      <c r="C1" s="3647"/>
      <c r="D1" s="3647"/>
      <c r="E1" s="3647"/>
      <c r="F1" s="3647"/>
      <c r="G1" s="36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2" t="s">
        <v>2253</v>
      </c>
      <c r="C4" s="2467" t="s">
        <v>2254</v>
      </c>
      <c r="D4" s="2464"/>
      <c r="E4" s="2468"/>
      <c r="F4" s="1372" t="s">
        <v>2255</v>
      </c>
      <c r="G4" s="2469" t="s">
        <v>2256</v>
      </c>
      <c r="H4" s="798"/>
      <c r="I4" s="798"/>
      <c r="J4" s="798"/>
      <c r="K4" s="798"/>
      <c r="L4" s="798"/>
      <c r="M4" s="798"/>
      <c r="N4" s="798"/>
      <c r="O4" s="798"/>
      <c r="P4" s="798"/>
      <c r="Q4" s="798"/>
      <c r="R4" s="798"/>
    </row>
    <row r="5" spans="1:29" ht="36.75">
      <c r="A5" s="2441"/>
      <c r="B5" s="322" t="s">
        <v>2257</v>
      </c>
      <c r="C5" s="2467" t="s">
        <v>2258</v>
      </c>
      <c r="D5" s="2464"/>
      <c r="E5" s="2468"/>
      <c r="F5" s="322" t="s">
        <v>2259</v>
      </c>
      <c r="G5" s="2469" t="s">
        <v>2260</v>
      </c>
      <c r="H5" s="798"/>
      <c r="I5" s="798"/>
      <c r="J5" s="798"/>
      <c r="K5" s="798"/>
      <c r="L5" s="798"/>
      <c r="M5" s="798"/>
      <c r="N5" s="798"/>
      <c r="O5" s="798"/>
      <c r="P5" s="798"/>
      <c r="Q5" s="798"/>
      <c r="R5" s="798"/>
    </row>
    <row r="6" spans="1:29" ht="36">
      <c r="A6" s="2441"/>
      <c r="B6" s="322" t="s">
        <v>2261</v>
      </c>
      <c r="C6" s="2469" t="s">
        <v>2256</v>
      </c>
      <c r="D6" s="2464"/>
      <c r="E6" s="2468"/>
      <c r="F6" s="322" t="s">
        <v>2262</v>
      </c>
      <c r="G6" s="2469" t="s">
        <v>2263</v>
      </c>
      <c r="H6" s="798"/>
      <c r="I6" s="798"/>
      <c r="J6" s="798"/>
      <c r="K6" s="798"/>
      <c r="L6" s="798"/>
      <c r="M6" s="798"/>
      <c r="N6" s="798"/>
      <c r="O6" s="798"/>
      <c r="P6" s="798"/>
      <c r="Q6" s="798"/>
      <c r="R6" s="798"/>
    </row>
    <row r="7" spans="1:29" ht="24.75" thickBot="1">
      <c r="A7" s="2441"/>
      <c r="B7" s="322" t="s">
        <v>2259</v>
      </c>
      <c r="C7" s="2469" t="s">
        <v>2260</v>
      </c>
      <c r="D7" s="2470"/>
      <c r="E7" s="2471"/>
      <c r="F7" s="2472" t="s">
        <v>2264</v>
      </c>
      <c r="G7" s="2473" t="s">
        <v>2265</v>
      </c>
      <c r="H7" s="798"/>
      <c r="I7" s="798"/>
      <c r="J7" s="798"/>
      <c r="K7" s="798"/>
      <c r="L7" s="798"/>
      <c r="M7" s="798"/>
      <c r="N7" s="798"/>
      <c r="O7" s="798"/>
      <c r="P7" s="798"/>
      <c r="Q7" s="798"/>
      <c r="R7" s="798"/>
    </row>
    <row r="8" spans="1:29">
      <c r="A8" s="2441"/>
      <c r="B8" s="322" t="s">
        <v>2262</v>
      </c>
      <c r="C8" s="2469" t="s">
        <v>2263</v>
      </c>
      <c r="D8" s="2470"/>
      <c r="E8" s="2470"/>
      <c r="F8" s="2474"/>
      <c r="G8" s="2474"/>
      <c r="H8" s="798"/>
      <c r="I8" s="798"/>
      <c r="J8" s="798"/>
      <c r="K8" s="798"/>
      <c r="L8" s="798"/>
      <c r="M8" s="798"/>
      <c r="N8" s="798"/>
      <c r="O8" s="798"/>
      <c r="P8" s="798"/>
      <c r="Q8" s="798"/>
      <c r="R8" s="798"/>
    </row>
    <row r="9" spans="1:29" ht="24">
      <c r="A9" s="2441"/>
      <c r="B9" s="322"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2"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2" t="s">
        <v>2262</v>
      </c>
      <c r="G20" s="2502" t="str">
        <f>G6</f>
        <v>估价对象所在区域基础设施水平</v>
      </c>
    </row>
    <row r="21" spans="1:18" ht="25.5">
      <c r="A21" s="2445"/>
      <c r="B21" s="322" t="s">
        <v>2259</v>
      </c>
      <c r="C21" s="2502" t="str">
        <f>C7</f>
        <v>估价对象所在区域公共配套设施齐备情况</v>
      </c>
      <c r="D21" s="2464"/>
      <c r="E21" s="2446"/>
      <c r="F21" s="2501" t="s">
        <v>2277</v>
      </c>
      <c r="G21" s="2504"/>
    </row>
    <row r="22" spans="1:18" ht="13.5" customHeight="1">
      <c r="A22" s="2445"/>
      <c r="B22" s="322"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58348.11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272808</v>
      </c>
      <c r="C5" s="2511">
        <f ca="1">IF(B5=D14,结果表!H102,ROUND(B5*10000/$B$1,0))</f>
        <v>47495</v>
      </c>
      <c r="D5" s="2511" t="e">
        <f ca="1">ROUND(B5*10000/$B$2,0)</f>
        <v>#DIV/0!</v>
      </c>
      <c r="E5" s="2685"/>
      <c r="F5" s="2686"/>
      <c r="G5" s="2686"/>
      <c r="H5" s="2687"/>
      <c r="I5" s="2687"/>
      <c r="J5" s="2687"/>
      <c r="K5" s="2687"/>
    </row>
    <row r="6" spans="1:11" ht="16.5">
      <c r="A6" s="2511" t="s">
        <v>656</v>
      </c>
      <c r="B6" s="2511">
        <f ca="1">SUM(G14:G23)</f>
        <v>272808</v>
      </c>
      <c r="C6" s="2511" t="e">
        <f ca="1">IF(B6=G14,结果表!H108,ROUND(B6*10000/$B$1,0))</f>
        <v>#VALUE!</v>
      </c>
      <c r="D6" s="2511" t="e">
        <f ca="1">ROUND(B6*10000/$B$2,0)</f>
        <v>#DIV/0!</v>
      </c>
      <c r="E6" s="2685"/>
      <c r="F6" s="2686"/>
      <c r="G6" s="2686"/>
      <c r="H6" s="2687"/>
      <c r="I6" s="2687"/>
      <c r="J6" s="2687"/>
      <c r="K6" s="2687"/>
    </row>
    <row r="7" spans="1:11" ht="16.5">
      <c r="A7" s="2511" t="s">
        <v>664</v>
      </c>
      <c r="B7" s="2511">
        <f ca="1">SUM(H14:H23)</f>
        <v>272808</v>
      </c>
      <c r="C7" s="2511">
        <f ca="1">IF(B7=H14,结果表!H110,ROUND(B7*10000/$B$1,0))</f>
        <v>46755</v>
      </c>
      <c r="D7" s="2511" t="e">
        <f ca="1">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39"/>
      <c r="F10" s="3443" t="s">
        <v>3363</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58348.11</v>
      </c>
      <c r="C14" s="2517"/>
      <c r="D14" s="2517">
        <f ca="1">结果表!H118</f>
        <v>272808</v>
      </c>
      <c r="E14" s="2517">
        <f ca="1">ROUND(D14*10000/B14,0)</f>
        <v>46755</v>
      </c>
      <c r="F14" s="2517" t="e">
        <f ca="1">ROUND(D14*10000/C14,0)</f>
        <v>#DIV/0!</v>
      </c>
      <c r="G14" s="2517">
        <f ca="1">D14</f>
        <v>272808</v>
      </c>
      <c r="H14" s="2517">
        <f ca="1">G14</f>
        <v>272808</v>
      </c>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6" sqref="F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673</v>
      </c>
      <c r="D1" s="1746"/>
      <c r="E1" s="1746"/>
      <c r="F1" s="1748" t="s">
        <v>1263</v>
      </c>
      <c r="G1" s="1560" t="s">
        <v>5191</v>
      </c>
      <c r="H1" s="1749" t="str">
        <f>IF(G1="现房","——","估价对象范围")</f>
        <v>——</v>
      </c>
      <c r="I1" s="1750" t="s">
        <v>5192</v>
      </c>
    </row>
    <row r="2" spans="1:12" ht="21.75" customHeight="1" thickBot="1">
      <c r="A2" s="3715" t="str">
        <f>项目基本情况!S2</f>
        <v>北京市南口路南口段1号院一区1至14号商业用房房地产</v>
      </c>
      <c r="B2" s="3716"/>
      <c r="C2" s="3716"/>
      <c r="D2" s="3716"/>
      <c r="E2" s="3716"/>
      <c r="F2" s="3716"/>
      <c r="G2" s="3716"/>
      <c r="H2" s="3716"/>
      <c r="I2" s="3717"/>
    </row>
    <row r="3" spans="1:12" ht="12.75">
      <c r="A3" s="3719" t="s">
        <v>1264</v>
      </c>
      <c r="B3" s="3720"/>
      <c r="C3" s="3720"/>
      <c r="D3" s="3720"/>
      <c r="E3" s="3720"/>
      <c r="F3" s="3720"/>
      <c r="G3" s="3720"/>
      <c r="H3" s="3720"/>
      <c r="I3" s="3720"/>
    </row>
    <row r="4" spans="1:12" ht="14.25">
      <c r="A4" s="1753" t="s">
        <v>1265</v>
      </c>
      <c r="B4" s="1754" t="s">
        <v>1266</v>
      </c>
      <c r="C4" s="1755" t="s">
        <v>5193</v>
      </c>
      <c r="D4" s="1755" t="s">
        <v>5194</v>
      </c>
      <c r="E4" s="3724" t="s">
        <v>1267</v>
      </c>
      <c r="F4" s="3725"/>
      <c r="G4" s="3725"/>
      <c r="H4" s="3725"/>
      <c r="I4" s="372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63" t="s">
        <v>1268</v>
      </c>
      <c r="B5" s="3718">
        <v>25</v>
      </c>
      <c r="C5" s="3721"/>
      <c r="D5" s="3709"/>
      <c r="E5" s="130" t="s">
        <v>1269</v>
      </c>
      <c r="F5" s="1756"/>
      <c r="G5" s="1756"/>
      <c r="H5" s="1756"/>
      <c r="I5" s="1372"/>
    </row>
    <row r="6" spans="1:12" ht="12.75">
      <c r="A6" s="3663"/>
      <c r="B6" s="3718"/>
      <c r="C6" s="3723"/>
      <c r="D6" s="3709"/>
      <c r="E6" s="130" t="s">
        <v>1270</v>
      </c>
      <c r="F6" s="1756"/>
      <c r="G6" s="1756"/>
      <c r="H6" s="1756"/>
      <c r="I6" s="1372"/>
    </row>
    <row r="7" spans="1:12" ht="12.75">
      <c r="A7" s="3663"/>
      <c r="B7" s="3718"/>
      <c r="C7" s="3722"/>
      <c r="D7" s="3709"/>
      <c r="E7" s="130" t="s">
        <v>1271</v>
      </c>
      <c r="F7" s="1756"/>
      <c r="G7" s="1756"/>
      <c r="H7" s="1756"/>
      <c r="I7" s="1372"/>
    </row>
    <row r="8" spans="1:12" ht="12.75">
      <c r="A8" s="3663" t="s">
        <v>1272</v>
      </c>
      <c r="B8" s="3718">
        <v>15</v>
      </c>
      <c r="C8" s="3721"/>
      <c r="D8" s="3709"/>
      <c r="E8" s="130" t="s">
        <v>1273</v>
      </c>
      <c r="F8" s="1756"/>
      <c r="G8" s="1756"/>
      <c r="H8" s="1756"/>
      <c r="I8" s="1372"/>
    </row>
    <row r="9" spans="1:12" ht="12.75">
      <c r="A9" s="3663"/>
      <c r="B9" s="3718"/>
      <c r="C9" s="3722"/>
      <c r="D9" s="3709"/>
      <c r="E9" s="130" t="s">
        <v>1274</v>
      </c>
      <c r="F9" s="1756"/>
      <c r="G9" s="1756"/>
      <c r="H9" s="1756"/>
      <c r="I9" s="1372"/>
    </row>
    <row r="10" spans="1:12" ht="12.75">
      <c r="A10" s="3663" t="s">
        <v>1275</v>
      </c>
      <c r="B10" s="3718">
        <v>15</v>
      </c>
      <c r="C10" s="3721"/>
      <c r="D10" s="3709"/>
      <c r="E10" s="130" t="s">
        <v>1276</v>
      </c>
      <c r="F10" s="1756"/>
      <c r="G10" s="1756"/>
      <c r="H10" s="1756"/>
      <c r="I10" s="1372"/>
    </row>
    <row r="11" spans="1:12" ht="12.75">
      <c r="A11" s="3663"/>
      <c r="B11" s="3718"/>
      <c r="C11" s="3722"/>
      <c r="D11" s="3709"/>
      <c r="E11" s="130" t="s">
        <v>1277</v>
      </c>
      <c r="F11" s="1756"/>
      <c r="G11" s="1756"/>
      <c r="H11" s="1756"/>
      <c r="I11" s="1372"/>
    </row>
    <row r="12" spans="1:12" ht="12.75">
      <c r="A12" s="3663" t="s">
        <v>1278</v>
      </c>
      <c r="B12" s="3718">
        <v>15</v>
      </c>
      <c r="C12" s="3721"/>
      <c r="D12" s="3709"/>
      <c r="E12" s="130" t="s">
        <v>1279</v>
      </c>
      <c r="F12" s="1756"/>
      <c r="G12" s="1756"/>
      <c r="H12" s="1756"/>
      <c r="I12" s="1372"/>
    </row>
    <row r="13" spans="1:12" ht="12.75">
      <c r="A13" s="3663"/>
      <c r="B13" s="3718"/>
      <c r="C13" s="3722"/>
      <c r="D13" s="3709"/>
      <c r="E13" s="130" t="s">
        <v>1280</v>
      </c>
      <c r="F13" s="1756"/>
      <c r="G13" s="1756"/>
      <c r="H13" s="1756"/>
      <c r="I13" s="1372"/>
    </row>
    <row r="14" spans="1:12" ht="12.75">
      <c r="A14" s="3663" t="s">
        <v>1281</v>
      </c>
      <c r="B14" s="3718">
        <v>30</v>
      </c>
      <c r="C14" s="3721">
        <v>5</v>
      </c>
      <c r="D14" s="3709">
        <v>5</v>
      </c>
      <c r="E14" s="130" t="s">
        <v>1282</v>
      </c>
      <c r="F14" s="1756"/>
      <c r="G14" s="1756"/>
      <c r="H14" s="1756"/>
      <c r="I14" s="1372"/>
    </row>
    <row r="15" spans="1:12" ht="12.75">
      <c r="A15" s="3663"/>
      <c r="B15" s="3718"/>
      <c r="C15" s="3723"/>
      <c r="D15" s="3709"/>
      <c r="E15" s="130" t="s">
        <v>1283</v>
      </c>
      <c r="F15" s="1756"/>
      <c r="G15" s="1756"/>
      <c r="H15" s="1756"/>
      <c r="I15" s="1372"/>
    </row>
    <row r="16" spans="1:12" ht="12.75">
      <c r="A16" s="3663"/>
      <c r="B16" s="3718"/>
      <c r="C16" s="3722"/>
      <c r="D16" s="3709"/>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740" t="s">
        <v>2130</v>
      </c>
      <c r="F18" s="3741"/>
      <c r="G18" s="3741"/>
      <c r="H18" s="3741"/>
      <c r="I18" s="3741"/>
      <c r="K18" s="301" t="s">
        <v>1289</v>
      </c>
      <c r="L18" s="301">
        <f>IF(C1="",'数据-汇总表'!E3,SUMIF(项目类型,C1,'数据-汇总表'!E17:E26)+SUMIF(项目类型,C1,'数据-汇总表'!I17:I26))</f>
        <v>58348.11</v>
      </c>
      <c r="M18" s="301">
        <f>IF(C1="",'数据-汇总表'!E3,SUMIF(项目类型,C1,'数据-汇总表'!E17:E26))</f>
        <v>57439.57</v>
      </c>
    </row>
    <row r="19" spans="1:36" ht="15">
      <c r="A19" s="1760" t="s">
        <v>1290</v>
      </c>
      <c r="B19" s="1761" t="s">
        <v>1291</v>
      </c>
      <c r="C19" s="133">
        <f ca="1">SUMIF(INDIRECT("'"&amp;C4&amp;"'"&amp;"!A:A"),结果表!B19,INDIRECT("'"&amp;C4&amp;"'"&amp;"!B:B"))</f>
        <v>270156</v>
      </c>
      <c r="D19" s="134">
        <f ca="1">SUMIF(INDIRECT("'"&amp;D4&amp;"'"&amp;"!A:A"),结果表!B19,INDIRECT("'"&amp;D4&amp;"'"&amp;"!B:B"))</f>
        <v>275459</v>
      </c>
      <c r="E19" s="1760" t="s">
        <v>1292</v>
      </c>
      <c r="F19" s="1761" t="s">
        <v>1291</v>
      </c>
      <c r="G19" s="135">
        <f ca="1">ROUND(C19*$C$18+D19*$D$18,0)</f>
        <v>272808</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47033</v>
      </c>
      <c r="D20" s="137">
        <f ca="1">SUMIF(INDIRECT("'"&amp;D4&amp;"'"&amp;"!A:A"),结果表!B20,INDIRECT("'"&amp;D4&amp;"'"&amp;"!B:B"))</f>
        <v>47210</v>
      </c>
      <c r="E20" s="1763"/>
      <c r="F20" s="1025" t="s">
        <v>1295</v>
      </c>
      <c r="G20" s="138">
        <f ca="1">ROUND(C20*$C$18+D20*$D$18,0)</f>
        <v>47122</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1.9629399310028273E-2</v>
      </c>
      <c r="E22" s="128"/>
      <c r="F22" s="128"/>
      <c r="G22" s="128"/>
      <c r="H22" s="128"/>
      <c r="I22" s="128"/>
    </row>
    <row r="23" spans="1:36" ht="13.5" thickBot="1">
      <c r="A23" s="1746"/>
      <c r="B23" s="1746"/>
      <c r="C23" s="1746"/>
      <c r="D23" s="1746"/>
      <c r="E23" s="128"/>
      <c r="F23" s="128"/>
      <c r="G23" s="128"/>
      <c r="H23" s="128"/>
      <c r="I23" s="128"/>
    </row>
    <row r="24" spans="1:36" ht="14.25">
      <c r="A24" s="3733" t="s">
        <v>1299</v>
      </c>
      <c r="B24" s="1761" t="s">
        <v>1291</v>
      </c>
      <c r="C24" s="135">
        <f>IF(B30=0,0,D30)</f>
        <v>0</v>
      </c>
      <c r="D24" s="1768"/>
      <c r="E24" s="128"/>
      <c r="F24" s="128"/>
      <c r="G24" s="128"/>
      <c r="H24" s="128"/>
      <c r="I24" s="128"/>
    </row>
    <row r="25" spans="1:36" ht="14.25">
      <c r="A25" s="3734"/>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272808</v>
      </c>
      <c r="D32" s="1774" t="s">
        <v>5210</v>
      </c>
      <c r="E32" s="128"/>
      <c r="F32" s="128"/>
      <c r="G32" s="128"/>
      <c r="H32" s="128"/>
      <c r="I32" s="128"/>
    </row>
    <row r="33" spans="1:15" ht="15">
      <c r="A33" s="785" t="s">
        <v>1306</v>
      </c>
      <c r="B33" s="1775"/>
      <c r="C33" s="1776" t="s">
        <v>5209</v>
      </c>
      <c r="D33" s="1777" t="s">
        <v>3433</v>
      </c>
      <c r="E33" s="1778" t="s">
        <v>1307</v>
      </c>
      <c r="F33" s="1779" t="str">
        <f>IF(D32="楼面单价","取值（单价）","取值（总价）")</f>
        <v>取值（总价）</v>
      </c>
      <c r="G33" s="128"/>
      <c r="H33" s="128"/>
      <c r="I33" s="128"/>
    </row>
    <row r="34" spans="1:15" ht="15">
      <c r="A34" s="1780"/>
      <c r="B34" s="1781" t="s">
        <v>1308</v>
      </c>
      <c r="C34" s="147">
        <f ca="1">IF(C33="自定义",F34,C32-C35)</f>
        <v>210881</v>
      </c>
      <c r="D34" s="860">
        <f ca="1">IF(C33="自定义",ROUND(C34/C32,3),IF(C33="收益比率",SUMIF(INDIRECT("'"&amp;D33&amp;"'"&amp;"!b:b"),"土地收益比率",INDIRECT("'"&amp;D33&amp;"'"&amp;"!c:c")),SUMIF(INDIRECT("'"&amp;D33&amp;"'"&amp;"!b:b"),"土地成本比率",INDIRECT("'"&amp;D33&amp;"'"&amp;"!c:c"))))</f>
        <v>0.77300000000000002</v>
      </c>
      <c r="E34" s="1782" t="s">
        <v>1309</v>
      </c>
      <c r="F34" s="1329"/>
      <c r="G34" s="128"/>
      <c r="H34" s="128"/>
      <c r="I34" s="128"/>
    </row>
    <row r="35" spans="1:15" ht="15.75" thickBot="1">
      <c r="A35" s="1783"/>
      <c r="B35" s="1784" t="s">
        <v>1310</v>
      </c>
      <c r="C35" s="1169">
        <f ca="1">IF(C33="自定义",F35,ROUND(C32*D35,0))</f>
        <v>61927</v>
      </c>
      <c r="D35" s="1170">
        <f ca="1">IF(C33="自定义",ROUND(C35/C32,3),IF(C33="收益比率",SUMIF(INDIRECT("'"&amp;D33&amp;"'"&amp;"!b:b"),"建筑物收益比率",INDIRECT("'"&amp;D33&amp;"'"&amp;"!c:c")),SUMIF(INDIRECT("'"&amp;D33&amp;"'"&amp;"!b:b"),"建筑物成本比率",INDIRECT("'"&amp;D33&amp;"'"&amp;"!c:c"))))</f>
        <v>0.22700000000000001</v>
      </c>
      <c r="E35" s="1785" t="s">
        <v>1311</v>
      </c>
      <c r="F35" s="153"/>
      <c r="G35" s="128"/>
      <c r="H35" s="128"/>
      <c r="I35" s="128"/>
    </row>
    <row r="36" spans="1:15" ht="15.75" thickBot="1">
      <c r="A36" s="3710" t="s">
        <v>1312</v>
      </c>
      <c r="B36" s="1786" t="s">
        <v>1313</v>
      </c>
      <c r="C36" s="144"/>
      <c r="D36" s="1787" t="s">
        <v>5212</v>
      </c>
      <c r="E36" s="1788"/>
      <c r="F36" s="1789"/>
      <c r="G36" s="128"/>
      <c r="H36" s="128"/>
      <c r="I36" s="128"/>
    </row>
    <row r="37" spans="1:15" ht="15.75" thickBot="1">
      <c r="A37" s="3711"/>
      <c r="B37" s="1673" t="s">
        <v>1314</v>
      </c>
      <c r="C37" s="146"/>
      <c r="D37" s="1138"/>
      <c r="E37" s="1138"/>
      <c r="F37" s="1789"/>
      <c r="G37" s="128"/>
      <c r="H37" s="128"/>
      <c r="I37" s="128"/>
    </row>
    <row r="38" spans="1:15" ht="15.75" thickBot="1">
      <c r="A38" s="3712"/>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30" t="s">
        <v>1326</v>
      </c>
      <c r="B45" s="3731"/>
      <c r="C45" s="3732"/>
      <c r="D45" s="154">
        <f ca="1">ROUND(H101*F45,0)</f>
        <v>272808</v>
      </c>
      <c r="E45" s="155" t="s">
        <v>1327</v>
      </c>
      <c r="F45" s="156">
        <v>1</v>
      </c>
      <c r="G45" s="157" t="s">
        <v>1328</v>
      </c>
      <c r="H45" s="128"/>
      <c r="I45" s="128"/>
      <c r="J45" s="3650" t="s">
        <v>1329</v>
      </c>
      <c r="K45" s="3650"/>
      <c r="L45" s="3650"/>
      <c r="M45" s="3650"/>
      <c r="N45" s="3650"/>
      <c r="O45" s="3650"/>
    </row>
    <row r="46" spans="1:15" ht="14.25" customHeight="1">
      <c r="A46" s="3727" t="s">
        <v>1330</v>
      </c>
      <c r="B46" s="3728"/>
      <c r="C46" s="3728"/>
      <c r="D46" s="3728"/>
      <c r="E46" s="3728"/>
      <c r="F46" s="3728"/>
      <c r="G46" s="3729"/>
      <c r="H46" s="1805"/>
      <c r="I46" s="158"/>
      <c r="J46" s="2522">
        <v>1</v>
      </c>
      <c r="K46" s="3651" t="s">
        <v>1331</v>
      </c>
      <c r="L46" s="3651"/>
      <c r="M46" s="3652"/>
      <c r="N46" s="3652"/>
      <c r="O46" s="3652"/>
    </row>
    <row r="47" spans="1:15" ht="12" customHeight="1">
      <c r="A47" s="159" t="s">
        <v>1332</v>
      </c>
      <c r="B47" s="160"/>
      <c r="C47" s="161"/>
      <c r="D47" s="1086" t="s">
        <v>1333</v>
      </c>
      <c r="E47" s="301" t="s">
        <v>1334</v>
      </c>
      <c r="F47" s="162" t="s">
        <v>1335</v>
      </c>
      <c r="G47" s="2545" t="s">
        <v>1336</v>
      </c>
      <c r="H47" s="2546"/>
      <c r="I47" s="158"/>
      <c r="J47" s="2522">
        <v>2</v>
      </c>
      <c r="K47" s="3651" t="s">
        <v>1337</v>
      </c>
      <c r="L47" s="3651"/>
      <c r="M47" s="3653">
        <f>'数据-取费表'!B2</f>
        <v>45105</v>
      </c>
      <c r="N47" s="3653"/>
      <c r="O47" s="3653"/>
    </row>
    <row r="48" spans="1:15" ht="25.5">
      <c r="A48" s="3713" t="s">
        <v>1338</v>
      </c>
      <c r="B48" s="3714"/>
      <c r="C48" s="371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51" t="s">
        <v>1340</v>
      </c>
      <c r="L48" s="3651"/>
      <c r="M48" s="3654">
        <f ca="1">H101</f>
        <v>272808</v>
      </c>
      <c r="N48" s="3654"/>
      <c r="O48" s="3654"/>
    </row>
    <row r="49" spans="1:35" ht="25.5" customHeight="1">
      <c r="A49" s="2332" t="s">
        <v>1341</v>
      </c>
      <c r="B49" s="3699" t="s">
        <v>1342</v>
      </c>
      <c r="C49" s="3699"/>
      <c r="D49" s="1589">
        <v>0</v>
      </c>
      <c r="E49" s="323" t="s">
        <v>1343</v>
      </c>
      <c r="F49" s="2423" t="s">
        <v>28</v>
      </c>
      <c r="G49" s="3682"/>
      <c r="H49" s="2309" t="s">
        <v>2133</v>
      </c>
      <c r="I49" s="2310"/>
      <c r="J49" s="2522">
        <v>4</v>
      </c>
      <c r="K49" s="3651" t="str">
        <f>IF(项目基本情况!E8="房地产抵押价值","房地产抵押价值","抵押担保权已注销时的房地产抵押价值")</f>
        <v>抵押担保权已注销时的房地产抵押价值</v>
      </c>
      <c r="L49" s="3651"/>
      <c r="M49" s="3654">
        <f ca="1">IF(项目基本情况!E8="房地产抵押价值",H107,H109)</f>
        <v>272808</v>
      </c>
      <c r="N49" s="3654"/>
      <c r="O49" s="3654"/>
    </row>
    <row r="50" spans="1:35" ht="25.5" customHeight="1">
      <c r="A50" s="2550"/>
      <c r="B50" s="3699" t="s">
        <v>1344</v>
      </c>
      <c r="C50" s="3699"/>
      <c r="D50" s="2551"/>
      <c r="E50" s="331"/>
      <c r="F50" s="2423"/>
      <c r="G50" s="3683"/>
      <c r="H50" s="2311" t="s">
        <v>2134</v>
      </c>
      <c r="I50" s="2310"/>
      <c r="J50" s="3650" t="s">
        <v>1345</v>
      </c>
      <c r="K50" s="3650"/>
      <c r="L50" s="3650"/>
      <c r="M50" s="3650"/>
      <c r="N50" s="3650"/>
      <c r="O50" s="3650"/>
    </row>
    <row r="51" spans="1:35" ht="20.45" customHeight="1">
      <c r="A51" s="2552"/>
      <c r="B51" s="3699" t="s">
        <v>1346</v>
      </c>
      <c r="C51" s="3699"/>
      <c r="D51" s="1086"/>
      <c r="E51" s="326"/>
      <c r="F51" s="2423"/>
      <c r="G51" s="3684"/>
      <c r="H51" s="2311" t="s">
        <v>2135</v>
      </c>
      <c r="I51" s="2310"/>
      <c r="J51" s="2523" t="s">
        <v>1347</v>
      </c>
      <c r="K51" s="3651" t="s">
        <v>1348</v>
      </c>
      <c r="L51" s="3651"/>
      <c r="M51" s="2523" t="s">
        <v>1349</v>
      </c>
      <c r="N51" s="2523" t="s">
        <v>1350</v>
      </c>
      <c r="O51" s="2523" t="s">
        <v>1351</v>
      </c>
    </row>
    <row r="52" spans="1:35" ht="24" customHeight="1">
      <c r="A52" s="2334" t="s">
        <v>1352</v>
      </c>
      <c r="B52" s="3699" t="s">
        <v>1353</v>
      </c>
      <c r="C52" s="3699"/>
      <c r="D52" s="1086">
        <f ca="1">ROUND(D45*'数据-取费表'!B41/(1+'数据-取费表'!C42),0)</f>
        <v>14290</v>
      </c>
      <c r="E52" s="2333" t="s">
        <v>1354</v>
      </c>
      <c r="F52" s="2553">
        <f>'数据-取费表'!B41</f>
        <v>5.5000000000000007E-2</v>
      </c>
      <c r="G52" s="2554"/>
      <c r="H52" s="2543"/>
      <c r="I52" s="1806"/>
      <c r="J52" s="2522">
        <v>1</v>
      </c>
      <c r="K52" s="3676" t="s">
        <v>1355</v>
      </c>
      <c r="L52" s="3676"/>
      <c r="M52" s="2524" t="b">
        <f>D48</f>
        <v>0</v>
      </c>
      <c r="N52" s="2522" t="str">
        <f>E48</f>
        <v>销售额×税（费）率</v>
      </c>
      <c r="O52" s="2525">
        <f>F48</f>
        <v>5.5000000000000007E-2</v>
      </c>
    </row>
    <row r="53" spans="1:35" ht="12" customHeight="1">
      <c r="A53" s="2334" t="s">
        <v>1356</v>
      </c>
      <c r="B53" s="3700" t="s">
        <v>2290</v>
      </c>
      <c r="C53" s="3701"/>
      <c r="D53" s="1086">
        <f ca="1">ROUND(D45*'数据-取费表'!B41/(1+'数据-取费表'!C42),0)</f>
        <v>14290</v>
      </c>
      <c r="E53" s="2333" t="s">
        <v>1354</v>
      </c>
      <c r="F53" s="2553">
        <f>'数据-取费表'!B41</f>
        <v>5.5000000000000007E-2</v>
      </c>
      <c r="G53" s="2554"/>
      <c r="H53" s="2543"/>
      <c r="I53" s="1806"/>
      <c r="J53" s="2522">
        <v>2</v>
      </c>
      <c r="K53" s="3676" t="s">
        <v>1357</v>
      </c>
      <c r="L53" s="3676"/>
      <c r="M53" s="2524">
        <f t="shared" ref="M53:O54" ca="1" si="0">D55</f>
        <v>136</v>
      </c>
      <c r="N53" s="2522" t="str">
        <f t="shared" si="0"/>
        <v>销售额×税（费）率</v>
      </c>
      <c r="O53" s="2525" t="str">
        <f t="shared" si="0"/>
        <v>免征</v>
      </c>
    </row>
    <row r="54" spans="1:35" ht="12" customHeight="1">
      <c r="A54" s="2334" t="s">
        <v>1358</v>
      </c>
      <c r="B54" s="3700" t="s">
        <v>2291</v>
      </c>
      <c r="C54" s="3701"/>
      <c r="D54" s="1086">
        <f ca="1">C68</f>
        <v>14290</v>
      </c>
      <c r="E54" s="326" t="s">
        <v>1359</v>
      </c>
      <c r="F54" s="2553">
        <f>'数据-取费表'!B41</f>
        <v>5.5000000000000007E-2</v>
      </c>
      <c r="G54" s="2554"/>
      <c r="H54" s="2555"/>
      <c r="I54" s="1806"/>
      <c r="J54" s="2522">
        <v>3</v>
      </c>
      <c r="K54" s="3676" t="s">
        <v>1360</v>
      </c>
      <c r="L54" s="3676"/>
      <c r="M54" s="2524">
        <f t="shared" ca="1" si="0"/>
        <v>154656</v>
      </c>
      <c r="N54" s="2522" t="str">
        <f t="shared" si="0"/>
        <v>增值额×税（费）率</v>
      </c>
      <c r="O54" s="2526" t="str">
        <f t="shared" si="0"/>
        <v>免征</v>
      </c>
    </row>
    <row r="55" spans="1:35" ht="24" customHeight="1">
      <c r="A55" s="3736" t="s">
        <v>1361</v>
      </c>
      <c r="B55" s="3714"/>
      <c r="C55" s="3714"/>
      <c r="D55" s="2323">
        <f ca="1">IF(H55="个人住宅",0,ROUND(D45*I55,0))</f>
        <v>136</v>
      </c>
      <c r="E55" s="2333" t="s">
        <v>1362</v>
      </c>
      <c r="F55" s="2553" t="str">
        <f>IF(H55="正常",I55,"免征")</f>
        <v>免征</v>
      </c>
      <c r="G55" s="2554"/>
      <c r="H55" s="2549"/>
      <c r="I55" s="164">
        <f>'数据-取费表'!B49</f>
        <v>5.0000000000000001E-4</v>
      </c>
      <c r="J55" s="2522">
        <f>IF(H59="非个人房产","",4)</f>
        <v>4</v>
      </c>
      <c r="K55" s="3676" t="str">
        <f>IF(H59="非个人房产","——","个人所得税")</f>
        <v>个人所得税</v>
      </c>
      <c r="L55" s="3676"/>
      <c r="M55" s="2527">
        <f ca="1">D59</f>
        <v>2598</v>
      </c>
      <c r="N55" s="2039" t="str">
        <f>E59</f>
        <v>差额计税</v>
      </c>
      <c r="O55" s="2528">
        <f>F59</f>
        <v>0.01</v>
      </c>
    </row>
    <row r="56" spans="1:35" ht="24.75">
      <c r="A56" s="3736" t="s">
        <v>1363</v>
      </c>
      <c r="B56" s="3714"/>
      <c r="C56" s="3714"/>
      <c r="D56" s="2323">
        <f ca="1">IF(H56="个人住宅",D57,D58)</f>
        <v>154656</v>
      </c>
      <c r="E56" s="2333" t="s">
        <v>1364</v>
      </c>
      <c r="F56" s="2553" t="str">
        <f>IF(H56="正常",F58,"免征")</f>
        <v>免征</v>
      </c>
      <c r="G56" s="2556" t="s">
        <v>1365</v>
      </c>
      <c r="H56" s="2557"/>
      <c r="I56" s="1807"/>
      <c r="J56" s="2522" t="str">
        <f>IF(项目基本情况!K6="上海银行",IF(J55="",4,J55+1),"")</f>
        <v/>
      </c>
      <c r="K56" s="3657" t="str">
        <f>IF(项目基本情况!K6="上海银行","其他处置费用","")</f>
        <v/>
      </c>
      <c r="L56" s="3658"/>
      <c r="M56" s="2524" t="str">
        <f>IF(项目基本情况!K6="上海银行",M69,"")</f>
        <v/>
      </c>
      <c r="N56" s="3657" t="str">
        <f>IF(项目基本情况!K6="上海银行","包含处置中涉及的律师、诉讼、拍卖、评估等费用","")</f>
        <v/>
      </c>
      <c r="O56" s="3660"/>
    </row>
    <row r="57" spans="1:35" ht="12.75">
      <c r="A57" s="2334" t="s">
        <v>1341</v>
      </c>
      <c r="B57" s="3700" t="s">
        <v>1366</v>
      </c>
      <c r="C57" s="3701"/>
      <c r="D57" s="1589">
        <v>0</v>
      </c>
      <c r="E57" s="323" t="s">
        <v>1343</v>
      </c>
      <c r="F57" s="301"/>
      <c r="G57" s="2554"/>
      <c r="H57" s="2558"/>
      <c r="I57" s="1807"/>
      <c r="J57" s="3676">
        <f>IF(AND(J55="",J56=""),4,IF(项目基本情况!K6="上海银行",结果表!J56+1,结果表!J55+1))</f>
        <v>5</v>
      </c>
      <c r="K57" s="3676" t="s">
        <v>1367</v>
      </c>
      <c r="L57" s="2529" t="s">
        <v>1368</v>
      </c>
      <c r="M57" s="2530"/>
      <c r="N57" s="2531">
        <f ca="1">SUMIF(M52:M56,"&lt;9e307")</f>
        <v>157390</v>
      </c>
      <c r="O57" s="2532"/>
      <c r="P57" s="2689">
        <f ca="1">N57/M49</f>
        <v>0.57692589660127269</v>
      </c>
    </row>
    <row r="58" spans="1:35" ht="24.75">
      <c r="A58" s="2334" t="s">
        <v>1352</v>
      </c>
      <c r="B58" s="3700" t="s">
        <v>1369</v>
      </c>
      <c r="C58" s="3699"/>
      <c r="D58" s="2323">
        <f ca="1">IF(H58="转让取得",C81,C97)</f>
        <v>154656</v>
      </c>
      <c r="E58" s="2333" t="s">
        <v>1364</v>
      </c>
      <c r="F58" s="301" t="s">
        <v>28</v>
      </c>
      <c r="G58" s="2554"/>
      <c r="H58" s="2557"/>
      <c r="I58" s="1807"/>
      <c r="J58" s="3676"/>
      <c r="K58" s="3676"/>
      <c r="L58" s="2529" t="s">
        <v>1370</v>
      </c>
      <c r="M58" s="2533"/>
      <c r="N58" s="2534" t="str">
        <f ca="1">NUMBERSTRING(INT(N57*10000),2)&amp;"元整"</f>
        <v>壹拾伍亿柒仟叁佰玖拾万元整</v>
      </c>
      <c r="O58" s="2535"/>
    </row>
    <row r="59" spans="1:35" ht="24.75" thickBot="1">
      <c r="A59" s="3680" t="s">
        <v>1371</v>
      </c>
      <c r="B59" s="3681"/>
      <c r="C59" s="3681"/>
      <c r="D59" s="2559">
        <f ca="1">IF(H59="非个人房产","——",IF(H59="个人住宅（满五唯一有凭证）",0,IF(H59="个人其他（无凭证）",ROUND(D45*F59,0),ROUND(C67*F59,0))))</f>
        <v>2598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78">
        <f>J57+1</f>
        <v>6</v>
      </c>
      <c r="K59" s="3676" t="s">
        <v>1372</v>
      </c>
      <c r="L59" s="2522" t="s">
        <v>1368</v>
      </c>
      <c r="M59" s="2536"/>
      <c r="N59" s="2537">
        <f ca="1">M49-N57</f>
        <v>115418</v>
      </c>
      <c r="O59" s="2538"/>
    </row>
    <row r="60" spans="1:35" ht="12" customHeight="1">
      <c r="A60" s="1808"/>
      <c r="B60" s="1746"/>
      <c r="C60" s="1746"/>
      <c r="D60" s="1746"/>
      <c r="E60" s="1577"/>
      <c r="F60" s="1807"/>
      <c r="G60" s="1807"/>
      <c r="H60" s="1809"/>
      <c r="I60" s="128"/>
      <c r="J60" s="3679"/>
      <c r="K60" s="3676"/>
      <c r="L60" s="2529" t="s">
        <v>1370</v>
      </c>
      <c r="M60" s="2533"/>
      <c r="N60" s="2534" t="str">
        <f ca="1">NUMBERSTRING(INT(N59*10000),2)&amp;"元整"</f>
        <v>壹拾壹亿伍仟肆佰壹拾捌万元整</v>
      </c>
      <c r="O60" s="2535"/>
    </row>
    <row r="61" spans="1:35" ht="13.5" thickBot="1">
      <c r="A61" s="3735" t="s">
        <v>1373</v>
      </c>
      <c r="B61" s="3735"/>
      <c r="C61" s="3735"/>
      <c r="D61" s="3735"/>
      <c r="E61" s="3735"/>
      <c r="F61" s="1807"/>
      <c r="G61" s="1807"/>
      <c r="H61" s="1809"/>
      <c r="I61" s="128"/>
      <c r="J61" s="2522">
        <f>J59+1</f>
        <v>7</v>
      </c>
      <c r="K61" s="3676" t="s">
        <v>1374</v>
      </c>
      <c r="L61" s="3676"/>
      <c r="M61" s="2539"/>
      <c r="N61" s="2540">
        <f ca="1">ROUND(N59*10000/'数据-汇总表'!E3,0)</f>
        <v>19781</v>
      </c>
      <c r="O61" s="2541"/>
    </row>
    <row r="62" spans="1:35" ht="12.75">
      <c r="A62" s="3695" t="s">
        <v>1375</v>
      </c>
      <c r="B62" s="3696"/>
      <c r="C62" s="2020"/>
      <c r="D62" s="2020" t="s">
        <v>1376</v>
      </c>
      <c r="E62" s="165" t="s">
        <v>1377</v>
      </c>
      <c r="F62" s="1807"/>
      <c r="G62" s="1807"/>
      <c r="H62" s="1809"/>
      <c r="I62" s="128"/>
    </row>
    <row r="63" spans="1:35" ht="12.75">
      <c r="A63" s="172" t="s">
        <v>330</v>
      </c>
      <c r="B63" s="166" t="s">
        <v>1378</v>
      </c>
      <c r="C63" s="2563">
        <f ca="1">ROUND((C64+C65)/(1+'数据-取费表'!C42),0)</f>
        <v>259817</v>
      </c>
      <c r="D63" s="166"/>
      <c r="E63" s="167"/>
      <c r="F63" s="1807"/>
      <c r="G63" s="1807"/>
      <c r="H63" s="1809"/>
      <c r="I63" s="128"/>
      <c r="J63" s="3659" t="s">
        <v>1379</v>
      </c>
      <c r="K63" s="1331" t="s">
        <v>1380</v>
      </c>
      <c r="L63" s="1331">
        <f ca="1">IF(M49&gt;10000,M49*0.5%,IF(AND(M49&gt;1000,M49&lt;=10000),M49*1%,IF(AND(M49&gt;100,M49&lt;=1000),M49*3%,IF(AND(M49&gt;10,M49&lt;=100),M49*5%,M49*8%))))</f>
        <v>1364.04</v>
      </c>
      <c r="M63" s="301">
        <f ca="1">ROUND(L63,1)</f>
        <v>1364</v>
      </c>
      <c r="N63" s="2542"/>
      <c r="Z63" s="1751"/>
      <c r="AI63" s="1752"/>
    </row>
    <row r="64" spans="1:35" ht="14.25" customHeight="1">
      <c r="A64" s="168" t="s">
        <v>325</v>
      </c>
      <c r="B64" s="169" t="s">
        <v>1381</v>
      </c>
      <c r="C64" s="2564">
        <f ca="1">D45</f>
        <v>272808</v>
      </c>
      <c r="D64" s="169" t="s">
        <v>26</v>
      </c>
      <c r="E64" s="171"/>
      <c r="F64" s="1807"/>
      <c r="G64" s="1807"/>
      <c r="H64" s="1809"/>
      <c r="I64" s="128"/>
      <c r="J64" s="3659"/>
      <c r="K64" s="1331" t="s">
        <v>1382</v>
      </c>
      <c r="L64" s="1331">
        <f ca="1">IF(M49&gt;2000,M49*0.5%,IF(AND(M49&gt;1000,M49&lt;=2000),M49*0.6%,IF(AND(M49&gt;500,M49&lt;=1000),M49*0.7%,IF(AND(M49&gt;200,M49&lt;=500),M49*0.8%,IF(AND(M49&gt;100,M49&lt;=200),M49*0.9%,IF(AND(M49&gt;50,M49&lt;=100),M49*1%,IF(AND(M49&gt;20,M49&lt;=50),M49*1.5%,IF(AND(M49&gt;10,M49&lt;=20),M49*2%,IF(AND(M49&gt;1,M49&lt;=10),M49*2.5%)))))))))</f>
        <v>1364.04</v>
      </c>
      <c r="M64" s="301">
        <f t="shared" ref="M64:M65" ca="1" si="1">ROUND(L64,1)</f>
        <v>1364</v>
      </c>
      <c r="N64" s="2543" t="s">
        <v>1383</v>
      </c>
      <c r="Z64" s="1751"/>
      <c r="AI64" s="1752"/>
    </row>
    <row r="65" spans="1:35" ht="14.25" customHeight="1">
      <c r="A65" s="168" t="s">
        <v>326</v>
      </c>
      <c r="B65" s="169" t="s">
        <v>1384</v>
      </c>
      <c r="C65" s="2565"/>
      <c r="D65" s="169"/>
      <c r="E65" s="171"/>
      <c r="F65" s="1807"/>
      <c r="G65" s="1807"/>
      <c r="H65" s="1809"/>
      <c r="I65" s="128"/>
      <c r="J65" s="3659"/>
      <c r="K65" s="1331" t="s">
        <v>1385</v>
      </c>
      <c r="L65" s="1331">
        <f ca="1">IF(M49&gt;1000,M49*0.1%,IF(AND(M49&gt;500,M49&lt;=1000),M49*0.5%,IF(AND(M49&gt;50,M49&lt;=500),M49*1%,IF(AND(M49&gt;1,M49&lt;=50),M49*1.5%))))</f>
        <v>272.80799999999999</v>
      </c>
      <c r="M65" s="301">
        <f t="shared" ca="1" si="1"/>
        <v>272.8</v>
      </c>
      <c r="N65" s="2543" t="s">
        <v>1383</v>
      </c>
      <c r="Z65" s="1751"/>
      <c r="AI65" s="1752"/>
    </row>
    <row r="66" spans="1:35" ht="14.25" customHeight="1">
      <c r="A66" s="172" t="s">
        <v>327</v>
      </c>
      <c r="B66" s="173" t="s">
        <v>1386</v>
      </c>
      <c r="C66" s="2566"/>
      <c r="D66" s="173" t="s">
        <v>26</v>
      </c>
      <c r="E66" s="1337" t="s">
        <v>671</v>
      </c>
      <c r="F66" s="1807"/>
      <c r="G66" s="1807"/>
      <c r="H66" s="1809"/>
      <c r="I66" s="128"/>
      <c r="J66" s="3659"/>
      <c r="K66" s="1331" t="s">
        <v>1387</v>
      </c>
      <c r="L66" s="1331">
        <f ca="1">M49*0.5%</f>
        <v>1364.04</v>
      </c>
      <c r="M66" s="301">
        <f ca="1">IF(L66&gt;0.5,0.5,ROUND(L66,0))</f>
        <v>0.5</v>
      </c>
      <c r="N66" s="2543" t="s">
        <v>1388</v>
      </c>
      <c r="Z66" s="1751"/>
      <c r="AI66" s="1752"/>
    </row>
    <row r="67" spans="1:35" ht="14.25" customHeight="1">
      <c r="A67" s="172" t="s">
        <v>328</v>
      </c>
      <c r="B67" s="173" t="s">
        <v>1389</v>
      </c>
      <c r="C67" s="2567">
        <f ca="1">C63-C66</f>
        <v>259817</v>
      </c>
      <c r="D67" s="169" t="s">
        <v>26</v>
      </c>
      <c r="E67" s="171"/>
      <c r="F67" s="1807"/>
      <c r="G67" s="1807"/>
      <c r="H67" s="1809"/>
      <c r="I67" s="128"/>
      <c r="J67" s="3659"/>
      <c r="K67" s="1331" t="s">
        <v>1390</v>
      </c>
      <c r="L67" s="1331">
        <f ca="1">IF(M49&gt;=10000,(8.25+(M49-10000)*0.01%),IF(AND(M49&gt;=8000,M49&lt;10000),(7.85+(M49-8000)*0.02%),IF(AND(M49&gt;=5000,M49&lt;8000),(6.65+(M49-5000)*0.04%),IF(AND(M49&gt;=2000,M49&lt;5000),(4.25+(PM49-2000)*0.08%),IF(AND(M49&gt;=1000,M49&lt;2000),(2.75+(M49-1000)*0.15%),IF(AND(M49&gt;=100,M49&lt;1000),(0.5+(M49-100)*0.25%),IF(AND(M49&gt;0,M49&lt;100),M49*0.5%)))))))</f>
        <v>34.530799999999999</v>
      </c>
      <c r="M67" s="301">
        <f ca="1">ROUND(L67*0.9,1)</f>
        <v>31.1</v>
      </c>
      <c r="N67" s="2542"/>
      <c r="Z67" s="1751"/>
      <c r="AI67" s="1752"/>
    </row>
    <row r="68" spans="1:35" ht="14.25" customHeight="1" thickBot="1">
      <c r="A68" s="175" t="s">
        <v>329</v>
      </c>
      <c r="B68" s="176" t="s">
        <v>1391</v>
      </c>
      <c r="C68" s="2568">
        <f ca="1">IF(C67&lt;=0,0,ROUND(C67*D68,0))</f>
        <v>14290</v>
      </c>
      <c r="D68" s="2569">
        <f>'数据-取费表'!B41</f>
        <v>5.5000000000000007E-2</v>
      </c>
      <c r="E68" s="177"/>
      <c r="F68" s="1807"/>
      <c r="G68" s="1807"/>
      <c r="H68" s="1809"/>
      <c r="I68" s="128"/>
      <c r="J68" s="3659"/>
      <c r="K68" s="1331" t="s">
        <v>1392</v>
      </c>
      <c r="L68" s="1331">
        <f ca="1">IF(M49&gt;10000,M49*0.5%,IF(AND(M49&gt;5000,M49&lt;=10000),M49*1%,IF(AND(M49&gt;1000,M49&lt;=5000),M49*2%,IF(AND(M49&gt;200,M49&lt;=1000),M49*3%,M49*5%))))</f>
        <v>1364.04</v>
      </c>
      <c r="M68" s="301">
        <f ca="1">ROUND(L68,1)</f>
        <v>1364</v>
      </c>
      <c r="N68" s="2542"/>
      <c r="Z68" s="1751"/>
      <c r="AI68" s="1752"/>
    </row>
    <row r="69" spans="1:35" s="1771" customFormat="1" ht="16.5" customHeight="1">
      <c r="A69" s="1810"/>
      <c r="B69" s="1811"/>
      <c r="C69" s="1812"/>
      <c r="D69" s="1813"/>
      <c r="E69" s="1814"/>
      <c r="F69" s="1577"/>
      <c r="G69" s="1577"/>
      <c r="H69" s="1576"/>
      <c r="I69" s="1746"/>
      <c r="J69" s="3659"/>
      <c r="K69" s="1331" t="s">
        <v>1393</v>
      </c>
      <c r="L69" s="1331"/>
      <c r="M69" s="301">
        <f ca="1">ROUND(SUM(M63:M68),0)</f>
        <v>4396</v>
      </c>
      <c r="N69" s="2544">
        <f ca="1">M69/M49</f>
        <v>1.6113896953168529E-2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03" t="s">
        <v>1394</v>
      </c>
      <c r="B70" s="3704"/>
      <c r="C70" s="3704"/>
      <c r="D70" s="3704"/>
      <c r="E70" s="3704"/>
      <c r="F70" s="3704"/>
      <c r="G70" s="3704"/>
      <c r="H70" s="37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95" t="s">
        <v>1375</v>
      </c>
      <c r="B71" s="369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259817</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1299</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700" t="s">
        <v>1402</v>
      </c>
      <c r="F76" s="3699"/>
      <c r="G76" s="3699"/>
      <c r="H76" s="37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1299</v>
      </c>
      <c r="D78" s="2576">
        <f>'数据-取费表'!B43</f>
        <v>5.000000000000001E-3</v>
      </c>
      <c r="E78" s="3692" t="s">
        <v>1406</v>
      </c>
      <c r="F78" s="3693"/>
      <c r="G78" s="3693"/>
      <c r="H78" s="36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258518</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199.0130869899923</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154656</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03" t="s">
        <v>1410</v>
      </c>
      <c r="B83" s="3704"/>
      <c r="C83" s="3704"/>
      <c r="D83" s="3704"/>
      <c r="E83" s="3704"/>
      <c r="F83" s="3704"/>
      <c r="G83" s="3704"/>
      <c r="H83" s="37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95" t="s">
        <v>1375</v>
      </c>
      <c r="B84" s="369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259817</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1299</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61" t="s">
        <v>2128</v>
      </c>
      <c r="H90" s="3662"/>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692" t="s">
        <v>1419</v>
      </c>
      <c r="F91" s="3693"/>
      <c r="G91" s="369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692" t="s">
        <v>1422</v>
      </c>
      <c r="F92" s="3693"/>
      <c r="G92" s="3693"/>
      <c r="H92" s="3694"/>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1299</v>
      </c>
      <c r="D93" s="2576">
        <f>'数据-取费表'!B43</f>
        <v>5.000000000000001E-3</v>
      </c>
      <c r="E93" s="3692" t="s">
        <v>1406</v>
      </c>
      <c r="F93" s="3693"/>
      <c r="G93" s="3693"/>
      <c r="H93" s="36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737" t="s">
        <v>1426</v>
      </c>
      <c r="F94" s="3738"/>
      <c r="G94" s="3738"/>
      <c r="H94" s="37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258518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199.0130869899923</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154656</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642" t="s">
        <v>1428</v>
      </c>
      <c r="B100" s="3643"/>
      <c r="C100" s="3643"/>
      <c r="D100" s="3677"/>
      <c r="E100" s="3643" t="s">
        <v>1429</v>
      </c>
      <c r="F100" s="3643"/>
      <c r="G100" s="3643"/>
      <c r="H100" s="3677"/>
      <c r="I100" s="128"/>
    </row>
    <row r="101" spans="1:35" ht="18.75" customHeight="1">
      <c r="A101" s="3685" t="s">
        <v>1430</v>
      </c>
      <c r="B101" s="3686"/>
      <c r="C101" s="2584" t="str">
        <f>C4</f>
        <v>比较法-商业</v>
      </c>
      <c r="D101" s="2585" t="str">
        <f>D4</f>
        <v>收益法-酒店模型</v>
      </c>
      <c r="E101" s="3655" t="s">
        <v>1431</v>
      </c>
      <c r="F101" s="3656"/>
      <c r="G101" s="1826" t="s">
        <v>1432</v>
      </c>
      <c r="H101" s="2594">
        <f ca="1">H118</f>
        <v>272808</v>
      </c>
      <c r="I101" s="128"/>
    </row>
    <row r="102" spans="1:35" ht="18.75" customHeight="1">
      <c r="A102" s="3687" t="s">
        <v>1433</v>
      </c>
      <c r="B102" s="2583" t="s">
        <v>1432</v>
      </c>
      <c r="C102" s="2584">
        <f ca="1">IF(D32="楼面单价",ROUND(C19,0),C19)</f>
        <v>270156</v>
      </c>
      <c r="D102" s="2585">
        <f ca="1">IF(D32="楼面单价",ROUND(D19,0),D19)</f>
        <v>275459</v>
      </c>
      <c r="E102" s="3655"/>
      <c r="F102" s="3656"/>
      <c r="G102" s="1826" t="s">
        <v>1434</v>
      </c>
      <c r="H102" s="2554">
        <f ca="1">I118</f>
        <v>47495</v>
      </c>
      <c r="I102" s="128"/>
    </row>
    <row r="103" spans="1:35" ht="42.75" customHeight="1">
      <c r="A103" s="3687"/>
      <c r="B103" s="2583" t="s">
        <v>1434</v>
      </c>
      <c r="C103" s="2586">
        <f ca="1">C20</f>
        <v>47033</v>
      </c>
      <c r="D103" s="2587">
        <f ca="1">D20</f>
        <v>47210</v>
      </c>
      <c r="E103" s="3648" t="s">
        <v>5213</v>
      </c>
      <c r="F103" s="3649"/>
      <c r="G103" s="1827" t="s">
        <v>1435</v>
      </c>
      <c r="H103" s="2594">
        <f>IF(D36="正常操作",H104+H105+H106,H105+H106)</f>
        <v>0</v>
      </c>
      <c r="I103" s="128"/>
    </row>
    <row r="104" spans="1:35" ht="18.75" customHeight="1">
      <c r="A104" s="3687" t="s">
        <v>1436</v>
      </c>
      <c r="B104" s="2588" t="s">
        <v>1432</v>
      </c>
      <c r="C104" s="2589">
        <f ca="1">H118</f>
        <v>272808</v>
      </c>
      <c r="D104" s="2590"/>
      <c r="E104" s="1673" t="s">
        <v>1437</v>
      </c>
      <c r="F104" s="1665"/>
      <c r="G104" s="1827" t="s">
        <v>1435</v>
      </c>
      <c r="H104" s="2595">
        <f>IF(D36="同一抵押权人同一抵押物续贷",C36&amp;"（续贷，未扣减，详见特别提示）",C36)</f>
        <v>0</v>
      </c>
      <c r="I104" s="128"/>
    </row>
    <row r="105" spans="1:35" ht="18.75" customHeight="1" thickBot="1">
      <c r="A105" s="3697"/>
      <c r="B105" s="2591" t="s">
        <v>1434</v>
      </c>
      <c r="C105" s="2592">
        <f ca="1">I118</f>
        <v>47495</v>
      </c>
      <c r="D105" s="2593"/>
      <c r="E105" s="1673" t="s">
        <v>1438</v>
      </c>
      <c r="F105" s="1665"/>
      <c r="G105" s="1827" t="s">
        <v>1435</v>
      </c>
      <c r="H105" s="2596">
        <f>C37</f>
        <v>0</v>
      </c>
      <c r="I105" s="128"/>
    </row>
    <row r="106" spans="1:35" ht="18.75" customHeight="1">
      <c r="A106" s="1746" t="s">
        <v>1439</v>
      </c>
      <c r="B106" s="1746"/>
      <c r="C106" s="1746"/>
      <c r="D106" s="1746"/>
      <c r="E106" s="1828" t="s">
        <v>1440</v>
      </c>
      <c r="F106" s="1665"/>
      <c r="G106" s="1827" t="s">
        <v>1435</v>
      </c>
      <c r="H106" s="2596">
        <f>C38</f>
        <v>0</v>
      </c>
      <c r="I106" s="128"/>
    </row>
    <row r="107" spans="1:35" ht="18.75" customHeight="1">
      <c r="A107" s="128"/>
      <c r="B107" s="128"/>
      <c r="C107" s="128"/>
      <c r="D107" s="128"/>
      <c r="E107" s="3688" t="str">
        <f>IF(项目基本情况!E8="已注销","——","3.房地产抵押价值")</f>
        <v>——</v>
      </c>
      <c r="F107" s="3656"/>
      <c r="G107" s="1826" t="s">
        <v>1432</v>
      </c>
      <c r="H107" s="2594" t="str">
        <f>IF(E107="——","——",H101-H103)</f>
        <v>——</v>
      </c>
      <c r="I107" s="128"/>
    </row>
    <row r="108" spans="1:35" ht="18.75" customHeight="1">
      <c r="A108" s="128"/>
      <c r="B108" s="128"/>
      <c r="C108" s="128"/>
      <c r="D108" s="128"/>
      <c r="E108" s="3688"/>
      <c r="F108" s="3656"/>
      <c r="G108" s="1826" t="s">
        <v>1434</v>
      </c>
      <c r="H108" s="2554" t="e">
        <f ca="1">IF(H107=H101,H102,ROUND(H107*10000/'数据-汇总表'!E3,0))</f>
        <v>#VALUE!</v>
      </c>
      <c r="I108" s="128"/>
    </row>
    <row r="109" spans="1:35" ht="18.75" customHeight="1">
      <c r="A109" s="128"/>
      <c r="B109" s="128"/>
      <c r="C109" s="128"/>
      <c r="D109" s="128"/>
      <c r="E109" s="3688" t="str">
        <f>IF(项目基本情况!E8="已注销及未注销","4.抵押担保权已注销时的房地产抵押价值",IF(项目基本情况!E8="已注销","3.抵押担保权已注销时的房地产抵押价值","——"))</f>
        <v>3.抵押担保权已注销时的房地产抵押价值</v>
      </c>
      <c r="F109" s="3656"/>
      <c r="G109" s="1826" t="s">
        <v>1432</v>
      </c>
      <c r="H109" s="2597">
        <f ca="1">IF(E109="——","——",H101-H105-H106)</f>
        <v>272808</v>
      </c>
      <c r="I109" s="128"/>
    </row>
    <row r="110" spans="1:35" ht="18.75" customHeight="1">
      <c r="A110" s="128"/>
      <c r="B110" s="128"/>
      <c r="C110" s="128"/>
      <c r="D110" s="128"/>
      <c r="E110" s="3688"/>
      <c r="F110" s="3656"/>
      <c r="G110" s="1826" t="s">
        <v>1434</v>
      </c>
      <c r="H110" s="2554">
        <f ca="1">IF(H109="——","——",ROUND(H109*10000/'数据-汇总表'!E3,0))</f>
        <v>46755</v>
      </c>
      <c r="I110" s="128"/>
    </row>
    <row r="111" spans="1:35" ht="18.75" customHeight="1">
      <c r="A111" s="128"/>
      <c r="B111" s="128"/>
      <c r="C111" s="128"/>
      <c r="D111" s="128"/>
      <c r="E111" s="3689" t="str">
        <f>IF(项目基本情况!E9="抵押净值",IF(OR(项目基本情况!E8="已注销",项目基本情况!E8="房地产抵押价值"),"4.抵押净值","5.抵押净值"),"——")</f>
        <v>——</v>
      </c>
      <c r="F111" s="3675"/>
      <c r="G111" s="1826" t="s">
        <v>1432</v>
      </c>
      <c r="H111" s="2594" t="str">
        <f>IF(E111="——","——",N59)</f>
        <v>——</v>
      </c>
      <c r="I111" s="128"/>
    </row>
    <row r="112" spans="1:35" ht="18.75" customHeight="1" thickBot="1">
      <c r="A112" s="128"/>
      <c r="B112" s="128"/>
      <c r="C112" s="128"/>
      <c r="D112" s="128"/>
      <c r="E112" s="3690"/>
      <c r="F112" s="3691"/>
      <c r="G112" s="1829" t="s">
        <v>1434</v>
      </c>
      <c r="H112" s="2598" t="str">
        <f>IF(E111="——","——",N61)</f>
        <v>——</v>
      </c>
      <c r="I112" s="128"/>
    </row>
    <row r="113" spans="1:27" ht="18.75" customHeight="1">
      <c r="A113" s="128"/>
      <c r="B113" s="128"/>
      <c r="C113" s="128"/>
      <c r="D113" s="128"/>
      <c r="E113" s="3698" t="s">
        <v>1439</v>
      </c>
      <c r="F113" s="3698"/>
      <c r="G113" s="3698"/>
      <c r="H113" s="3698"/>
      <c r="I113" s="128"/>
    </row>
    <row r="114" spans="1:27" ht="3.75" customHeight="1">
      <c r="A114" s="1746"/>
      <c r="B114" s="1746"/>
      <c r="C114" s="1746"/>
      <c r="D114" s="1746"/>
      <c r="E114" s="1808"/>
      <c r="F114" s="1808"/>
      <c r="G114" s="1808"/>
      <c r="H114" s="1808"/>
      <c r="I114" s="1746"/>
    </row>
    <row r="115" spans="1:27" ht="18.75" customHeight="1">
      <c r="A115" s="3706" t="s">
        <v>1441</v>
      </c>
      <c r="B115" s="3707"/>
      <c r="C115" s="3707"/>
      <c r="D115" s="3707"/>
      <c r="E115" s="3707"/>
      <c r="F115" s="3707"/>
      <c r="G115" s="3707"/>
      <c r="H115" s="3707"/>
      <c r="I115" s="3708"/>
    </row>
    <row r="116" spans="1:27" ht="27" customHeight="1">
      <c r="A116" s="3663" t="s">
        <v>1442</v>
      </c>
      <c r="B116" s="3667" t="s">
        <v>1443</v>
      </c>
      <c r="C116" s="3667" t="s">
        <v>1444</v>
      </c>
      <c r="D116" s="3673" t="s">
        <v>1445</v>
      </c>
      <c r="E116" s="3674"/>
      <c r="F116" s="3705" t="s">
        <v>1446</v>
      </c>
      <c r="G116" s="3705"/>
      <c r="H116" s="3663" t="s">
        <v>1447</v>
      </c>
      <c r="I116" s="3663"/>
    </row>
    <row r="117" spans="1:27" ht="18.75" customHeight="1">
      <c r="A117" s="3663"/>
      <c r="B117" s="3668"/>
      <c r="C117" s="3668"/>
      <c r="D117" s="2328" t="s">
        <v>1448</v>
      </c>
      <c r="E117" s="2328" t="s">
        <v>1449</v>
      </c>
      <c r="F117" s="2328" t="s">
        <v>1448</v>
      </c>
      <c r="G117" s="2328" t="s">
        <v>1450</v>
      </c>
      <c r="H117" s="2328" t="s">
        <v>1448</v>
      </c>
      <c r="I117" s="2328" t="s">
        <v>1450</v>
      </c>
    </row>
    <row r="118" spans="1:27" ht="24.75" customHeight="1">
      <c r="A118" s="2599" t="str">
        <f>项目基本情况!S2</f>
        <v>北京市南口路南口段1号院一区1至14号商业用房房地产</v>
      </c>
      <c r="B118" s="2328">
        <f>M18</f>
        <v>57439.57</v>
      </c>
      <c r="C118" s="2328">
        <f>M19</f>
        <v>0</v>
      </c>
      <c r="D118" s="2328">
        <f ca="1">ROUND(IF(D32="总价",C34,E118*B118/10000),0)</f>
        <v>210881</v>
      </c>
      <c r="E118" s="2328">
        <f ca="1">ROUND(IF(C33="自定义",IF(D32="楼面单价",C34,D118*10000/B118),I118-G118),0)</f>
        <v>36714</v>
      </c>
      <c r="F118" s="2328">
        <f ca="1">ROUND(IF(D32="总价",C35,G118*B118/10000),0)</f>
        <v>61927</v>
      </c>
      <c r="G118" s="2328">
        <f ca="1">ROUND(IF(D32="楼面单价",C35,F118*10000/B118),0)</f>
        <v>10781</v>
      </c>
      <c r="H118" s="2328">
        <f ca="1">ROUND(IF(D32="总价",C32,I118*B118/10000),0)</f>
        <v>272808</v>
      </c>
      <c r="I118" s="2328">
        <f ca="1">ROUND(IF(D32="楼面单价",C32,H118*10000/B118),0)</f>
        <v>47495</v>
      </c>
    </row>
    <row r="119" spans="1:27" ht="18.75" customHeight="1">
      <c r="A119" s="3663" t="s">
        <v>1451</v>
      </c>
      <c r="B119" s="3663"/>
      <c r="C119" s="3663"/>
      <c r="D119" s="3669" t="str">
        <f ca="1">NUMBERSTRING(INT(D118*10000),2)&amp;"元整"</f>
        <v>贰拾壹亿零捌佰捌拾壹万元整</v>
      </c>
      <c r="E119" s="3670"/>
      <c r="F119" s="3669" t="str">
        <f ca="1">NUMBERSTRING(INT(F118*10000),2)&amp;"元整"</f>
        <v>陆亿壹仟玖佰贰拾柒万元整</v>
      </c>
      <c r="G119" s="3670"/>
      <c r="H119" s="3669" t="str">
        <f ca="1">NUMBERSTRING(INT(H118*10000),2)&amp;"元整"</f>
        <v>贰拾柒亿贰仟捌佰零捌万元整</v>
      </c>
      <c r="I119" s="3670"/>
    </row>
    <row r="120" spans="1:27" ht="18.75" customHeight="1">
      <c r="A120" s="3664" t="str">
        <f>IF(项目基本情况!B9="房地产市场价值","",MID(E103,3,LEN(E103)-2))</f>
        <v>估价师知悉的除抵押担保权以外的法定优先受偿款</v>
      </c>
      <c r="B120" s="3665"/>
      <c r="C120" s="3666"/>
      <c r="D120" s="3664">
        <f>H103</f>
        <v>0</v>
      </c>
      <c r="E120" s="3665"/>
      <c r="F120" s="3665"/>
      <c r="G120" s="3665"/>
      <c r="H120" s="3665"/>
      <c r="I120" s="3666"/>
      <c r="J120" s="1751"/>
      <c r="K120" s="1751" t="str">
        <f>IF(D120=0,"故，本次评估不存在"&amp;A120,"故，本次评估"&amp;A120&amp;"为人民币"&amp;D120&amp;"万元整。")</f>
        <v>故，本次评估不存在估价师知悉的除抵押担保权以外的法定优先受偿款</v>
      </c>
      <c r="L120" s="1751"/>
      <c r="M120" s="1751"/>
      <c r="N120" s="1751"/>
      <c r="O120" s="1751"/>
      <c r="P120" s="1751"/>
      <c r="Q120" s="1751"/>
      <c r="R120" s="1751"/>
      <c r="S120" s="1751"/>
    </row>
    <row r="121" spans="1:27" ht="18.75" customHeight="1">
      <c r="A121" s="3669" t="s">
        <v>1451</v>
      </c>
      <c r="B121" s="3671"/>
      <c r="C121" s="3670"/>
      <c r="D121" s="3669" t="str">
        <f>IF(D120=0,"零元整",NUMBERSTRING(INT(D120*10000),2)&amp;"元整")</f>
        <v>零元整</v>
      </c>
      <c r="E121" s="3671"/>
      <c r="F121" s="3671"/>
      <c r="G121" s="3671"/>
      <c r="H121" s="3671"/>
      <c r="I121" s="3670"/>
      <c r="AA121" s="724"/>
    </row>
    <row r="122" spans="1:27" ht="18.75" customHeight="1">
      <c r="A122" s="3675" t="str">
        <f>IF(项目基本情况!B9="房地产市场价值","",MID(E107,3,LEN(E107)-2))</f>
        <v/>
      </c>
      <c r="B122" s="3675"/>
      <c r="C122" s="3675"/>
      <c r="D122" s="3664" t="str">
        <f>H107</f>
        <v>——</v>
      </c>
      <c r="E122" s="3665"/>
      <c r="F122" s="3665"/>
      <c r="G122" s="3665"/>
      <c r="H122" s="3665"/>
      <c r="I122" s="3666"/>
      <c r="AA122" s="724"/>
    </row>
    <row r="123" spans="1:27" ht="18.75" customHeight="1">
      <c r="A123" s="3663" t="s">
        <v>1451</v>
      </c>
      <c r="B123" s="3663"/>
      <c r="C123" s="3663"/>
      <c r="D123" s="3669" t="e">
        <f>NUMBERSTRING(INT(D122*10000),2)&amp;"元整"</f>
        <v>#VALUE!</v>
      </c>
      <c r="E123" s="3671"/>
      <c r="F123" s="3671"/>
      <c r="G123" s="3671"/>
      <c r="H123" s="3671"/>
      <c r="I123" s="3670"/>
      <c r="AA123" s="724"/>
    </row>
    <row r="124" spans="1:27" ht="18.75" customHeight="1">
      <c r="A124" s="3675" t="str">
        <f>IF(项目基本情况!B9="房地产市场价值","",MID(E109,3,LEN(E109)-2))</f>
        <v>抵押担保权已注销时的房地产抵押价值</v>
      </c>
      <c r="B124" s="3675"/>
      <c r="C124" s="3675"/>
      <c r="D124" s="3664">
        <f ca="1">H109</f>
        <v>272808</v>
      </c>
      <c r="E124" s="3665"/>
      <c r="F124" s="3665"/>
      <c r="G124" s="3665"/>
      <c r="H124" s="3665"/>
      <c r="I124" s="3666"/>
      <c r="AA124" s="724"/>
    </row>
    <row r="125" spans="1:27" ht="18.75" customHeight="1">
      <c r="A125" s="3663" t="s">
        <v>1451</v>
      </c>
      <c r="B125" s="3663"/>
      <c r="C125" s="3663"/>
      <c r="D125" s="3669" t="str">
        <f ca="1">NUMBERSTRING(INT(D124*10000),2)&amp;"元整"</f>
        <v>贰拾柒亿贰仟捌佰零捌万元整</v>
      </c>
      <c r="E125" s="3671"/>
      <c r="F125" s="3671"/>
      <c r="G125" s="3671"/>
      <c r="H125" s="3671"/>
      <c r="I125" s="3670"/>
      <c r="AA125" s="724"/>
    </row>
    <row r="126" spans="1:27" ht="18.75" customHeight="1">
      <c r="A126" s="3675" t="str">
        <f>IF(项目基本情况!B9="房地产市场价值","",MID(E111,3,LEN(E111)-2))</f>
        <v/>
      </c>
      <c r="B126" s="3675"/>
      <c r="C126" s="3675"/>
      <c r="D126" s="3664" t="str">
        <f>H111</f>
        <v>——</v>
      </c>
      <c r="E126" s="3665"/>
      <c r="F126" s="3665"/>
      <c r="G126" s="3665"/>
      <c r="H126" s="3665"/>
      <c r="I126" s="3666"/>
      <c r="AA126" s="724"/>
    </row>
    <row r="127" spans="1:27" ht="18.75" customHeight="1">
      <c r="A127" s="3663" t="s">
        <v>1451</v>
      </c>
      <c r="B127" s="3663"/>
      <c r="C127" s="3663"/>
      <c r="D127" s="3669" t="e">
        <f>NUMBERSTRING(INT(D126*10000),2)&amp;"元整"</f>
        <v>#VALUE!</v>
      </c>
      <c r="E127" s="3671"/>
      <c r="F127" s="3671"/>
      <c r="G127" s="3671"/>
      <c r="H127" s="3671"/>
      <c r="I127" s="3670"/>
      <c r="AA127" s="724"/>
    </row>
    <row r="128" spans="1:27" ht="21.75" customHeight="1">
      <c r="A128" s="3672" t="s">
        <v>1452</v>
      </c>
      <c r="B128" s="3672"/>
      <c r="C128" s="3672"/>
      <c r="D128" s="3672"/>
      <c r="E128" s="3672"/>
      <c r="F128" s="3672"/>
      <c r="G128" s="3672"/>
      <c r="H128" s="3672"/>
      <c r="I128" s="367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9" t="str">
        <f>项目基本情况!B1</f>
        <v>北京市南口路南口段1号院一区1至14号商业用房房地产抵押价值预评估</v>
      </c>
      <c r="C37" s="3559"/>
      <c r="D37" s="3559"/>
      <c r="E37" s="3559"/>
      <c r="F37" s="3559"/>
      <c r="G37" s="3559"/>
      <c r="H37" s="3559"/>
      <c r="I37" s="35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c r="C1" s="1858" t="s">
        <v>1562</v>
      </c>
      <c r="D1" s="197"/>
      <c r="E1" s="197"/>
      <c r="F1" s="197"/>
      <c r="G1" s="1125">
        <f>MATCH(B1,'数据-取费表'!A6:A16,0)+5</f>
        <v>7</v>
      </c>
      <c r="H1" s="1060" t="str">
        <f>IF(ISERROR(FIND("住宅",B1)),"非住宅","住宅")</f>
        <v>非住宅</v>
      </c>
    </row>
    <row r="2" spans="1:8" s="199" customFormat="1" ht="18" customHeight="1">
      <c r="A2" s="200" t="s">
        <v>1461</v>
      </c>
      <c r="B2" s="3422">
        <f ca="1">ROUND(IF(D2="——",C52/10000,C52/10000-E2),4)</f>
        <v>77606.660399999993</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13301</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 ca="1">C6+C7+C8</f>
        <v>11086141</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11086141</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150</v>
      </c>
      <c r="F9" s="220"/>
      <c r="G9" s="225"/>
    </row>
    <row r="10" spans="1:8" s="213" customFormat="1" ht="13.5" customHeight="1">
      <c r="A10" s="778" t="s">
        <v>356</v>
      </c>
      <c r="B10" s="223" t="s">
        <v>1479</v>
      </c>
      <c r="C10" s="224">
        <f ca="1">ROUND(D10*E10,0)</f>
        <v>11086141</v>
      </c>
      <c r="D10" s="844">
        <f ca="1">IF(B1="",'数据-汇总表'!E6,IF(INDIRECT("'数据-取费表'!c"&amp;$G$1)="住宅",INDIRECT("'数据-取费表'!s"&amp;$G$1),INDIRECT("'数据-取费表'!k"&amp;$G$1)+INDIRECT("'数据-取费表'!s"&amp;$G$1)))</f>
        <v>58348.11</v>
      </c>
      <c r="E10" s="224">
        <f>'数据-取费表'!B28</f>
        <v>190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11669622</v>
      </c>
      <c r="D19" s="848">
        <f ca="1">D9+D10</f>
        <v>58348.11</v>
      </c>
      <c r="E19" s="210">
        <f>'数据-取费表'!B31</f>
        <v>200</v>
      </c>
      <c r="F19" s="230"/>
      <c r="G19" s="1855"/>
    </row>
    <row r="20" spans="1:7" s="213" customFormat="1" ht="13.5" customHeight="1">
      <c r="A20" s="254" t="s">
        <v>1573</v>
      </c>
      <c r="B20" s="209" t="s">
        <v>1574</v>
      </c>
      <c r="C20" s="231">
        <f ca="1">ROUND((C5+C19)*F20,0)</f>
        <v>455115</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2093947</v>
      </c>
      <c r="D22" s="234">
        <f ca="1">C26</f>
        <v>8.9999999999999998E-4</v>
      </c>
      <c r="E22" s="235" t="s">
        <v>1578</v>
      </c>
      <c r="F22" s="236">
        <f ca="1">'数据-取费表'!B40</f>
        <v>3.5499999999999997E-2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1010246</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1063416</v>
      </c>
      <c r="D24" s="237"/>
      <c r="E24" s="237"/>
      <c r="F24" s="238"/>
      <c r="G24" s="239" t="s">
        <v>1585</v>
      </c>
    </row>
    <row r="25" spans="1:7" s="213" customFormat="1" ht="24">
      <c r="A25" s="779" t="s">
        <v>1475</v>
      </c>
      <c r="B25" s="214" t="s">
        <v>1586</v>
      </c>
      <c r="C25" s="1127">
        <f ca="1">ROUND(IF('数据-取费表'!B22&lt;=1,C20*F22*'数据-取费表'!B22/2,C20*(POWER((1+F22),'数据-取费表'!B22/2)-1)),0)</f>
        <v>20285</v>
      </c>
      <c r="D25" s="237"/>
      <c r="E25" s="240"/>
      <c r="F25" s="238"/>
      <c r="G25" s="241" t="s">
        <v>1587</v>
      </c>
    </row>
    <row r="26" spans="1:7" s="213" customFormat="1">
      <c r="A26" s="779" t="s">
        <v>350</v>
      </c>
      <c r="B26" s="214" t="s">
        <v>1510</v>
      </c>
      <c r="C26" s="237">
        <f ca="1">ROUND(IF('数据-取费表'!B22&lt;=1,F21*F22*'数据-取费表'!B22/2,F21*(POWER((1+F22),'数据-取费表'!B22/2)-1)),4)</f>
        <v>8.9999999999999998E-4</v>
      </c>
      <c r="D26" s="237"/>
      <c r="E26" s="240"/>
      <c r="F26" s="238"/>
      <c r="G26" s="242"/>
    </row>
    <row r="27" spans="1:7" s="213" customFormat="1" ht="24.75">
      <c r="A27" s="254" t="s">
        <v>1511</v>
      </c>
      <c r="B27" s="243" t="s">
        <v>1512</v>
      </c>
      <c r="C27" s="244">
        <f ca="1">C28</f>
        <v>4642176</v>
      </c>
      <c r="D27" s="234">
        <f ca="1">C29</f>
        <v>4.0000000000000001E-3</v>
      </c>
      <c r="E27" s="235" t="s">
        <v>1513</v>
      </c>
      <c r="F27" s="245">
        <f ca="1">IF(B1="",'数据-取费表'!Q16,INDIRECT("'数据-取费表'!q"&amp;$G$1))</f>
        <v>0.2</v>
      </c>
      <c r="G27" s="246" t="s">
        <v>1514</v>
      </c>
    </row>
    <row r="28" spans="1:7" s="213" customFormat="1" ht="13.5" customHeight="1">
      <c r="A28" s="779" t="s">
        <v>346</v>
      </c>
      <c r="B28" s="247" t="s">
        <v>1515</v>
      </c>
      <c r="C28" s="248">
        <f ca="1">ROUND((C5+C19+C20)*F27,0)</f>
        <v>4642176</v>
      </c>
      <c r="D28" s="234"/>
      <c r="E28" s="235"/>
      <c r="F28" s="245"/>
      <c r="G28" s="246"/>
    </row>
    <row r="29" spans="1:7" s="213" customFormat="1" ht="13.5" customHeight="1">
      <c r="A29" s="779" t="s">
        <v>347</v>
      </c>
      <c r="B29" s="247" t="s">
        <v>1516</v>
      </c>
      <c r="C29" s="237">
        <f ca="1">ROUND(C21*F27,4)</f>
        <v>4.0000000000000001E-3</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32455837</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623401043</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574395700</v>
      </c>
      <c r="D34" s="216"/>
      <c r="E34" s="219"/>
      <c r="F34" s="256"/>
      <c r="G34" s="218"/>
    </row>
    <row r="35" spans="1:7" ht="13.5" customHeight="1">
      <c r="A35" s="779" t="s">
        <v>351</v>
      </c>
      <c r="B35" s="214" t="s">
        <v>1526</v>
      </c>
      <c r="C35" s="219">
        <f ca="1">ROUND(C34*F35,0)</f>
        <v>28719785</v>
      </c>
      <c r="D35" s="219"/>
      <c r="E35" s="219"/>
      <c r="F35" s="258">
        <f>'数据-取费表'!B33</f>
        <v>0.05</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11669622</v>
      </c>
      <c r="D37" s="216">
        <f ca="1">D19</f>
        <v>58348.11</v>
      </c>
      <c r="E37" s="248">
        <f>'数据-取费表'!B35</f>
        <v>200</v>
      </c>
      <c r="F37" s="258"/>
      <c r="G37" s="260"/>
    </row>
    <row r="38" spans="1:7" ht="13.5" customHeight="1">
      <c r="A38" s="779" t="s">
        <v>354</v>
      </c>
      <c r="B38" s="214" t="s">
        <v>1532</v>
      </c>
      <c r="C38" s="219">
        <f ca="1">ROUND(C34*F38,0)</f>
        <v>8615936</v>
      </c>
      <c r="D38" s="219"/>
      <c r="E38" s="219"/>
      <c r="F38" s="258">
        <f>'数据-取费表'!B36</f>
        <v>1.4999999999999999E-2</v>
      </c>
      <c r="G38" s="218" t="s">
        <v>1527</v>
      </c>
    </row>
    <row r="39" spans="1:7" s="213" customFormat="1" ht="13.5" customHeight="1">
      <c r="A39" s="254" t="s">
        <v>1533</v>
      </c>
      <c r="B39" s="209" t="s">
        <v>1534</v>
      </c>
      <c r="C39" s="231">
        <f ca="1">ROUND(C33*F20,0)</f>
        <v>12468021</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28340807</v>
      </c>
      <c r="D41" s="234">
        <f ca="1">C44</f>
        <v>8.9999999999999998E-4</v>
      </c>
      <c r="E41" s="235" t="s">
        <v>1538</v>
      </c>
      <c r="F41" s="236">
        <f ca="1">F22</f>
        <v>3.5499999999999997E-2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27785105</v>
      </c>
      <c r="D42" s="237"/>
      <c r="E42" s="237"/>
      <c r="F42" s="238"/>
      <c r="G42" s="3742" t="s">
        <v>1590</v>
      </c>
    </row>
    <row r="43" spans="1:7" ht="13.5" customHeight="1">
      <c r="A43" s="779" t="s">
        <v>347</v>
      </c>
      <c r="B43" s="214" t="s">
        <v>1544</v>
      </c>
      <c r="C43" s="237">
        <f ca="1">ROUND(IF('数据-取费表'!B22&lt;=1,C39*F22*'数据-取费表'!B20/2,C39*(POWER((1+F22),'数据-取费表'!B20/2)-1)),0)</f>
        <v>555702</v>
      </c>
      <c r="D43" s="237"/>
      <c r="E43" s="237"/>
      <c r="F43" s="238"/>
      <c r="G43" s="3743"/>
    </row>
    <row r="44" spans="1:7" ht="13.5" customHeight="1">
      <c r="A44" s="779" t="s">
        <v>348</v>
      </c>
      <c r="B44" s="214" t="s">
        <v>1545</v>
      </c>
      <c r="C44" s="237">
        <f ca="1">ROUND(IF('数据-取费表'!B22&lt;=1,C40*F22*'数据-取费表'!B20/2,C40*(POWER((1+F22),'数据-取费表'!B20/2)-1)),4)</f>
        <v>8.9999999999999998E-4</v>
      </c>
      <c r="D44" s="237"/>
      <c r="E44" s="237"/>
      <c r="F44" s="238"/>
      <c r="G44" s="3744"/>
    </row>
    <row r="45" spans="1:7" s="213" customFormat="1" ht="13.5" customHeight="1">
      <c r="A45" s="254" t="s">
        <v>1546</v>
      </c>
      <c r="B45" s="243" t="s">
        <v>1512</v>
      </c>
      <c r="C45" s="244">
        <f ca="1">C46</f>
        <v>127173813</v>
      </c>
      <c r="D45" s="234">
        <f ca="1">C47</f>
        <v>4.0000000000000001E-3</v>
      </c>
      <c r="E45" s="235" t="s">
        <v>1538</v>
      </c>
      <c r="F45" s="245">
        <f ca="1">F27</f>
        <v>0.2</v>
      </c>
      <c r="G45" s="246" t="s">
        <v>1547</v>
      </c>
    </row>
    <row r="46" spans="1:7" s="213" customFormat="1" ht="13.5" customHeight="1">
      <c r="A46" s="779" t="s">
        <v>346</v>
      </c>
      <c r="B46" s="247" t="s">
        <v>1548</v>
      </c>
      <c r="C46" s="248">
        <f ca="1">ROUND((C33+C39)*F27,0)</f>
        <v>127173813</v>
      </c>
      <c r="D46" s="262"/>
      <c r="E46" s="235"/>
      <c r="F46" s="245"/>
      <c r="G46" s="246"/>
    </row>
    <row r="47" spans="1:7" s="213" customFormat="1" ht="13.5" customHeight="1">
      <c r="A47" s="779" t="s">
        <v>347</v>
      </c>
      <c r="B47" s="247" t="s">
        <v>1549</v>
      </c>
      <c r="C47" s="237">
        <f ca="1">ROUND(C40*F27,4)</f>
        <v>4.0000000000000001E-3</v>
      </c>
      <c r="D47" s="262"/>
      <c r="E47" s="235"/>
      <c r="F47" s="245"/>
      <c r="G47" s="246"/>
    </row>
    <row r="48" spans="1:7" s="213" customFormat="1" ht="13.5" customHeight="1">
      <c r="A48" s="254" t="s">
        <v>1511</v>
      </c>
      <c r="B48" s="209" t="s">
        <v>1550</v>
      </c>
      <c r="C48" s="261">
        <f>ROUND(F30/(1+'数据-取费表'!C42),4)</f>
        <v>5.2400000000000002E-2</v>
      </c>
      <c r="D48" s="235" t="s">
        <v>1538</v>
      </c>
      <c r="E48" s="231"/>
      <c r="F48" s="236">
        <f>F30</f>
        <v>5.5000000000000007E-2</v>
      </c>
      <c r="G48" s="233" t="s">
        <v>1551</v>
      </c>
    </row>
    <row r="49" spans="1:7" ht="16.5" customHeight="1">
      <c r="A49" s="254" t="s">
        <v>1517</v>
      </c>
      <c r="B49" s="209" t="s">
        <v>1591</v>
      </c>
      <c r="C49" s="231">
        <f ca="1">ROUND((C33+C39+C41+C45)/(1-C40-D41-D45-C48),0)</f>
        <v>857682545</v>
      </c>
      <c r="D49" s="231"/>
      <c r="E49" s="231"/>
      <c r="F49" s="263"/>
      <c r="G49" s="233" t="s">
        <v>1553</v>
      </c>
    </row>
    <row r="50" spans="1:7" s="257" customFormat="1">
      <c r="A50" s="254" t="s">
        <v>1554</v>
      </c>
      <c r="B50" s="209" t="s">
        <v>1555</v>
      </c>
      <c r="C50" s="231"/>
      <c r="D50" s="231"/>
      <c r="E50" s="231"/>
      <c r="F50" s="263">
        <f>IF('数据-取费表'!B24=0,'数据-取费表'!N16,1)</f>
        <v>0.86699999999999999</v>
      </c>
      <c r="G50" s="246"/>
    </row>
    <row r="51" spans="1:7" ht="16.5" customHeight="1">
      <c r="A51" s="254" t="s">
        <v>1557</v>
      </c>
      <c r="B51" s="209" t="s">
        <v>1592</v>
      </c>
      <c r="C51" s="231">
        <f ca="1">ROUND(C49*F50,0)</f>
        <v>743610767</v>
      </c>
      <c r="D51" s="231"/>
      <c r="E51" s="231"/>
      <c r="F51" s="263"/>
      <c r="G51" s="233" t="s">
        <v>1559</v>
      </c>
    </row>
    <row r="52" spans="1:7" s="207" customFormat="1" ht="16.5" thickBot="1">
      <c r="A52" s="264" t="s">
        <v>1560</v>
      </c>
      <c r="B52" s="265"/>
      <c r="C52" s="266">
        <f ca="1">C31+C51</f>
        <v>776066604</v>
      </c>
      <c r="D52" s="265"/>
      <c r="E52" s="265"/>
      <c r="F52" s="265"/>
      <c r="G52" s="267"/>
    </row>
    <row r="55" spans="1:7" ht="15">
      <c r="B55" s="269" t="s">
        <v>1561</v>
      </c>
      <c r="C55" s="270"/>
    </row>
    <row r="56" spans="1:7">
      <c r="B56" s="272" t="s">
        <v>802</v>
      </c>
      <c r="C56" s="274">
        <f ca="1">1-C57</f>
        <v>4.2000000000000037E-2</v>
      </c>
    </row>
    <row r="57" spans="1:7">
      <c r="B57" s="272" t="s">
        <v>803</v>
      </c>
      <c r="C57" s="273">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4"/>
      <c r="F1" s="2804"/>
      <c r="G1" s="2670"/>
      <c r="H1" s="2804"/>
      <c r="I1" s="2804"/>
      <c r="J1" s="2804"/>
      <c r="K1" s="2805">
        <f>MATCH(C1,'数据-取费表'!A6:A16,0)+5</f>
        <v>7</v>
      </c>
    </row>
    <row r="2" spans="1:33" ht="18" customHeight="1">
      <c r="A2" s="200" t="s">
        <v>1461</v>
      </c>
      <c r="B2" s="203">
        <f ca="1">C32</f>
        <v>-1096</v>
      </c>
      <c r="C2" s="275" t="s">
        <v>1594</v>
      </c>
      <c r="D2" s="275"/>
      <c r="E2" s="2804"/>
      <c r="F2" s="2804"/>
      <c r="G2" s="2804"/>
      <c r="H2" s="2804"/>
      <c r="I2" s="2804"/>
      <c r="J2" s="2804"/>
      <c r="K2" s="2804"/>
    </row>
    <row r="3" spans="1:33" ht="18" customHeight="1" thickBot="1">
      <c r="A3" s="202" t="s">
        <v>1463</v>
      </c>
      <c r="B3" s="203">
        <f ca="1">ROUND(B2*10000/IF(C1="",'数据-汇总表'!E3,INDIRECT("'数据-取费表'!K"&amp;$K$1)),0)</f>
        <v>-188</v>
      </c>
      <c r="C3" s="275" t="s">
        <v>1595</v>
      </c>
      <c r="D3" s="275"/>
      <c r="E3" s="2804"/>
      <c r="F3" s="2804"/>
      <c r="G3" s="2804"/>
      <c r="H3" s="2804"/>
      <c r="I3" s="2804"/>
      <c r="J3" s="2804"/>
      <c r="K3" s="2804"/>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58348.11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58348.11</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922</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150</v>
      </c>
      <c r="F19" s="803"/>
      <c r="G19" s="12"/>
      <c r="H19" s="1188"/>
      <c r="I19" s="808"/>
      <c r="J19" s="808"/>
      <c r="K19" s="809"/>
    </row>
    <row r="20" spans="1:33" s="802" customFormat="1" ht="13.5" customHeight="1">
      <c r="A20" s="799" t="s">
        <v>361</v>
      </c>
      <c r="B20" s="800" t="s">
        <v>1626</v>
      </c>
      <c r="C20" s="21">
        <f ca="1">ROUND(D20*E20/10000,0)</f>
        <v>1109</v>
      </c>
      <c r="D20" s="845">
        <f ca="1">IF(C1="",'数据-汇总表'!E6,IF(INDIRECT("'数据-取费表'!c"&amp;$K$1)="住宅",INDIRECT("'数据-取费表'!s"&amp;$K$1),INDIRECT("'数据-取费表'!k"&amp;$K$1)+INDIRECT("'数据-取费表'!s"&amp;$K$1)))</f>
        <v>58348.11</v>
      </c>
      <c r="E20" s="21">
        <f>'数据-取费表'!B28</f>
        <v>190</v>
      </c>
      <c r="F20" s="803"/>
      <c r="G20" s="12"/>
      <c r="H20" s="808"/>
      <c r="I20" s="808"/>
      <c r="J20" s="808"/>
      <c r="K20" s="809"/>
    </row>
    <row r="21" spans="1:33" s="802" customFormat="1" ht="13.5" customHeight="1">
      <c r="A21" s="789" t="s">
        <v>357</v>
      </c>
      <c r="B21" s="812" t="s">
        <v>1627</v>
      </c>
      <c r="C21" s="813">
        <f ca="1">C16+C17+C18</f>
        <v>922</v>
      </c>
      <c r="D21" s="814"/>
      <c r="E21" s="280"/>
      <c r="F21" s="280"/>
      <c r="G21" s="130" t="s">
        <v>1628</v>
      </c>
      <c r="H21" s="806"/>
      <c r="I21" s="806"/>
      <c r="J21" s="806"/>
      <c r="K21" s="807"/>
    </row>
    <row r="22" spans="1:33" s="802" customFormat="1" ht="13.5" customHeight="1">
      <c r="A22" s="789" t="s">
        <v>1600</v>
      </c>
      <c r="B22" s="812" t="s">
        <v>1629</v>
      </c>
      <c r="C22" s="813">
        <f ca="1">ROUND(C21*F22,0)</f>
        <v>18</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188</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188</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-1096</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Y131"/>
  <sheetViews>
    <sheetView view="pageBreakPreview" topLeftCell="A13" zoomScale="85" zoomScaleNormal="70" zoomScaleSheetLayoutView="85" workbookViewId="0">
      <selection activeCell="G19" sqref="G1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t="s">
        <v>673</v>
      </c>
      <c r="E1" s="3424" t="s">
        <v>5177</v>
      </c>
      <c r="F1" s="1878" t="s">
        <v>5178</v>
      </c>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f>IF(E1="项目模式",IF(C2="——",ROUND(C49*D3/10000,0),ROUND(C49*D3/10000,0)-D2),IF(E1="单套模式",IF(C2="——",ROUND(C49*D3/10000,4),ROUND(C49*D3/10000,4)-D2)))</f>
        <v>270156</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47033</v>
      </c>
      <c r="C3" s="353" t="s">
        <v>1767</v>
      </c>
      <c r="D3" s="352">
        <f>IF(D1="",'数据-汇总表'!E3,SUMIF('数据-汇总表'!$C19:$C33,D1,'数据-汇总表'!$E19:$E33))</f>
        <v>57439.57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1768</v>
      </c>
      <c r="B4" s="355"/>
      <c r="C4" s="3764" t="s">
        <v>1769</v>
      </c>
      <c r="D4" s="3765"/>
      <c r="E4" s="3766" t="s">
        <v>1770</v>
      </c>
      <c r="F4" s="3767"/>
      <c r="G4" s="3764" t="s">
        <v>1771</v>
      </c>
      <c r="H4" s="3765"/>
      <c r="I4" s="3764" t="s">
        <v>1772</v>
      </c>
      <c r="J4" s="3765"/>
      <c r="K4" s="558" t="s">
        <v>1773</v>
      </c>
      <c r="L4" s="2714"/>
      <c r="M4" s="2715"/>
      <c r="N4" s="2715"/>
      <c r="O4" s="2715"/>
      <c r="P4" s="3768" t="s">
        <v>1774</v>
      </c>
      <c r="Q4" s="3769"/>
      <c r="R4" s="3751" t="s">
        <v>1770</v>
      </c>
      <c r="S4" s="3752"/>
      <c r="T4" s="3751" t="s">
        <v>1771</v>
      </c>
      <c r="U4" s="3752"/>
      <c r="V4" s="3748" t="s">
        <v>1772</v>
      </c>
      <c r="W4" s="3748"/>
      <c r="X4" s="1354"/>
      <c r="Y4" s="3751" t="s">
        <v>1774</v>
      </c>
      <c r="Z4" s="3752"/>
      <c r="AA4" s="3745" t="s">
        <v>1770</v>
      </c>
      <c r="AB4" s="3748" t="s">
        <v>1771</v>
      </c>
      <c r="AC4" s="3745" t="s">
        <v>1772</v>
      </c>
    </row>
    <row r="5" spans="1:29" ht="15">
      <c r="A5" s="357"/>
      <c r="B5" s="358"/>
      <c r="C5" s="3757" t="s">
        <v>1672</v>
      </c>
      <c r="D5" s="3758"/>
      <c r="E5" s="3755" t="s">
        <v>5179</v>
      </c>
      <c r="F5" s="3756"/>
      <c r="G5" s="3776" t="s">
        <v>5176</v>
      </c>
      <c r="H5" s="3758"/>
      <c r="I5" s="3757" t="s">
        <v>5180</v>
      </c>
      <c r="J5" s="3758"/>
      <c r="K5" s="558"/>
      <c r="L5" s="2714"/>
      <c r="M5" s="2715"/>
      <c r="N5" s="2715"/>
      <c r="O5" s="2715"/>
      <c r="P5" s="3770"/>
      <c r="Q5" s="3771"/>
      <c r="R5" s="3753"/>
      <c r="S5" s="3754"/>
      <c r="T5" s="3753"/>
      <c r="U5" s="3754"/>
      <c r="V5" s="3748"/>
      <c r="W5" s="3748"/>
      <c r="X5" s="1354"/>
      <c r="Y5" s="3753"/>
      <c r="Z5" s="3754"/>
      <c r="AA5" s="3746"/>
      <c r="AB5" s="3748"/>
      <c r="AC5" s="3746"/>
    </row>
    <row r="6" spans="1:29" ht="15.75" thickBot="1">
      <c r="A6" s="359"/>
      <c r="B6" s="360"/>
      <c r="C6" s="3759" t="s">
        <v>1676</v>
      </c>
      <c r="D6" s="3760"/>
      <c r="E6" s="3761" t="s">
        <v>1676</v>
      </c>
      <c r="F6" s="3762"/>
      <c r="G6" s="3759" t="s">
        <v>1676</v>
      </c>
      <c r="H6" s="3760"/>
      <c r="I6" s="3759" t="s">
        <v>1676</v>
      </c>
      <c r="J6" s="3760"/>
      <c r="K6" s="558" t="s">
        <v>1677</v>
      </c>
      <c r="L6" s="2714"/>
      <c r="M6" s="2715"/>
      <c r="N6" s="2715"/>
      <c r="O6" s="2715"/>
      <c r="P6" s="3772"/>
      <c r="Q6" s="3773"/>
      <c r="R6" s="3753"/>
      <c r="S6" s="3754"/>
      <c r="T6" s="3774"/>
      <c r="U6" s="3775"/>
      <c r="V6" s="3748"/>
      <c r="W6" s="3748"/>
      <c r="X6" s="1354"/>
      <c r="Y6" s="3774"/>
      <c r="Z6" s="3775"/>
      <c r="AA6" s="3747"/>
      <c r="AB6" s="3748"/>
      <c r="AC6" s="3747"/>
    </row>
    <row r="7" spans="1:29" s="107" customFormat="1" ht="15.75" thickBot="1">
      <c r="A7" s="361" t="s">
        <v>1678</v>
      </c>
      <c r="B7" s="362"/>
      <c r="C7" s="363">
        <f>'数据-取费表'!B2</f>
        <v>45105</v>
      </c>
      <c r="D7" s="364">
        <v>100</v>
      </c>
      <c r="E7" s="365">
        <v>43800</v>
      </c>
      <c r="F7" s="366">
        <f>SUMIF(58:58,YEAR(E7)&amp;"-"&amp;MONTH(E7),59:59)</f>
        <v>100</v>
      </c>
      <c r="G7" s="365" t="str">
        <f>'2021年'!B19</f>
        <v>2021年5月</v>
      </c>
      <c r="H7" s="364">
        <f>SUMIF(58:58,YEAR(G7)&amp;"-"&amp;MONTH(G7),59:59)</f>
        <v>100</v>
      </c>
      <c r="I7" s="365">
        <f>E7</f>
        <v>43800</v>
      </c>
      <c r="J7" s="364">
        <f>SUMIF(58:58,YEAR(I7)&amp;"-"&amp;MONTH(I7),59:59)</f>
        <v>100</v>
      </c>
      <c r="K7" s="559"/>
      <c r="L7" s="2716"/>
      <c r="M7" s="2717"/>
      <c r="N7" s="2717"/>
      <c r="O7" s="2717"/>
      <c r="P7" s="3749" t="s">
        <v>1679</v>
      </c>
      <c r="Q7" s="3777"/>
      <c r="R7" s="700" t="s">
        <v>14</v>
      </c>
      <c r="S7" s="701">
        <f t="shared" ref="S7:S15" si="0">F7</f>
        <v>100</v>
      </c>
      <c r="T7" s="700" t="s">
        <v>14</v>
      </c>
      <c r="U7" s="701">
        <f t="shared" ref="U7:U15" si="1">H7</f>
        <v>100</v>
      </c>
      <c r="V7" s="700" t="s">
        <v>14</v>
      </c>
      <c r="W7" s="701">
        <f t="shared" ref="W7:W15" si="2">J7</f>
        <v>100</v>
      </c>
      <c r="X7" s="702"/>
      <c r="Y7" s="3749" t="s">
        <v>1679</v>
      </c>
      <c r="Z7" s="3750"/>
      <c r="AA7" s="703">
        <f>D7/F7</f>
        <v>1</v>
      </c>
      <c r="AB7" s="703">
        <f>D7/H7</f>
        <v>1</v>
      </c>
      <c r="AC7" s="703">
        <f>D7/J7</f>
        <v>1</v>
      </c>
    </row>
    <row r="8" spans="1:29" s="107" customFormat="1" ht="15.75" thickBot="1">
      <c r="A8" s="361" t="s">
        <v>1680</v>
      </c>
      <c r="B8" s="362"/>
      <c r="C8" s="367" t="s">
        <v>5155</v>
      </c>
      <c r="D8" s="364">
        <v>100</v>
      </c>
      <c r="E8" s="367" t="s">
        <v>5155</v>
      </c>
      <c r="F8" s="366">
        <f>SUMIF(61:61,E8,62:62)-SUMIF(61:61,C8,62:62)+100</f>
        <v>100</v>
      </c>
      <c r="G8" s="367" t="s">
        <v>5155</v>
      </c>
      <c r="H8" s="364">
        <f>SUMIF(61:61,G8,62:62)-SUMIF(61:61,C8,62:62)+100</f>
        <v>100</v>
      </c>
      <c r="I8" s="367" t="s">
        <v>5155</v>
      </c>
      <c r="J8" s="364">
        <f>SUMIF(61:61,I8,62:62)-SUMIF(61:61,C8,62:62)+100</f>
        <v>100</v>
      </c>
      <c r="K8" s="559"/>
      <c r="L8" s="2716"/>
      <c r="M8" s="2717"/>
      <c r="N8" s="2717"/>
      <c r="O8" s="2717"/>
      <c r="P8" s="3749" t="s">
        <v>1682</v>
      </c>
      <c r="Q8" s="3750"/>
      <c r="R8" s="700" t="s">
        <v>14</v>
      </c>
      <c r="S8" s="701">
        <f t="shared" si="0"/>
        <v>100</v>
      </c>
      <c r="T8" s="700" t="s">
        <v>14</v>
      </c>
      <c r="U8" s="701">
        <f t="shared" si="1"/>
        <v>100</v>
      </c>
      <c r="V8" s="700" t="s">
        <v>14</v>
      </c>
      <c r="W8" s="701">
        <f t="shared" si="2"/>
        <v>100</v>
      </c>
      <c r="X8" s="702"/>
      <c r="Y8" s="3749" t="s">
        <v>1682</v>
      </c>
      <c r="Z8" s="3750"/>
      <c r="AA8" s="703">
        <f t="shared" ref="AA8:AA46" si="3">D8/F8</f>
        <v>1</v>
      </c>
      <c r="AB8" s="703">
        <f t="shared" ref="AB8:AB46" si="4">D8/H8</f>
        <v>1</v>
      </c>
      <c r="AC8" s="703">
        <f t="shared" ref="AC8:AC46" si="5">D8/J8</f>
        <v>1</v>
      </c>
    </row>
    <row r="9" spans="1:29" s="107" customFormat="1" ht="15" thickBot="1">
      <c r="A9" s="368" t="s">
        <v>1683</v>
      </c>
      <c r="B9" s="63" t="s">
        <v>1684</v>
      </c>
      <c r="C9" s="3541" t="s">
        <v>3613</v>
      </c>
      <c r="D9" s="125">
        <v>100</v>
      </c>
      <c r="E9" s="370" t="s">
        <v>673</v>
      </c>
      <c r="F9" s="371">
        <f>SUMIF(63:63,E9,64:64)-SUMIF(63:63,C9,64:64)+100</f>
        <v>100</v>
      </c>
      <c r="G9" s="370" t="s">
        <v>673</v>
      </c>
      <c r="H9" s="125">
        <f>SUMIF(63:63,G9,64:64)-SUMIF(63:63,C9,64:64)+100</f>
        <v>100</v>
      </c>
      <c r="I9" s="370" t="s">
        <v>673</v>
      </c>
      <c r="J9" s="125">
        <f>SUMIF(63:63,I9,64:64)-SUMIF(63:63,C9,64:64)+100</f>
        <v>100</v>
      </c>
      <c r="K9" s="559"/>
      <c r="L9" s="2716"/>
      <c r="M9" s="2717"/>
      <c r="N9" s="2717"/>
      <c r="O9" s="2717"/>
      <c r="P9" s="3763" t="s">
        <v>1685</v>
      </c>
      <c r="Q9" s="1342" t="str">
        <f t="shared" ref="Q9:Q15" si="6">B9</f>
        <v>用途</v>
      </c>
      <c r="R9" s="700" t="s">
        <v>14</v>
      </c>
      <c r="S9" s="701">
        <f t="shared" si="0"/>
        <v>100</v>
      </c>
      <c r="T9" s="700" t="s">
        <v>14</v>
      </c>
      <c r="U9" s="701">
        <f t="shared" si="1"/>
        <v>100</v>
      </c>
      <c r="V9" s="700" t="s">
        <v>14</v>
      </c>
      <c r="W9" s="701">
        <f t="shared" si="2"/>
        <v>100</v>
      </c>
      <c r="X9" s="702"/>
      <c r="Y9" s="3718" t="s">
        <v>1686</v>
      </c>
      <c r="Z9" s="52" t="str">
        <f t="shared" ref="Z9:Z15" si="7">Q9</f>
        <v>用途</v>
      </c>
      <c r="AA9" s="703">
        <f t="shared" si="3"/>
        <v>1</v>
      </c>
      <c r="AB9" s="703">
        <f t="shared" si="4"/>
        <v>1</v>
      </c>
      <c r="AC9" s="703">
        <f t="shared" si="5"/>
        <v>1</v>
      </c>
    </row>
    <row r="10" spans="1:29" s="377" customFormat="1" ht="27.75" thickTop="1">
      <c r="A10" s="373"/>
      <c r="B10" s="374" t="s">
        <v>1687</v>
      </c>
      <c r="C10" s="3557" t="s">
        <v>5171</v>
      </c>
      <c r="D10" s="126">
        <v>100</v>
      </c>
      <c r="E10" s="531" t="s">
        <v>5170</v>
      </c>
      <c r="F10" s="375">
        <f>SUMIF(65:65,E10,66:66)-SUMIF(65:65,C10,66:66)+100</f>
        <v>102</v>
      </c>
      <c r="G10" s="531" t="s">
        <v>5169</v>
      </c>
      <c r="H10" s="126">
        <f>SUMIF(65:65,G10,66:66)-SUMIF(65:65,C10,66:66)+100</f>
        <v>104</v>
      </c>
      <c r="I10" s="531" t="s">
        <v>5169</v>
      </c>
      <c r="J10" s="126">
        <f>SUMIF(65:65,I10,66:66)-SUMIF(65:65,C10,66:66)+100</f>
        <v>104</v>
      </c>
      <c r="K10" s="559"/>
      <c r="L10" s="2718"/>
      <c r="M10" s="2719"/>
      <c r="N10" s="2719"/>
      <c r="O10" s="2719"/>
      <c r="P10" s="3763"/>
      <c r="Q10" s="1342" t="str">
        <f t="shared" si="6"/>
        <v>土地使用年限（年）</v>
      </c>
      <c r="R10" s="700" t="s">
        <v>14</v>
      </c>
      <c r="S10" s="701">
        <f t="shared" si="0"/>
        <v>102</v>
      </c>
      <c r="T10" s="700" t="s">
        <v>14</v>
      </c>
      <c r="U10" s="701">
        <f t="shared" si="1"/>
        <v>104</v>
      </c>
      <c r="V10" s="700" t="s">
        <v>14</v>
      </c>
      <c r="W10" s="701">
        <f t="shared" si="2"/>
        <v>104</v>
      </c>
      <c r="X10" s="702"/>
      <c r="Y10" s="3718"/>
      <c r="Z10" s="52" t="str">
        <f t="shared" si="7"/>
        <v>土地使用年限（年）</v>
      </c>
      <c r="AA10" s="703">
        <f t="shared" si="3"/>
        <v>0.98039215686274506</v>
      </c>
      <c r="AB10" s="703">
        <f t="shared" si="4"/>
        <v>0.96153846153846156</v>
      </c>
      <c r="AC10" s="703">
        <f t="shared" si="5"/>
        <v>0.96153846153846156</v>
      </c>
    </row>
    <row r="11" spans="1:29" ht="15">
      <c r="A11" s="378"/>
      <c r="B11" s="374" t="s">
        <v>1688</v>
      </c>
      <c r="C11" s="379">
        <v>1</v>
      </c>
      <c r="D11" s="126">
        <v>100</v>
      </c>
      <c r="E11" s="380" t="s">
        <v>5158</v>
      </c>
      <c r="F11" s="375">
        <f>LOOKUP(E11,68:68,69:69)-LOOKUP(C11,68:68,69:69)+100</f>
        <v>98</v>
      </c>
      <c r="G11" s="380" t="s">
        <v>5158</v>
      </c>
      <c r="H11" s="126">
        <f>LOOKUP(G11,68:68,69:69)-LOOKUP(C11,68:68,69:69)+100</f>
        <v>98</v>
      </c>
      <c r="I11" s="380" t="s">
        <v>5158</v>
      </c>
      <c r="J11" s="126">
        <f>LOOKUP(I11,68:68,69:69)-LOOKUP(C11,68:68,69:69)+100</f>
        <v>98</v>
      </c>
      <c r="K11" s="560">
        <v>2</v>
      </c>
      <c r="L11" s="2720"/>
      <c r="M11" s="2715"/>
      <c r="N11" s="2715"/>
      <c r="O11" s="2715"/>
      <c r="P11" s="3763"/>
      <c r="Q11" s="1342" t="str">
        <f t="shared" si="6"/>
        <v>容积率</v>
      </c>
      <c r="R11" s="700" t="s">
        <v>14</v>
      </c>
      <c r="S11" s="701">
        <f t="shared" si="0"/>
        <v>98</v>
      </c>
      <c r="T11" s="700" t="s">
        <v>14</v>
      </c>
      <c r="U11" s="701">
        <f t="shared" si="1"/>
        <v>98</v>
      </c>
      <c r="V11" s="700" t="s">
        <v>14</v>
      </c>
      <c r="W11" s="701">
        <f t="shared" si="2"/>
        <v>98</v>
      </c>
      <c r="X11" s="702"/>
      <c r="Y11" s="3718"/>
      <c r="Z11" s="52" t="str">
        <f t="shared" si="7"/>
        <v>容积率</v>
      </c>
      <c r="AA11" s="703">
        <f t="shared" si="3"/>
        <v>1.0204081632653061</v>
      </c>
      <c r="AB11" s="703">
        <f t="shared" si="4"/>
        <v>1.0204081632653061</v>
      </c>
      <c r="AC11" s="703">
        <f t="shared" si="5"/>
        <v>1.0204081632653061</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63"/>
      <c r="Q12" s="1342">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63"/>
      <c r="Q13" s="1342">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63"/>
      <c r="Q14" s="1342">
        <f t="shared" si="6"/>
        <v>111</v>
      </c>
      <c r="R14" s="700" t="s">
        <v>14</v>
      </c>
      <c r="S14" s="701">
        <f t="shared" si="0"/>
        <v>100</v>
      </c>
      <c r="T14" s="700" t="s">
        <v>14</v>
      </c>
      <c r="U14" s="701">
        <f t="shared" si="1"/>
        <v>100</v>
      </c>
      <c r="V14" s="700" t="s">
        <v>14</v>
      </c>
      <c r="W14" s="701">
        <f t="shared" si="2"/>
        <v>100</v>
      </c>
      <c r="X14" s="702"/>
      <c r="Y14" s="3718"/>
      <c r="Z14" s="52">
        <f t="shared" si="7"/>
        <v>111</v>
      </c>
      <c r="AA14" s="703">
        <f t="shared" si="3"/>
        <v>1</v>
      </c>
      <c r="AB14" s="703">
        <f t="shared" si="4"/>
        <v>1</v>
      </c>
      <c r="AC14" s="703">
        <f t="shared" si="5"/>
        <v>1</v>
      </c>
    </row>
    <row r="15" spans="1:29" ht="71.25">
      <c r="A15" s="390" t="s">
        <v>1689</v>
      </c>
      <c r="B15" s="61"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21"/>
      <c r="M15" s="2715"/>
      <c r="N15" s="2715"/>
      <c r="O15" s="2715"/>
      <c r="P15" s="3778" t="s">
        <v>1690</v>
      </c>
      <c r="Q15" s="1351" t="str">
        <f t="shared" si="6"/>
        <v>商业繁华度</v>
      </c>
      <c r="R15" s="704" t="s">
        <v>14</v>
      </c>
      <c r="S15" s="705">
        <f t="shared" si="0"/>
        <v>100</v>
      </c>
      <c r="T15" s="704" t="s">
        <v>14</v>
      </c>
      <c r="U15" s="705">
        <f t="shared" si="1"/>
        <v>100</v>
      </c>
      <c r="V15" s="704" t="s">
        <v>14</v>
      </c>
      <c r="W15" s="705">
        <f t="shared" si="2"/>
        <v>100</v>
      </c>
      <c r="X15" s="1354"/>
      <c r="Y15" s="3780" t="s">
        <v>1690</v>
      </c>
      <c r="Z15" s="1355" t="str">
        <f t="shared" si="7"/>
        <v>商业繁华度</v>
      </c>
      <c r="AA15" s="1352">
        <f t="shared" si="3"/>
        <v>1</v>
      </c>
      <c r="AB15" s="1352">
        <f t="shared" si="4"/>
        <v>1</v>
      </c>
      <c r="AC15" s="1352">
        <f t="shared" si="5"/>
        <v>1</v>
      </c>
    </row>
    <row r="16" spans="1:29" ht="15">
      <c r="A16" s="378"/>
      <c r="B16" s="396"/>
      <c r="C16" s="397" t="s">
        <v>5156</v>
      </c>
      <c r="D16" s="398"/>
      <c r="E16" s="397" t="s">
        <v>5156</v>
      </c>
      <c r="F16" s="399"/>
      <c r="G16" s="397" t="s">
        <v>5156</v>
      </c>
      <c r="H16" s="400"/>
      <c r="I16" s="397" t="s">
        <v>5156</v>
      </c>
      <c r="J16" s="398"/>
      <c r="K16" s="563"/>
      <c r="L16" s="2721"/>
      <c r="M16" s="2715"/>
      <c r="N16" s="2715"/>
      <c r="O16" s="2715"/>
      <c r="P16" s="3779"/>
      <c r="Q16" s="1351"/>
      <c r="R16" s="704"/>
      <c r="S16" s="705"/>
      <c r="T16" s="704"/>
      <c r="U16" s="705"/>
      <c r="V16" s="704"/>
      <c r="W16" s="705"/>
      <c r="X16" s="1354"/>
      <c r="Y16" s="3781"/>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105</v>
      </c>
      <c r="G17" s="404"/>
      <c r="H17" s="405">
        <f>SUMIF(78:78,G18,79:79)-SUMIF(78:78,C18,79:79)+100</f>
        <v>100</v>
      </c>
      <c r="I17" s="402"/>
      <c r="J17" s="405">
        <f>SUMIF(78:78,I18,79:79)-SUMIF(78:78,C18,79:79)+100</f>
        <v>105</v>
      </c>
      <c r="K17" s="562">
        <v>5</v>
      </c>
      <c r="L17" s="2721"/>
      <c r="M17" s="2715"/>
      <c r="N17" s="2715"/>
      <c r="O17" s="2715"/>
      <c r="P17" s="3779"/>
      <c r="Q17" s="1351" t="str">
        <f>B17</f>
        <v>交通便捷度</v>
      </c>
      <c r="R17" s="704" t="s">
        <v>14</v>
      </c>
      <c r="S17" s="705">
        <f>F17</f>
        <v>105</v>
      </c>
      <c r="T17" s="704" t="s">
        <v>14</v>
      </c>
      <c r="U17" s="705">
        <f>H17</f>
        <v>100</v>
      </c>
      <c r="V17" s="704" t="s">
        <v>14</v>
      </c>
      <c r="W17" s="705">
        <f>J17</f>
        <v>105</v>
      </c>
      <c r="X17" s="1354"/>
      <c r="Y17" s="3781"/>
      <c r="Z17" s="1355" t="str">
        <f>Q17</f>
        <v>交通便捷度</v>
      </c>
      <c r="AA17" s="1352">
        <f t="shared" si="3"/>
        <v>0.95238095238095233</v>
      </c>
      <c r="AB17" s="1352">
        <f t="shared" si="4"/>
        <v>1</v>
      </c>
      <c r="AC17" s="1352">
        <f t="shared" si="5"/>
        <v>0.95238095238095233</v>
      </c>
    </row>
    <row r="18" spans="1:29" ht="15">
      <c r="A18" s="378"/>
      <c r="B18" s="406"/>
      <c r="C18" s="1900" t="s">
        <v>5160</v>
      </c>
      <c r="D18" s="400"/>
      <c r="E18" s="1902" t="s">
        <v>5156</v>
      </c>
      <c r="F18" s="403"/>
      <c r="G18" s="1902" t="s">
        <v>5160</v>
      </c>
      <c r="H18" s="398"/>
      <c r="I18" s="1902" t="s">
        <v>5156</v>
      </c>
      <c r="J18" s="398"/>
      <c r="K18" s="563"/>
      <c r="L18" s="2721"/>
      <c r="M18" s="2715"/>
      <c r="N18" s="2715"/>
      <c r="O18" s="2715"/>
      <c r="P18" s="3779"/>
      <c r="Q18" s="1351"/>
      <c r="R18" s="704"/>
      <c r="S18" s="705"/>
      <c r="T18" s="704"/>
      <c r="U18" s="705"/>
      <c r="V18" s="704"/>
      <c r="W18" s="705"/>
      <c r="X18" s="1354"/>
      <c r="Y18" s="3781"/>
      <c r="Z18" s="1355"/>
      <c r="AA18" s="1352">
        <v>1</v>
      </c>
      <c r="AB18" s="1352">
        <v>1</v>
      </c>
      <c r="AC18" s="1352">
        <v>1</v>
      </c>
    </row>
    <row r="19" spans="1:29" ht="42.75">
      <c r="A19" s="378"/>
      <c r="B19" s="401" t="s">
        <v>1777</v>
      </c>
      <c r="C19" s="1899" t="str">
        <f>估价对象房地状况!C7</f>
        <v>估价对象所在区域公共配套设施齐备情况</v>
      </c>
      <c r="D19" s="405">
        <v>100</v>
      </c>
      <c r="E19" s="407"/>
      <c r="F19" s="408">
        <f>SUMIF(80:80,E20,81:81)-SUMIF(80:80,C20,81:81)+100</f>
        <v>102</v>
      </c>
      <c r="G19" s="409"/>
      <c r="H19" s="400">
        <f>SUMIF(80:80,G20,81:81)-SUMIF(80:80,C20,81:81)+100</f>
        <v>104</v>
      </c>
      <c r="I19" s="407"/>
      <c r="J19" s="400">
        <f>SUMIF(80:80,I20,81:81)-SUMIF(80:80,C20,81:81)+100</f>
        <v>104</v>
      </c>
      <c r="K19" s="562">
        <v>2</v>
      </c>
      <c r="L19" s="2721"/>
      <c r="M19" s="2715"/>
      <c r="N19" s="2715"/>
      <c r="O19" s="2715"/>
      <c r="P19" s="3779"/>
      <c r="Q19" s="1351" t="str">
        <f>B19</f>
        <v>公共配套设施</v>
      </c>
      <c r="R19" s="704" t="s">
        <v>14</v>
      </c>
      <c r="S19" s="705">
        <f>F19</f>
        <v>102</v>
      </c>
      <c r="T19" s="704" t="s">
        <v>14</v>
      </c>
      <c r="U19" s="705">
        <f>H19</f>
        <v>104</v>
      </c>
      <c r="V19" s="704" t="s">
        <v>14</v>
      </c>
      <c r="W19" s="705">
        <f>J19</f>
        <v>104</v>
      </c>
      <c r="X19" s="1354"/>
      <c r="Y19" s="3781"/>
      <c r="Z19" s="1355" t="str">
        <f>Q19</f>
        <v>公共配套设施</v>
      </c>
      <c r="AA19" s="1352">
        <f t="shared" si="3"/>
        <v>0.98039215686274506</v>
      </c>
      <c r="AB19" s="1352">
        <f t="shared" si="4"/>
        <v>0.96153846153846156</v>
      </c>
      <c r="AC19" s="1352">
        <f t="shared" si="5"/>
        <v>0.96153846153846156</v>
      </c>
    </row>
    <row r="20" spans="1:29" ht="15">
      <c r="A20" s="378"/>
      <c r="B20" s="406"/>
      <c r="C20" s="397" t="s">
        <v>5161</v>
      </c>
      <c r="D20" s="398"/>
      <c r="E20" s="1900" t="s">
        <v>5160</v>
      </c>
      <c r="F20" s="399"/>
      <c r="G20" s="1900" t="s">
        <v>5156</v>
      </c>
      <c r="H20" s="398"/>
      <c r="I20" s="1900" t="s">
        <v>5156</v>
      </c>
      <c r="J20" s="398"/>
      <c r="K20" s="563"/>
      <c r="L20" s="2721"/>
      <c r="M20" s="2715"/>
      <c r="N20" s="2715"/>
      <c r="O20" s="2715"/>
      <c r="P20" s="3779"/>
      <c r="Q20" s="1351"/>
      <c r="R20" s="704"/>
      <c r="S20" s="705"/>
      <c r="T20" s="704"/>
      <c r="U20" s="705"/>
      <c r="V20" s="704"/>
      <c r="W20" s="705"/>
      <c r="X20" s="1354"/>
      <c r="Y20" s="3781"/>
      <c r="Z20" s="1355"/>
      <c r="AA20" s="1352">
        <v>1</v>
      </c>
      <c r="AB20" s="1352">
        <v>1</v>
      </c>
      <c r="AC20" s="1352">
        <v>1</v>
      </c>
    </row>
    <row r="21" spans="1:29" ht="28.5">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1</v>
      </c>
      <c r="L21" s="2721"/>
      <c r="M21" s="2715"/>
      <c r="N21" s="2715"/>
      <c r="O21" s="2715"/>
      <c r="P21" s="3779"/>
      <c r="Q21" s="1351" t="str">
        <f>B21</f>
        <v>基础设施水平</v>
      </c>
      <c r="R21" s="704" t="s">
        <v>14</v>
      </c>
      <c r="S21" s="705">
        <f>F21</f>
        <v>100</v>
      </c>
      <c r="T21" s="704" t="s">
        <v>14</v>
      </c>
      <c r="U21" s="705">
        <f>H21</f>
        <v>100</v>
      </c>
      <c r="V21" s="704" t="s">
        <v>14</v>
      </c>
      <c r="W21" s="705">
        <f>J21</f>
        <v>100</v>
      </c>
      <c r="X21" s="1354"/>
      <c r="Y21" s="3781"/>
      <c r="Z21" s="1355" t="str">
        <f>Q21</f>
        <v>基础设施水平</v>
      </c>
      <c r="AA21" s="1352">
        <f t="shared" ref="AA21" si="8">D21/F21</f>
        <v>1</v>
      </c>
      <c r="AB21" s="1352">
        <f t="shared" ref="AB21" si="9">D21/H21</f>
        <v>1</v>
      </c>
      <c r="AC21" s="1352">
        <f t="shared" ref="AC21" si="10">D21/J21</f>
        <v>1</v>
      </c>
    </row>
    <row r="22" spans="1:29" ht="15">
      <c r="A22" s="378"/>
      <c r="B22" s="1130"/>
      <c r="C22" s="1900" t="s">
        <v>5162</v>
      </c>
      <c r="D22" s="398"/>
      <c r="E22" s="1900" t="s">
        <v>5162</v>
      </c>
      <c r="F22" s="399"/>
      <c r="G22" s="1900" t="s">
        <v>5162</v>
      </c>
      <c r="H22" s="398"/>
      <c r="I22" s="1900" t="s">
        <v>5162</v>
      </c>
      <c r="J22" s="398"/>
      <c r="K22" s="1129"/>
      <c r="L22" s="2721"/>
      <c r="M22" s="2715"/>
      <c r="N22" s="2715"/>
      <c r="O22" s="2715"/>
      <c r="P22" s="3779"/>
      <c r="Q22" s="1351"/>
      <c r="R22" s="704"/>
      <c r="S22" s="705"/>
      <c r="T22" s="704"/>
      <c r="U22" s="705"/>
      <c r="V22" s="704"/>
      <c r="W22" s="705"/>
      <c r="X22" s="1354"/>
      <c r="Y22" s="3781"/>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105</v>
      </c>
      <c r="K23" s="562">
        <v>5</v>
      </c>
      <c r="L23" s="2721"/>
      <c r="M23" s="2715"/>
      <c r="N23" s="2715"/>
      <c r="O23" s="2715"/>
      <c r="P23" s="3779"/>
      <c r="Q23" s="1351" t="str">
        <f>B23</f>
        <v>自然及人文环境</v>
      </c>
      <c r="R23" s="704" t="s">
        <v>14</v>
      </c>
      <c r="S23" s="705">
        <f>F23</f>
        <v>100</v>
      </c>
      <c r="T23" s="704" t="s">
        <v>14</v>
      </c>
      <c r="U23" s="705">
        <f>H23</f>
        <v>100</v>
      </c>
      <c r="V23" s="704" t="s">
        <v>14</v>
      </c>
      <c r="W23" s="705">
        <f>J23</f>
        <v>105</v>
      </c>
      <c r="X23" s="1354"/>
      <c r="Y23" s="3781"/>
      <c r="Z23" s="1355" t="str">
        <f>Q23</f>
        <v>自然及人文环境</v>
      </c>
      <c r="AA23" s="1352">
        <f t="shared" si="3"/>
        <v>1</v>
      </c>
      <c r="AB23" s="1352">
        <f t="shared" si="4"/>
        <v>1</v>
      </c>
      <c r="AC23" s="1352">
        <f t="shared" si="5"/>
        <v>0.95238095238095233</v>
      </c>
    </row>
    <row r="24" spans="1:29" ht="15">
      <c r="A24" s="378"/>
      <c r="B24" s="406"/>
      <c r="C24" s="397" t="s">
        <v>5160</v>
      </c>
      <c r="D24" s="398"/>
      <c r="E24" s="397" t="s">
        <v>5160</v>
      </c>
      <c r="F24" s="399"/>
      <c r="G24" s="397" t="s">
        <v>5160</v>
      </c>
      <c r="H24" s="398"/>
      <c r="I24" s="397" t="s">
        <v>5156</v>
      </c>
      <c r="J24" s="398"/>
      <c r="K24" s="563"/>
      <c r="L24" s="2721"/>
      <c r="M24" s="2715"/>
      <c r="N24" s="2715"/>
      <c r="O24" s="2715"/>
      <c r="P24" s="3779"/>
      <c r="Q24" s="1351"/>
      <c r="R24" s="704"/>
      <c r="S24" s="705"/>
      <c r="T24" s="704"/>
      <c r="U24" s="705"/>
      <c r="V24" s="704"/>
      <c r="W24" s="705"/>
      <c r="X24" s="1354"/>
      <c r="Y24" s="3781"/>
      <c r="Z24" s="1355"/>
      <c r="AA24" s="1352">
        <v>1</v>
      </c>
      <c r="AB24" s="1352">
        <v>1</v>
      </c>
      <c r="AC24" s="1352">
        <v>1</v>
      </c>
    </row>
    <row r="25" spans="1:29" ht="15">
      <c r="A25" s="378"/>
      <c r="B25" s="374" t="s">
        <v>1779</v>
      </c>
      <c r="C25" s="564" t="s">
        <v>5188</v>
      </c>
      <c r="D25" s="385">
        <v>100</v>
      </c>
      <c r="E25" s="564" t="s">
        <v>5188</v>
      </c>
      <c r="F25" s="411">
        <f>SUMIF(86:86,E25,87:87)-SUMIF(86:86,C25,87:87)+100</f>
        <v>100</v>
      </c>
      <c r="G25" s="564" t="s">
        <v>5188</v>
      </c>
      <c r="H25" s="385">
        <f>SUMIF(86:86,G25,87:87)-SUMIF(86:86,C25,87:87)+100</f>
        <v>100</v>
      </c>
      <c r="I25" s="564" t="s">
        <v>5186</v>
      </c>
      <c r="J25" s="385">
        <f>SUMIF(86:86,I25,87:87)-SUMIF(86:86,C25,87:87)+100</f>
        <v>102</v>
      </c>
      <c r="K25" s="560">
        <v>2</v>
      </c>
      <c r="L25" s="2721"/>
      <c r="M25" s="2715"/>
      <c r="N25" s="2715"/>
      <c r="O25" s="2715"/>
      <c r="P25" s="3779"/>
      <c r="Q25" s="1351" t="str">
        <f t="shared" ref="Q25:Q46" si="11">B25</f>
        <v>临街状况</v>
      </c>
      <c r="R25" s="704" t="s">
        <v>14</v>
      </c>
      <c r="S25" s="705">
        <f>F25</f>
        <v>100</v>
      </c>
      <c r="T25" s="704" t="s">
        <v>14</v>
      </c>
      <c r="U25" s="705">
        <f>H25</f>
        <v>100</v>
      </c>
      <c r="V25" s="704" t="s">
        <v>14</v>
      </c>
      <c r="W25" s="705">
        <f>J25</f>
        <v>102</v>
      </c>
      <c r="X25" s="1354"/>
      <c r="Y25" s="3781"/>
      <c r="Z25" s="1355" t="str">
        <f>Q25</f>
        <v>临街状况</v>
      </c>
      <c r="AA25" s="1352">
        <f t="shared" si="3"/>
        <v>1</v>
      </c>
      <c r="AB25" s="1352">
        <f t="shared" si="4"/>
        <v>1</v>
      </c>
      <c r="AC25" s="1352">
        <f t="shared" si="5"/>
        <v>0.98039215686274506</v>
      </c>
    </row>
    <row r="26" spans="1:29" ht="15">
      <c r="A26" s="378"/>
      <c r="B26" s="1132" t="s">
        <v>1780</v>
      </c>
      <c r="C26" s="3558" t="s">
        <v>5206</v>
      </c>
      <c r="D26" s="385">
        <v>100</v>
      </c>
      <c r="E26" s="3558" t="s">
        <v>5206</v>
      </c>
      <c r="F26" s="411">
        <f>SUMIF(88:88,E26,89:89)-SUMIF(88:88,C26,89:89)+100</f>
        <v>100</v>
      </c>
      <c r="G26" s="3558" t="s">
        <v>5206</v>
      </c>
      <c r="H26" s="385">
        <f>SUMIF(88:88,G26,89:89)-SUMIF(88:88,C26,89:89)+100</f>
        <v>100</v>
      </c>
      <c r="I26" s="3558" t="s">
        <v>5206</v>
      </c>
      <c r="J26" s="385">
        <f>SUMIF(88:88,I26,89:89)-SUMIF(88:88,C26,89:89)+100</f>
        <v>100</v>
      </c>
      <c r="K26" s="561"/>
      <c r="L26" s="2721"/>
      <c r="M26" s="2715"/>
      <c r="N26" s="2715"/>
      <c r="O26" s="2715"/>
      <c r="P26" s="3779"/>
      <c r="Q26" s="1351" t="str">
        <f t="shared" si="11"/>
        <v>平面位置/可视性</v>
      </c>
      <c r="R26" s="704" t="s">
        <v>14</v>
      </c>
      <c r="S26" s="705">
        <f>F26</f>
        <v>100</v>
      </c>
      <c r="T26" s="704" t="s">
        <v>14</v>
      </c>
      <c r="U26" s="705">
        <f>H26</f>
        <v>100</v>
      </c>
      <c r="V26" s="704" t="s">
        <v>14</v>
      </c>
      <c r="W26" s="705">
        <f>J26</f>
        <v>100</v>
      </c>
      <c r="X26" s="1354"/>
      <c r="Y26" s="3781"/>
      <c r="Z26" s="1355" t="str">
        <f>Q26</f>
        <v>平面位置/可视性</v>
      </c>
      <c r="AA26" s="1352">
        <f t="shared" si="3"/>
        <v>1</v>
      </c>
      <c r="AB26" s="1352">
        <f t="shared" si="4"/>
        <v>1</v>
      </c>
      <c r="AC26" s="1352">
        <f t="shared" si="5"/>
        <v>1</v>
      </c>
    </row>
    <row r="27" spans="1:29" s="107" customFormat="1" ht="15">
      <c r="A27" s="381"/>
      <c r="B27" s="401" t="s">
        <v>1781</v>
      </c>
      <c r="C27" s="1955" t="s">
        <v>5201</v>
      </c>
      <c r="D27" s="412">
        <v>100</v>
      </c>
      <c r="E27" s="1955" t="s">
        <v>5201</v>
      </c>
      <c r="F27" s="414">
        <f>SUMIF(90:90,E27,91:91)-SUMIF(90:90,C27,91:91)+100</f>
        <v>100</v>
      </c>
      <c r="G27" s="1955" t="s">
        <v>5201</v>
      </c>
      <c r="H27" s="412">
        <f>SUMIF(90:90,G27,91:91)-SUMIF(90:90,C27,91:91)+100</f>
        <v>100</v>
      </c>
      <c r="I27" s="1955" t="s">
        <v>5201</v>
      </c>
      <c r="J27" s="412">
        <f>SUMIF(90:90,I27,91:91)-SUMIF(90:90,C27,91:91)+100</f>
        <v>100</v>
      </c>
      <c r="K27" s="560"/>
      <c r="L27" s="2716"/>
      <c r="M27" s="2717"/>
      <c r="N27" s="2717"/>
      <c r="O27" s="2717"/>
      <c r="P27" s="3779"/>
      <c r="Q27" s="1342" t="str">
        <f t="shared" si="11"/>
        <v>人流量</v>
      </c>
      <c r="R27" s="700" t="s">
        <v>14</v>
      </c>
      <c r="S27" s="701">
        <f>F27</f>
        <v>100</v>
      </c>
      <c r="T27" s="700" t="s">
        <v>14</v>
      </c>
      <c r="U27" s="701">
        <f>H27</f>
        <v>100</v>
      </c>
      <c r="V27" s="700" t="s">
        <v>14</v>
      </c>
      <c r="W27" s="701">
        <f>J27</f>
        <v>100</v>
      </c>
      <c r="X27" s="702"/>
      <c r="Y27" s="3781"/>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7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81"/>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79"/>
      <c r="Q29" s="1351">
        <f t="shared" si="11"/>
        <v>111</v>
      </c>
      <c r="R29" s="704" t="s">
        <v>14</v>
      </c>
      <c r="S29" s="705">
        <f t="shared" si="12"/>
        <v>100</v>
      </c>
      <c r="T29" s="704" t="s">
        <v>14</v>
      </c>
      <c r="U29" s="705">
        <f t="shared" si="13"/>
        <v>100</v>
      </c>
      <c r="V29" s="704" t="s">
        <v>14</v>
      </c>
      <c r="W29" s="705">
        <f t="shared" si="14"/>
        <v>100</v>
      </c>
      <c r="X29" s="1354"/>
      <c r="Y29" s="3781"/>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79"/>
      <c r="Q30" s="1351">
        <f t="shared" si="11"/>
        <v>111</v>
      </c>
      <c r="R30" s="704" t="s">
        <v>14</v>
      </c>
      <c r="S30" s="705">
        <f t="shared" si="12"/>
        <v>100</v>
      </c>
      <c r="T30" s="704" t="s">
        <v>14</v>
      </c>
      <c r="U30" s="705">
        <f t="shared" si="13"/>
        <v>100</v>
      </c>
      <c r="V30" s="704" t="s">
        <v>14</v>
      </c>
      <c r="W30" s="705">
        <f t="shared" si="14"/>
        <v>100</v>
      </c>
      <c r="X30" s="1354"/>
      <c r="Y30" s="3781"/>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79"/>
      <c r="Q31" s="1351">
        <f t="shared" si="11"/>
        <v>111</v>
      </c>
      <c r="R31" s="704" t="s">
        <v>14</v>
      </c>
      <c r="S31" s="705">
        <f t="shared" si="12"/>
        <v>100</v>
      </c>
      <c r="T31" s="704" t="s">
        <v>14</v>
      </c>
      <c r="U31" s="705">
        <f t="shared" si="13"/>
        <v>100</v>
      </c>
      <c r="V31" s="704" t="s">
        <v>14</v>
      </c>
      <c r="W31" s="705">
        <f t="shared" si="14"/>
        <v>100</v>
      </c>
      <c r="X31" s="1354"/>
      <c r="Y31" s="3781"/>
      <c r="Z31" s="1355">
        <f t="shared" si="15"/>
        <v>111</v>
      </c>
      <c r="AA31" s="1352">
        <f t="shared" si="3"/>
        <v>1</v>
      </c>
      <c r="AB31" s="1352">
        <f t="shared" si="4"/>
        <v>1</v>
      </c>
      <c r="AC31" s="1352">
        <f t="shared" si="5"/>
        <v>1</v>
      </c>
    </row>
    <row r="32" spans="1:29" ht="15">
      <c r="A32" s="390" t="s">
        <v>1693</v>
      </c>
      <c r="B32" s="63" t="s">
        <v>1783</v>
      </c>
      <c r="C32" s="1909" t="s">
        <v>5172</v>
      </c>
      <c r="D32" s="417">
        <v>100</v>
      </c>
      <c r="E32" s="1909" t="s">
        <v>5174</v>
      </c>
      <c r="F32" s="411">
        <f>SUMIF(100:100,E32,101:101)-SUMIF(100:100,C32,101:101)+100</f>
        <v>90</v>
      </c>
      <c r="G32" s="1909" t="s">
        <v>5174</v>
      </c>
      <c r="H32" s="385">
        <f>SUMIF(100:100,G32,101:101)-SUMIF(100:100,C32,101:101)+100</f>
        <v>90</v>
      </c>
      <c r="I32" s="1909" t="s">
        <v>5174</v>
      </c>
      <c r="J32" s="417">
        <f>SUMIF(100:100,I32,101:101)-SUMIF(100:100,C32,101:101)+100</f>
        <v>90</v>
      </c>
      <c r="K32" s="560">
        <v>10</v>
      </c>
      <c r="L32" s="2721"/>
      <c r="M32" s="2715"/>
      <c r="N32" s="2715"/>
      <c r="O32" s="2715"/>
      <c r="P32" s="3782" t="s">
        <v>1695</v>
      </c>
      <c r="Q32" s="1351" t="str">
        <f t="shared" si="11"/>
        <v>商业类型</v>
      </c>
      <c r="R32" s="704" t="s">
        <v>14</v>
      </c>
      <c r="S32" s="705">
        <f t="shared" si="12"/>
        <v>90</v>
      </c>
      <c r="T32" s="704" t="s">
        <v>14</v>
      </c>
      <c r="U32" s="705">
        <f t="shared" si="13"/>
        <v>90</v>
      </c>
      <c r="V32" s="704" t="s">
        <v>14</v>
      </c>
      <c r="W32" s="705">
        <f t="shared" si="14"/>
        <v>90</v>
      </c>
      <c r="X32" s="1354"/>
      <c r="Y32" s="3785" t="s">
        <v>1695</v>
      </c>
      <c r="Z32" s="1355" t="str">
        <f t="shared" si="15"/>
        <v>商业类型</v>
      </c>
      <c r="AA32" s="1352">
        <f t="shared" si="3"/>
        <v>1.1111111111111112</v>
      </c>
      <c r="AB32" s="1352">
        <f t="shared" si="4"/>
        <v>1.1111111111111112</v>
      </c>
      <c r="AC32" s="1352">
        <f t="shared" si="5"/>
        <v>1.1111111111111112</v>
      </c>
    </row>
    <row r="33" spans="1:29" s="421" customFormat="1" ht="15">
      <c r="A33" s="418"/>
      <c r="B33" s="374" t="s">
        <v>1696</v>
      </c>
      <c r="C33" s="419">
        <f>'数据-汇总表'!E3</f>
        <v>58348.11</v>
      </c>
      <c r="D33" s="126">
        <v>100</v>
      </c>
      <c r="E33" s="380">
        <f>'2021年'!G19</f>
        <v>100030</v>
      </c>
      <c r="F33" s="375">
        <f>LOOKUP(E33,103:103,104:104)-LOOKUP(C33,103:103,104:104)+100</f>
        <v>101</v>
      </c>
      <c r="G33" s="379">
        <f>'2019年'!G22</f>
        <v>50881</v>
      </c>
      <c r="H33" s="126">
        <f>LOOKUP(G33,103:103,104:104)-LOOKUP(C33,103:103,104:104)+100</f>
        <v>100</v>
      </c>
      <c r="I33" s="379">
        <f>'2019年'!G20</f>
        <v>9500</v>
      </c>
      <c r="J33" s="126">
        <f>LOOKUP(I33,103:103,104:104)-LOOKUP(C33,103:103,104:104)+100</f>
        <v>98</v>
      </c>
      <c r="K33" s="561"/>
      <c r="L33" s="2720"/>
      <c r="M33" s="2722"/>
      <c r="N33" s="2722"/>
      <c r="O33" s="2722"/>
      <c r="P33" s="3783"/>
      <c r="Q33" s="706" t="str">
        <f t="shared" si="11"/>
        <v>项目建筑规模</v>
      </c>
      <c r="R33" s="707" t="s">
        <v>14</v>
      </c>
      <c r="S33" s="708">
        <f t="shared" si="12"/>
        <v>101</v>
      </c>
      <c r="T33" s="707" t="s">
        <v>14</v>
      </c>
      <c r="U33" s="708">
        <f t="shared" si="13"/>
        <v>100</v>
      </c>
      <c r="V33" s="707" t="s">
        <v>14</v>
      </c>
      <c r="W33" s="708">
        <f t="shared" si="14"/>
        <v>98</v>
      </c>
      <c r="X33" s="709"/>
      <c r="Y33" s="3785"/>
      <c r="Z33" s="710" t="str">
        <f t="shared" si="15"/>
        <v>项目建筑规模</v>
      </c>
      <c r="AA33" s="1352">
        <f t="shared" si="3"/>
        <v>0.99009900990099009</v>
      </c>
      <c r="AB33" s="1352">
        <f t="shared" si="4"/>
        <v>1</v>
      </c>
      <c r="AC33" s="1352">
        <f t="shared" si="5"/>
        <v>1.0204081632653061</v>
      </c>
    </row>
    <row r="34" spans="1:29" ht="15">
      <c r="A34" s="422"/>
      <c r="B34" s="374" t="s">
        <v>1697</v>
      </c>
      <c r="C34" s="1911" t="s">
        <v>3435</v>
      </c>
      <c r="D34" s="385">
        <v>100</v>
      </c>
      <c r="E34" s="1911" t="s">
        <v>3435</v>
      </c>
      <c r="F34" s="411">
        <f>SUMIF(105:105,E34,106:106)-SUMIF(105:105,C34,106:106)+100</f>
        <v>100</v>
      </c>
      <c r="G34" s="1911" t="s">
        <v>3435</v>
      </c>
      <c r="H34" s="385">
        <f>SUMIF(105:105,G34,106:106)-SUMIF(105:105,C34,106:106)+100</f>
        <v>100</v>
      </c>
      <c r="I34" s="1911" t="s">
        <v>3435</v>
      </c>
      <c r="J34" s="385">
        <f>SUMIF(105:105,I34,106:106)-SUMIF(105:105,C34,106:106)+100</f>
        <v>100</v>
      </c>
      <c r="K34" s="560">
        <v>2</v>
      </c>
      <c r="L34" s="2721"/>
      <c r="M34" s="2715"/>
      <c r="N34" s="2715"/>
      <c r="O34" s="2715"/>
      <c r="P34" s="3783"/>
      <c r="Q34" s="1351" t="str">
        <f t="shared" si="11"/>
        <v>建筑结构</v>
      </c>
      <c r="R34" s="704" t="s">
        <v>14</v>
      </c>
      <c r="S34" s="705">
        <f t="shared" si="12"/>
        <v>100</v>
      </c>
      <c r="T34" s="704" t="s">
        <v>14</v>
      </c>
      <c r="U34" s="705">
        <f t="shared" si="13"/>
        <v>100</v>
      </c>
      <c r="V34" s="704" t="s">
        <v>14</v>
      </c>
      <c r="W34" s="705">
        <f t="shared" si="14"/>
        <v>100</v>
      </c>
      <c r="X34" s="1354"/>
      <c r="Y34" s="3785"/>
      <c r="Z34" s="1355" t="str">
        <f t="shared" si="15"/>
        <v>建筑结构</v>
      </c>
      <c r="AA34" s="1352">
        <f t="shared" si="3"/>
        <v>1</v>
      </c>
      <c r="AB34" s="1352">
        <f t="shared" si="4"/>
        <v>1</v>
      </c>
      <c r="AC34" s="1352">
        <f t="shared" si="5"/>
        <v>1</v>
      </c>
    </row>
    <row r="35" spans="1:29" ht="15">
      <c r="A35" s="422"/>
      <c r="B35" s="374" t="s">
        <v>1784</v>
      </c>
      <c r="C35" s="1905" t="s">
        <v>5166</v>
      </c>
      <c r="D35" s="385">
        <v>100</v>
      </c>
      <c r="E35" s="1905" t="s">
        <v>5166</v>
      </c>
      <c r="F35" s="411">
        <f>SUMIF(107:107,E35,108:108)-SUMIF(107:107,C35,108:108)+100</f>
        <v>100</v>
      </c>
      <c r="G35" s="1905" t="s">
        <v>5166</v>
      </c>
      <c r="H35" s="385">
        <f>SUMIF(107:107,G35,108:108)-SUMIF(107:107,C35,108:108)+100</f>
        <v>100</v>
      </c>
      <c r="I35" s="1905" t="s">
        <v>5166</v>
      </c>
      <c r="J35" s="385">
        <f>SUMIF(107:107,I35,108:108)-SUMIF(107:107,C35,108:108)+100</f>
        <v>100</v>
      </c>
      <c r="K35" s="560">
        <v>2</v>
      </c>
      <c r="L35" s="2721"/>
      <c r="M35" s="2715"/>
      <c r="N35" s="2715"/>
      <c r="O35" s="2715"/>
      <c r="P35" s="3783"/>
      <c r="Q35" s="1351" t="str">
        <f t="shared" si="11"/>
        <v>公共部分装修</v>
      </c>
      <c r="R35" s="704" t="s">
        <v>14</v>
      </c>
      <c r="S35" s="705">
        <f t="shared" si="12"/>
        <v>100</v>
      </c>
      <c r="T35" s="704" t="s">
        <v>14</v>
      </c>
      <c r="U35" s="705">
        <f t="shared" si="13"/>
        <v>100</v>
      </c>
      <c r="V35" s="704" t="s">
        <v>14</v>
      </c>
      <c r="W35" s="705">
        <f t="shared" si="14"/>
        <v>100</v>
      </c>
      <c r="X35" s="1354"/>
      <c r="Y35" s="3785"/>
      <c r="Z35" s="1355" t="str">
        <f t="shared" si="15"/>
        <v>公共部分装修</v>
      </c>
      <c r="AA35" s="1352">
        <f t="shared" si="3"/>
        <v>1</v>
      </c>
      <c r="AB35" s="1352">
        <f t="shared" si="4"/>
        <v>1</v>
      </c>
      <c r="AC35" s="1352">
        <f t="shared" si="5"/>
        <v>1</v>
      </c>
    </row>
    <row r="36" spans="1:29" ht="15">
      <c r="A36" s="422"/>
      <c r="B36" s="374" t="s">
        <v>1785</v>
      </c>
      <c r="C36" s="424">
        <f>'数据-取费表'!N6</f>
        <v>0.86699999999999999</v>
      </c>
      <c r="D36" s="385">
        <v>100</v>
      </c>
      <c r="E36" s="424">
        <f>ROUND(1-(2023-2015)/60,3)</f>
        <v>0.86699999999999999</v>
      </c>
      <c r="F36" s="411">
        <f>LOOKUP(E36,110:110,111:111)-LOOKUP(C36,110:110,111:111)+100</f>
        <v>100</v>
      </c>
      <c r="G36" s="424">
        <f>ROUND(1-(2023-2013)/60,3)</f>
        <v>0.83299999999999996</v>
      </c>
      <c r="H36" s="411">
        <f>LOOKUP(G36,110:110,111:111)-LOOKUP(C36,110:110,111:111)+100</f>
        <v>100</v>
      </c>
      <c r="I36" s="424">
        <f>ROUND(1-(2023-2018)/60,3)</f>
        <v>0.91700000000000004</v>
      </c>
      <c r="J36" s="385">
        <f>LOOKUP(I36,110:110,111:111)-LOOKUP(C36,110:110,111:111)+100</f>
        <v>101</v>
      </c>
      <c r="K36" s="560">
        <v>1</v>
      </c>
      <c r="L36" s="2721"/>
      <c r="M36" s="2715"/>
      <c r="N36" s="2715"/>
      <c r="O36" s="2715"/>
      <c r="P36" s="3783"/>
      <c r="Q36" s="1351" t="str">
        <f t="shared" si="11"/>
        <v>成新度</v>
      </c>
      <c r="R36" s="704" t="s">
        <v>14</v>
      </c>
      <c r="S36" s="705">
        <f t="shared" si="12"/>
        <v>100</v>
      </c>
      <c r="T36" s="704" t="s">
        <v>14</v>
      </c>
      <c r="U36" s="705">
        <f t="shared" si="13"/>
        <v>100</v>
      </c>
      <c r="V36" s="704" t="s">
        <v>14</v>
      </c>
      <c r="W36" s="705">
        <f t="shared" si="14"/>
        <v>101</v>
      </c>
      <c r="X36" s="1354"/>
      <c r="Y36" s="3785"/>
      <c r="Z36" s="1355" t="str">
        <f t="shared" si="15"/>
        <v>成新度</v>
      </c>
      <c r="AA36" s="1352">
        <f t="shared" si="3"/>
        <v>1</v>
      </c>
      <c r="AB36" s="1352">
        <f t="shared" si="4"/>
        <v>1</v>
      </c>
      <c r="AC36" s="1352">
        <f t="shared" si="5"/>
        <v>0.99009900990099009</v>
      </c>
    </row>
    <row r="37" spans="1:29" s="107" customFormat="1" ht="15">
      <c r="A37" s="423"/>
      <c r="B37" s="374" t="s">
        <v>1786</v>
      </c>
      <c r="C37" s="1905" t="s">
        <v>5184</v>
      </c>
      <c r="D37" s="126">
        <v>100</v>
      </c>
      <c r="E37" s="1905" t="s">
        <v>5181</v>
      </c>
      <c r="F37" s="411">
        <f>SUMIF(112:112,E37,113:113)-SUMIF(112:112,C37,113:113)+100</f>
        <v>103</v>
      </c>
      <c r="G37" s="1905" t="s">
        <v>5181</v>
      </c>
      <c r="H37" s="385">
        <f>SUMIF(112:112,G37,113:113)-SUMIF(112:112,C37,113:113)+100</f>
        <v>103</v>
      </c>
      <c r="I37" s="1905" t="s">
        <v>5181</v>
      </c>
      <c r="J37" s="385">
        <f>SUMIF(112:112,I37,113:113)-SUMIF(112:112,C37,113:113)+100</f>
        <v>103</v>
      </c>
      <c r="K37" s="560">
        <v>1</v>
      </c>
      <c r="L37" s="2716"/>
      <c r="M37" s="2717"/>
      <c r="N37" s="2717"/>
      <c r="O37" s="2717"/>
      <c r="P37" s="3783"/>
      <c r="Q37" s="1342" t="str">
        <f t="shared" si="11"/>
        <v>市政基础设施</v>
      </c>
      <c r="R37" s="700" t="s">
        <v>14</v>
      </c>
      <c r="S37" s="701">
        <f t="shared" si="12"/>
        <v>103</v>
      </c>
      <c r="T37" s="700" t="s">
        <v>14</v>
      </c>
      <c r="U37" s="701">
        <f t="shared" si="13"/>
        <v>103</v>
      </c>
      <c r="V37" s="700" t="s">
        <v>14</v>
      </c>
      <c r="W37" s="701">
        <f t="shared" si="14"/>
        <v>103</v>
      </c>
      <c r="X37" s="702"/>
      <c r="Y37" s="3785"/>
      <c r="Z37" s="52" t="str">
        <f t="shared" si="15"/>
        <v>市政基础设施</v>
      </c>
      <c r="AA37" s="703">
        <f t="shared" si="3"/>
        <v>0.970873786407767</v>
      </c>
      <c r="AB37" s="703">
        <f t="shared" si="4"/>
        <v>0.970873786407767</v>
      </c>
      <c r="AC37" s="703">
        <f t="shared" si="5"/>
        <v>0.970873786407767</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83" t="s">
        <v>1695</v>
      </c>
      <c r="Q38" s="1351" t="str">
        <f t="shared" si="11"/>
        <v>业态</v>
      </c>
      <c r="R38" s="704" t="s">
        <v>14</v>
      </c>
      <c r="S38" s="705">
        <f t="shared" si="12"/>
        <v>100</v>
      </c>
      <c r="T38" s="704" t="s">
        <v>14</v>
      </c>
      <c r="U38" s="705">
        <f t="shared" si="13"/>
        <v>100</v>
      </c>
      <c r="V38" s="704" t="s">
        <v>14</v>
      </c>
      <c r="W38" s="705">
        <f t="shared" si="14"/>
        <v>100</v>
      </c>
      <c r="X38" s="1354"/>
      <c r="Y38" s="3785" t="s">
        <v>1695</v>
      </c>
      <c r="Z38" s="1355" t="str">
        <f t="shared" si="15"/>
        <v>业态</v>
      </c>
      <c r="AA38" s="1352">
        <f t="shared" si="3"/>
        <v>1</v>
      </c>
      <c r="AB38" s="1352">
        <f t="shared" si="4"/>
        <v>1</v>
      </c>
      <c r="AC38" s="1352">
        <f t="shared" si="5"/>
        <v>1</v>
      </c>
    </row>
    <row r="39" spans="1:29" ht="15">
      <c r="A39" s="422"/>
      <c r="B39" s="374" t="s">
        <v>1788</v>
      </c>
      <c r="C39" s="1905" t="s">
        <v>5198</v>
      </c>
      <c r="D39" s="385">
        <v>100</v>
      </c>
      <c r="E39" s="1905" t="s">
        <v>5198</v>
      </c>
      <c r="F39" s="411">
        <f>SUMIF(116:116,E39,117:117)-SUMIF(116:116,C39,117:117)+100</f>
        <v>100</v>
      </c>
      <c r="G39" s="1905" t="s">
        <v>5198</v>
      </c>
      <c r="H39" s="385">
        <f>SUMIF(116:116,G39,117:117)-SUMIF(116:116,C39,117:117)+100</f>
        <v>100</v>
      </c>
      <c r="I39" s="1905" t="s">
        <v>5198</v>
      </c>
      <c r="J39" s="385">
        <f>SUMIF(116:116,I39,117:117)-SUMIF(116:116,C39,117:117)+100</f>
        <v>100</v>
      </c>
      <c r="K39" s="560">
        <v>3</v>
      </c>
      <c r="L39" s="2721"/>
      <c r="M39" s="2715"/>
      <c r="N39" s="2715"/>
      <c r="O39" s="2715"/>
      <c r="P39" s="3783"/>
      <c r="Q39" s="1351" t="str">
        <f t="shared" si="11"/>
        <v>层高</v>
      </c>
      <c r="R39" s="704" t="s">
        <v>14</v>
      </c>
      <c r="S39" s="705">
        <f t="shared" si="12"/>
        <v>100</v>
      </c>
      <c r="T39" s="704" t="s">
        <v>14</v>
      </c>
      <c r="U39" s="705">
        <f t="shared" si="13"/>
        <v>100</v>
      </c>
      <c r="V39" s="704" t="s">
        <v>14</v>
      </c>
      <c r="W39" s="705">
        <f t="shared" si="14"/>
        <v>100</v>
      </c>
      <c r="X39" s="1354"/>
      <c r="Y39" s="3785"/>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83"/>
      <c r="Q40" s="1351" t="str">
        <f t="shared" si="11"/>
        <v>单套建筑面积</v>
      </c>
      <c r="R40" s="704" t="s">
        <v>14</v>
      </c>
      <c r="S40" s="705">
        <f t="shared" si="12"/>
        <v>100</v>
      </c>
      <c r="T40" s="704" t="s">
        <v>14</v>
      </c>
      <c r="U40" s="705">
        <f t="shared" si="13"/>
        <v>100</v>
      </c>
      <c r="V40" s="704" t="s">
        <v>14</v>
      </c>
      <c r="W40" s="705">
        <f t="shared" si="14"/>
        <v>100</v>
      </c>
      <c r="X40" s="1354"/>
      <c r="Y40" s="3785"/>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83"/>
      <c r="Q41" s="706" t="str">
        <f t="shared" si="11"/>
        <v>进深比</v>
      </c>
      <c r="R41" s="707" t="s">
        <v>14</v>
      </c>
      <c r="S41" s="708">
        <f t="shared" si="12"/>
        <v>100</v>
      </c>
      <c r="T41" s="707" t="s">
        <v>14</v>
      </c>
      <c r="U41" s="708">
        <f t="shared" si="13"/>
        <v>100</v>
      </c>
      <c r="V41" s="707" t="s">
        <v>14</v>
      </c>
      <c r="W41" s="708">
        <f t="shared" si="14"/>
        <v>100</v>
      </c>
      <c r="X41" s="709"/>
      <c r="Y41" s="3785"/>
      <c r="Z41" s="710" t="str">
        <f t="shared" si="15"/>
        <v>进深比</v>
      </c>
      <c r="AA41" s="1352">
        <f t="shared" si="3"/>
        <v>1</v>
      </c>
      <c r="AB41" s="1352">
        <f t="shared" si="4"/>
        <v>1</v>
      </c>
      <c r="AC41" s="1352">
        <f t="shared" si="5"/>
        <v>1</v>
      </c>
    </row>
    <row r="42" spans="1:29" ht="15">
      <c r="A42" s="422"/>
      <c r="B42" s="374" t="s">
        <v>1791</v>
      </c>
      <c r="C42" s="1905" t="s">
        <v>5166</v>
      </c>
      <c r="D42" s="385">
        <v>100</v>
      </c>
      <c r="E42" s="1905" t="s">
        <v>5166</v>
      </c>
      <c r="F42" s="411">
        <f>SUMIF(122:122,E42,123:123)-SUMIF(122:122,C42,123:123)+100</f>
        <v>100</v>
      </c>
      <c r="G42" s="1905" t="s">
        <v>5166</v>
      </c>
      <c r="H42" s="385">
        <f>SUMIF(122:122,G42,123:123)-SUMIF(122:122,C42,123:123)+100</f>
        <v>100</v>
      </c>
      <c r="I42" s="1905" t="s">
        <v>5166</v>
      </c>
      <c r="J42" s="385">
        <f>SUMIF(122:122,I42,123:123)-SUMIF(122:122,C42,123:123)+100</f>
        <v>100</v>
      </c>
      <c r="K42" s="560">
        <v>2</v>
      </c>
      <c r="L42" s="2721"/>
      <c r="M42" s="2715"/>
      <c r="N42" s="2715"/>
      <c r="O42" s="2715"/>
      <c r="P42" s="3783"/>
      <c r="Q42" s="1351" t="str">
        <f t="shared" si="11"/>
        <v>内部装修</v>
      </c>
      <c r="R42" s="704" t="s">
        <v>14</v>
      </c>
      <c r="S42" s="705">
        <f t="shared" si="12"/>
        <v>100</v>
      </c>
      <c r="T42" s="704" t="s">
        <v>14</v>
      </c>
      <c r="U42" s="705">
        <f t="shared" si="13"/>
        <v>100</v>
      </c>
      <c r="V42" s="704" t="s">
        <v>14</v>
      </c>
      <c r="W42" s="705">
        <f t="shared" si="14"/>
        <v>100</v>
      </c>
      <c r="X42" s="1354"/>
      <c r="Y42" s="3785"/>
      <c r="Z42" s="1355" t="str">
        <f t="shared" si="15"/>
        <v>内部装修</v>
      </c>
      <c r="AA42" s="1352">
        <f t="shared" si="3"/>
        <v>1</v>
      </c>
      <c r="AB42" s="1352">
        <f t="shared" si="4"/>
        <v>1</v>
      </c>
      <c r="AC42" s="1352">
        <f t="shared" si="5"/>
        <v>1</v>
      </c>
    </row>
    <row r="43" spans="1:29" ht="15">
      <c r="A43" s="422"/>
      <c r="B43" s="374" t="s">
        <v>1706</v>
      </c>
      <c r="C43" s="1905" t="s">
        <v>5156</v>
      </c>
      <c r="D43" s="385">
        <v>100</v>
      </c>
      <c r="E43" s="1905" t="s">
        <v>5156</v>
      </c>
      <c r="F43" s="411">
        <f>SUMIF(124:124,E43,125:125)-SUMIF(124:124,C43,125:125)+100</f>
        <v>100</v>
      </c>
      <c r="G43" s="1905" t="s">
        <v>5156</v>
      </c>
      <c r="H43" s="385">
        <f>SUMIF(124:124,G43,125:125)-SUMIF(124:124,C43,125:125)+100</f>
        <v>100</v>
      </c>
      <c r="I43" s="1905" t="s">
        <v>5156</v>
      </c>
      <c r="J43" s="385">
        <f>SUMIF(124:124,I43,125:125)-SUMIF(124:124,C43,125:125)+100</f>
        <v>100</v>
      </c>
      <c r="K43" s="560"/>
      <c r="L43" s="2721"/>
      <c r="M43" s="2715"/>
      <c r="N43" s="2715"/>
      <c r="O43" s="2715"/>
      <c r="P43" s="3783"/>
      <c r="Q43" s="1351" t="str">
        <f t="shared" si="11"/>
        <v>内部装修维护情况</v>
      </c>
      <c r="R43" s="704" t="s">
        <v>14</v>
      </c>
      <c r="S43" s="705">
        <f t="shared" si="12"/>
        <v>100</v>
      </c>
      <c r="T43" s="704" t="s">
        <v>14</v>
      </c>
      <c r="U43" s="705">
        <f t="shared" si="13"/>
        <v>100</v>
      </c>
      <c r="V43" s="704" t="s">
        <v>14</v>
      </c>
      <c r="W43" s="705">
        <f t="shared" si="14"/>
        <v>100</v>
      </c>
      <c r="X43" s="1354"/>
      <c r="Y43" s="3785"/>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83"/>
      <c r="Q44" s="1342">
        <f t="shared" si="11"/>
        <v>111</v>
      </c>
      <c r="R44" s="700" t="s">
        <v>14</v>
      </c>
      <c r="S44" s="701">
        <f t="shared" si="12"/>
        <v>100</v>
      </c>
      <c r="T44" s="700" t="s">
        <v>14</v>
      </c>
      <c r="U44" s="701">
        <f t="shared" si="13"/>
        <v>100</v>
      </c>
      <c r="V44" s="700" t="s">
        <v>14</v>
      </c>
      <c r="W44" s="701">
        <f t="shared" si="14"/>
        <v>100</v>
      </c>
      <c r="X44" s="702"/>
      <c r="Y44" s="3785"/>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83"/>
      <c r="Q45" s="1351">
        <f t="shared" si="11"/>
        <v>111</v>
      </c>
      <c r="R45" s="704" t="s">
        <v>14</v>
      </c>
      <c r="S45" s="705">
        <f t="shared" si="12"/>
        <v>100</v>
      </c>
      <c r="T45" s="704" t="s">
        <v>14</v>
      </c>
      <c r="U45" s="705">
        <f t="shared" si="13"/>
        <v>100</v>
      </c>
      <c r="V45" s="704" t="s">
        <v>14</v>
      </c>
      <c r="W45" s="705">
        <f t="shared" si="14"/>
        <v>100</v>
      </c>
      <c r="X45" s="1354"/>
      <c r="Y45" s="3785"/>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84"/>
      <c r="Q46" s="1351">
        <f t="shared" si="11"/>
        <v>111</v>
      </c>
      <c r="R46" s="704" t="s">
        <v>14</v>
      </c>
      <c r="S46" s="705">
        <f t="shared" si="12"/>
        <v>100</v>
      </c>
      <c r="T46" s="704" t="s">
        <v>14</v>
      </c>
      <c r="U46" s="705">
        <f t="shared" si="13"/>
        <v>100</v>
      </c>
      <c r="V46" s="704" t="s">
        <v>14</v>
      </c>
      <c r="W46" s="705">
        <f t="shared" si="14"/>
        <v>100</v>
      </c>
      <c r="X46" s="1354"/>
      <c r="Y46" s="3786"/>
      <c r="Z46" s="1355">
        <f t="shared" si="15"/>
        <v>111</v>
      </c>
      <c r="AA46" s="1352">
        <f t="shared" si="3"/>
        <v>1</v>
      </c>
      <c r="AB46" s="1352">
        <f t="shared" si="4"/>
        <v>1</v>
      </c>
      <c r="AC46" s="1352">
        <f t="shared" si="5"/>
        <v>1</v>
      </c>
    </row>
    <row r="47" spans="1:29" ht="15">
      <c r="A47" s="429" t="s">
        <v>1707</v>
      </c>
      <c r="B47" s="430"/>
      <c r="C47" s="1153" t="s">
        <v>0</v>
      </c>
      <c r="D47" s="1154"/>
      <c r="E47" s="1155">
        <f>'2019年'!I22*10000</f>
        <v>48300</v>
      </c>
      <c r="F47" s="1156"/>
      <c r="G47" s="1157">
        <v>40000</v>
      </c>
      <c r="H47" s="1158"/>
      <c r="I47" s="1155">
        <f>'2019年'!I20*10000</f>
        <v>59400.000000000007</v>
      </c>
      <c r="J47" s="1158"/>
      <c r="K47" s="713"/>
      <c r="L47" s="2723"/>
      <c r="M47" s="2724"/>
      <c r="N47" s="2715"/>
      <c r="O47" s="2724"/>
      <c r="P47" s="3787" t="str">
        <f>A47</f>
        <v>成交单价（元/平方米）</v>
      </c>
      <c r="Q47" s="3787"/>
      <c r="R47" s="3748">
        <f>E47</f>
        <v>48300</v>
      </c>
      <c r="S47" s="3748"/>
      <c r="T47" s="3748">
        <f>G47</f>
        <v>40000</v>
      </c>
      <c r="U47" s="3748"/>
      <c r="V47" s="3748">
        <f>I47</f>
        <v>59400.000000000007</v>
      </c>
      <c r="W47" s="3748"/>
      <c r="X47" s="689"/>
      <c r="Y47" s="711"/>
      <c r="Z47" s="689"/>
      <c r="AA47" s="689"/>
      <c r="AB47" s="689"/>
      <c r="AC47" s="689"/>
    </row>
    <row r="48" spans="1:29" ht="15.75" thickBot="1">
      <c r="A48" s="436" t="s">
        <v>1792</v>
      </c>
      <c r="B48" s="437"/>
      <c r="C48" s="1159">
        <f>R49</f>
        <v>47033</v>
      </c>
      <c r="D48" s="2316" t="s">
        <v>5207</v>
      </c>
      <c r="E48" s="1160">
        <f>R48</f>
        <v>48187</v>
      </c>
      <c r="F48" s="2317">
        <v>0.3</v>
      </c>
      <c r="G48" s="1159">
        <f>T48</f>
        <v>40709</v>
      </c>
      <c r="H48" s="2317">
        <v>0.4</v>
      </c>
      <c r="I48" s="1160">
        <f>V48</f>
        <v>54311</v>
      </c>
      <c r="J48" s="2317">
        <v>0.3</v>
      </c>
      <c r="K48" s="2319">
        <f>F48+H48+J48</f>
        <v>1</v>
      </c>
      <c r="L48" s="2723"/>
      <c r="M48" s="2724"/>
      <c r="N48" s="2715"/>
      <c r="O48" s="2724"/>
      <c r="P48" s="3787" t="str">
        <f>A48</f>
        <v>比较价值（元/平方米）</v>
      </c>
      <c r="Q48" s="3787"/>
      <c r="R48" s="3788">
        <f>IF(F1="售价",ROUND(PRODUCT(R47,AA7:AA46),0),ROUND(PRODUCT(R47,AA7:AA46),1))</f>
        <v>48187</v>
      </c>
      <c r="S48" s="3788"/>
      <c r="T48" s="3788">
        <f>IF(F1="售价",ROUND(PRODUCT(T47,AB7:AB46),0),ROUND(PRODUCT(T47,AB7:AB46),1))</f>
        <v>40709</v>
      </c>
      <c r="U48" s="3788"/>
      <c r="V48" s="3788">
        <f>IF(F1="售价",ROUND(PRODUCT(V47,AC7:AC46),0),ROUND(PRODUCT(V47,AC7:AC46),1))</f>
        <v>54311</v>
      </c>
      <c r="W48" s="3788"/>
      <c r="X48" s="689"/>
      <c r="Y48" s="689"/>
      <c r="Z48" s="689"/>
      <c r="AA48" s="689"/>
      <c r="AB48" s="689"/>
      <c r="AC48" s="689"/>
    </row>
    <row r="49" spans="1:51" ht="15.75" thickBot="1">
      <c r="A49" s="440" t="s">
        <v>1793</v>
      </c>
      <c r="B49" s="441"/>
      <c r="C49" s="1162">
        <f>R49</f>
        <v>47033</v>
      </c>
      <c r="D49" s="1162"/>
      <c r="E49" s="1162"/>
      <c r="F49" s="1162"/>
      <c r="G49" s="1162"/>
      <c r="H49" s="1162"/>
      <c r="I49" s="1162"/>
      <c r="J49" s="1162"/>
      <c r="K49" s="714"/>
      <c r="L49" s="2723"/>
      <c r="M49" s="2724"/>
      <c r="N49" s="2715"/>
      <c r="O49" s="2724"/>
      <c r="P49" s="3789" t="str">
        <f>A49</f>
        <v>估价对象XX用房的比较价值（楼面单价，元/平方米）</v>
      </c>
      <c r="Q49" s="3790"/>
      <c r="R49" s="3791">
        <f>IF(F1="售价",ROUND(IF(D48="简单平均",AVERAGE(R48:V48),R48*F48+T48*H48+V48*J48),0),ROUND(IF(D48="简单平均",AVERAGE(R48:V48),R48*F48+T48*H48+V48*J48),1))</f>
        <v>47033</v>
      </c>
      <c r="S49" s="3791"/>
      <c r="T49" s="3791"/>
      <c r="U49" s="3791"/>
      <c r="V49" s="3791"/>
      <c r="W49" s="3791"/>
      <c r="X49" s="689"/>
      <c r="Y49" s="689"/>
      <c r="Z49" s="689"/>
      <c r="AA49" s="689"/>
      <c r="AB49" s="689"/>
      <c r="AC49" s="689"/>
    </row>
    <row r="50" spans="1:51">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51">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51" ht="13.5" customHeight="1">
      <c r="A52" s="2724"/>
      <c r="B52" s="2724"/>
      <c r="C52" s="445" t="s">
        <v>1794</v>
      </c>
      <c r="D52" s="446"/>
      <c r="E52" s="447">
        <f>IF(E47&lt;E48,E48/E47-1,E47/E48-1)</f>
        <v>2.3450308174404189E-3</v>
      </c>
      <c r="F52" s="448" t="str">
        <f>IF(OR(E52&gt;=0.3,E52&lt;=-0.3),"超过30%","")</f>
        <v/>
      </c>
      <c r="G52" s="447">
        <f>IF(G47&lt;G48,G48/G47-1,G47/G48-1)</f>
        <v>1.7724999999999991E-2</v>
      </c>
      <c r="H52" s="448" t="str">
        <f>IF(OR(G52&gt;=0.3,G52&lt;=-0.3),"超过30%","")</f>
        <v/>
      </c>
      <c r="I52" s="447">
        <f>IF(I47&lt;I48,I48/I47-1,I47/I48-1)</f>
        <v>9.3701091859844432E-2</v>
      </c>
      <c r="J52" s="448"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51" ht="13.5" customHeight="1">
      <c r="A53" s="2724"/>
      <c r="B53" s="2724"/>
      <c r="C53" s="445" t="s">
        <v>1795</v>
      </c>
      <c r="D53" s="449"/>
      <c r="E53" s="447">
        <f>IF(E48&lt;G48,G48/E48-1,E48/G48-1)</f>
        <v>0.18369402343462138</v>
      </c>
      <c r="F53" s="448" t="str">
        <f>IF(OR(E53&gt;=0.2,E53&lt;=-0.2),"超过20%","")</f>
        <v/>
      </c>
      <c r="G53" s="447">
        <f>IF(G48&lt;I48,I48/G48-1,G48/I48-1)</f>
        <v>0.33412758849394475</v>
      </c>
      <c r="H53" s="448" t="str">
        <f>IF(OR(G53&gt;=0.2,G53&lt;=-0.2),"超过20%","")</f>
        <v>超过20%</v>
      </c>
      <c r="I53" s="447">
        <f>IF(I48&lt;E48,E48/I48-1,I48/E48-1)</f>
        <v>0.12708821881420307</v>
      </c>
      <c r="J53" s="448"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51" s="450" customFormat="1" ht="13.5" customHeight="1">
      <c r="A54" s="2727"/>
      <c r="B54" s="2727"/>
      <c r="C54" s="445" t="s">
        <v>1796</v>
      </c>
      <c r="D54" s="449"/>
      <c r="E54" s="447">
        <f>IF(E47&lt;G47,G47/E47-1,E47/G47-1)</f>
        <v>0.20750000000000002</v>
      </c>
      <c r="F54" s="448" t="str">
        <f>IF(OR(E54&gt;=0.3,E54&lt;=-0.3),"超过30%","")</f>
        <v/>
      </c>
      <c r="G54" s="447">
        <f>IF(G47&lt;I47,I47/G47-1,G47/I47-1)</f>
        <v>0.4850000000000001</v>
      </c>
      <c r="H54" s="448" t="str">
        <f>IF(OR(G54&gt;=0.3,G54&lt;=-0.3),"超过30%","")</f>
        <v>超过30%</v>
      </c>
      <c r="I54" s="447">
        <f>IF(I47&lt;E47,E47/I47-1,I47/E47-1)</f>
        <v>0.22981366459627339</v>
      </c>
      <c r="J54" s="448"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51"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51">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51" ht="21.75" thickBot="1">
      <c r="A57" s="693" t="s">
        <v>1797</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51" s="456" customFormat="1" ht="15">
      <c r="A58" s="453" t="s">
        <v>1678</v>
      </c>
      <c r="B58" s="454"/>
      <c r="C58" s="1183" t="str">
        <f>YEAR(C7)&amp;"-"&amp;MONTH(C7)</f>
        <v>2023-6</v>
      </c>
      <c r="D58" s="1184">
        <f>EDATE(C58,-1)</f>
        <v>45047</v>
      </c>
      <c r="E58" s="1184">
        <f t="shared" ref="E58:N58" si="16">EDATE(D58,-1)</f>
        <v>45017</v>
      </c>
      <c r="F58" s="1184">
        <f t="shared" si="16"/>
        <v>44986</v>
      </c>
      <c r="G58" s="1184">
        <f t="shared" si="16"/>
        <v>44958</v>
      </c>
      <c r="H58" s="1184">
        <f t="shared" si="16"/>
        <v>44927</v>
      </c>
      <c r="I58" s="1184">
        <f t="shared" si="16"/>
        <v>44896</v>
      </c>
      <c r="J58" s="1184">
        <f t="shared" si="16"/>
        <v>44866</v>
      </c>
      <c r="K58" s="1184">
        <f t="shared" si="16"/>
        <v>44835</v>
      </c>
      <c r="L58" s="1184">
        <f t="shared" si="16"/>
        <v>44805</v>
      </c>
      <c r="M58" s="1184">
        <f t="shared" si="16"/>
        <v>44774</v>
      </c>
      <c r="N58" s="1184">
        <f t="shared" si="16"/>
        <v>44743</v>
      </c>
      <c r="O58" s="1184">
        <f>EDATE(N58,-1)</f>
        <v>44713</v>
      </c>
      <c r="P58" s="3540">
        <f t="shared" ref="P58:Q58" si="17">EDATE(O58,-1)</f>
        <v>44682</v>
      </c>
      <c r="Q58" s="3540">
        <f t="shared" si="17"/>
        <v>44652</v>
      </c>
      <c r="R58" s="3540">
        <f t="shared" ref="R58:S58" si="18">EDATE(Q58,-1)</f>
        <v>44621</v>
      </c>
      <c r="S58" s="3540">
        <f t="shared" si="18"/>
        <v>44593</v>
      </c>
      <c r="T58" s="3540">
        <f t="shared" ref="T58:U58" si="19">EDATE(S58,-1)</f>
        <v>44562</v>
      </c>
      <c r="U58" s="3540">
        <f t="shared" si="19"/>
        <v>44531</v>
      </c>
      <c r="V58" s="3540">
        <f t="shared" ref="V58:W58" si="20">EDATE(U58,-1)</f>
        <v>44501</v>
      </c>
      <c r="W58" s="3540">
        <f t="shared" si="20"/>
        <v>44470</v>
      </c>
      <c r="X58" s="3540">
        <f t="shared" ref="X58:Y58" si="21">EDATE(W58,-1)</f>
        <v>44440</v>
      </c>
      <c r="Y58" s="3540">
        <f t="shared" si="21"/>
        <v>44409</v>
      </c>
      <c r="Z58" s="3540">
        <f t="shared" ref="Z58:AA58" si="22">EDATE(Y58,-1)</f>
        <v>44378</v>
      </c>
      <c r="AA58" s="3540">
        <f t="shared" si="22"/>
        <v>44348</v>
      </c>
      <c r="AB58" s="3540">
        <f t="shared" ref="AB58" si="23">EDATE(AA58,-1)</f>
        <v>44317</v>
      </c>
      <c r="AC58" s="3540">
        <f t="shared" ref="AC58:AD58" si="24">EDATE(AB58,-1)</f>
        <v>44287</v>
      </c>
      <c r="AD58" s="3540">
        <f t="shared" si="24"/>
        <v>44256</v>
      </c>
      <c r="AE58" s="3540">
        <f t="shared" ref="AE58" si="25">EDATE(AD58,-1)</f>
        <v>44228</v>
      </c>
      <c r="AF58" s="3540">
        <f t="shared" ref="AF58" si="26">EDATE(AE58,-1)</f>
        <v>44197</v>
      </c>
      <c r="AG58" s="3540">
        <f t="shared" ref="AG58" si="27">EDATE(AF58,-1)</f>
        <v>44166</v>
      </c>
      <c r="AH58" s="3540">
        <f t="shared" ref="AH58" si="28">EDATE(AG58,-1)</f>
        <v>44136</v>
      </c>
      <c r="AI58" s="3540">
        <f t="shared" ref="AI58" si="29">EDATE(AH58,-1)</f>
        <v>44105</v>
      </c>
      <c r="AJ58" s="3540">
        <f t="shared" ref="AJ58" si="30">EDATE(AI58,-1)</f>
        <v>44075</v>
      </c>
      <c r="AK58" s="3540">
        <f t="shared" ref="AK58" si="31">EDATE(AJ58,-1)</f>
        <v>44044</v>
      </c>
      <c r="AL58" s="3540">
        <f t="shared" ref="AL58" si="32">EDATE(AK58,-1)</f>
        <v>44013</v>
      </c>
      <c r="AM58" s="3540">
        <f t="shared" ref="AM58" si="33">EDATE(AL58,-1)</f>
        <v>43983</v>
      </c>
      <c r="AN58" s="3540">
        <f t="shared" ref="AN58" si="34">EDATE(AM58,-1)</f>
        <v>43952</v>
      </c>
      <c r="AO58" s="3540">
        <f t="shared" ref="AO58" si="35">EDATE(AN58,-1)</f>
        <v>43922</v>
      </c>
      <c r="AP58" s="3540">
        <f t="shared" ref="AP58" si="36">EDATE(AO58,-1)</f>
        <v>43891</v>
      </c>
      <c r="AQ58" s="3540">
        <f t="shared" ref="AQ58" si="37">EDATE(AP58,-1)</f>
        <v>43862</v>
      </c>
      <c r="AR58" s="3540">
        <f t="shared" ref="AR58:AS58" si="38">EDATE(AQ58,-1)</f>
        <v>43831</v>
      </c>
      <c r="AS58" s="3540">
        <f t="shared" si="38"/>
        <v>43800</v>
      </c>
      <c r="AT58" s="3540">
        <f t="shared" ref="AT58" si="39">EDATE(AS58,-1)</f>
        <v>43770</v>
      </c>
      <c r="AU58" s="3540">
        <f t="shared" ref="AU58" si="40">EDATE(AT58,-1)</f>
        <v>43739</v>
      </c>
      <c r="AV58" s="3540">
        <f t="shared" ref="AV58" si="41">EDATE(AU58,-1)</f>
        <v>43709</v>
      </c>
      <c r="AW58" s="3540">
        <f t="shared" ref="AW58" si="42">EDATE(AV58,-1)</f>
        <v>43678</v>
      </c>
      <c r="AX58" s="3540">
        <f t="shared" ref="AX58" si="43">EDATE(AW58,-1)</f>
        <v>43647</v>
      </c>
      <c r="AY58" s="3540">
        <f t="shared" ref="AY58" si="44">EDATE(AX58,-1)</f>
        <v>43617</v>
      </c>
    </row>
    <row r="59" spans="1:51" s="107" customFormat="1" ht="15">
      <c r="A59" s="457"/>
      <c r="B59" s="458"/>
      <c r="C59" s="1182">
        <v>100</v>
      </c>
      <c r="D59" s="460">
        <v>100</v>
      </c>
      <c r="E59" s="460">
        <v>100</v>
      </c>
      <c r="F59" s="460">
        <v>100</v>
      </c>
      <c r="G59" s="460">
        <v>100</v>
      </c>
      <c r="H59" s="460">
        <v>100</v>
      </c>
      <c r="I59" s="460">
        <v>100</v>
      </c>
      <c r="J59" s="460">
        <v>100</v>
      </c>
      <c r="K59" s="460">
        <v>100</v>
      </c>
      <c r="L59" s="460">
        <v>100</v>
      </c>
      <c r="M59" s="460">
        <v>100</v>
      </c>
      <c r="N59" s="460">
        <v>100</v>
      </c>
      <c r="O59" s="460">
        <v>100</v>
      </c>
      <c r="P59" s="460">
        <v>100</v>
      </c>
      <c r="Q59" s="460">
        <v>100</v>
      </c>
      <c r="R59" s="460">
        <v>100</v>
      </c>
      <c r="S59" s="460">
        <v>100</v>
      </c>
      <c r="T59" s="460">
        <v>100</v>
      </c>
      <c r="U59" s="460">
        <v>100</v>
      </c>
      <c r="V59" s="460">
        <v>100</v>
      </c>
      <c r="W59" s="460">
        <v>100</v>
      </c>
      <c r="X59" s="460">
        <v>100</v>
      </c>
      <c r="Y59" s="460">
        <v>100</v>
      </c>
      <c r="Z59" s="460">
        <v>100</v>
      </c>
      <c r="AA59" s="460">
        <v>100</v>
      </c>
      <c r="AB59" s="460">
        <v>100</v>
      </c>
      <c r="AC59" s="460">
        <v>100</v>
      </c>
      <c r="AD59" s="460">
        <v>100</v>
      </c>
      <c r="AE59" s="460">
        <v>100</v>
      </c>
      <c r="AF59" s="460">
        <v>100</v>
      </c>
      <c r="AG59" s="460">
        <v>100</v>
      </c>
      <c r="AH59" s="460">
        <v>100</v>
      </c>
      <c r="AI59" s="460">
        <v>100</v>
      </c>
      <c r="AJ59" s="460">
        <v>100</v>
      </c>
      <c r="AK59" s="460">
        <v>100</v>
      </c>
      <c r="AL59" s="460">
        <v>100</v>
      </c>
      <c r="AM59" s="460">
        <v>100</v>
      </c>
      <c r="AN59" s="460">
        <v>100</v>
      </c>
      <c r="AO59" s="460">
        <v>100</v>
      </c>
      <c r="AP59" s="460">
        <v>100</v>
      </c>
      <c r="AQ59" s="460">
        <v>100</v>
      </c>
      <c r="AR59" s="460">
        <v>100</v>
      </c>
      <c r="AS59" s="460">
        <v>100</v>
      </c>
      <c r="AT59" s="460">
        <v>100</v>
      </c>
      <c r="AU59" s="460">
        <v>100</v>
      </c>
      <c r="AV59" s="460">
        <v>100</v>
      </c>
      <c r="AW59" s="460">
        <v>100</v>
      </c>
      <c r="AX59" s="460">
        <v>100</v>
      </c>
      <c r="AY59" s="460">
        <v>100</v>
      </c>
    </row>
    <row r="60" spans="1:51" s="107" customFormat="1" ht="15.75" thickBot="1">
      <c r="A60" s="463" t="s">
        <v>1715</v>
      </c>
      <c r="B60" s="464"/>
      <c r="C60" s="465"/>
      <c r="D60" s="466"/>
      <c r="E60" s="466"/>
      <c r="F60" s="466"/>
      <c r="G60" s="466"/>
      <c r="H60" s="466"/>
      <c r="I60" s="466"/>
      <c r="J60" s="466"/>
      <c r="K60" s="466"/>
      <c r="L60" s="466"/>
      <c r="M60" s="467"/>
      <c r="N60" s="466"/>
      <c r="O60" s="467"/>
      <c r="P60" s="2740"/>
      <c r="Q60" s="2738"/>
      <c r="R60" s="2660"/>
      <c r="S60" s="2660"/>
      <c r="T60" s="2660"/>
      <c r="U60" s="2660"/>
      <c r="V60" s="2660"/>
      <c r="W60" s="2660"/>
      <c r="X60" s="2660"/>
      <c r="Y60" s="2660"/>
      <c r="Z60" s="2660"/>
      <c r="AA60" s="2660"/>
      <c r="AB60" s="2660"/>
      <c r="AC60" s="2660"/>
    </row>
    <row r="61" spans="1:51" s="107" customFormat="1" ht="15">
      <c r="A61" s="469" t="s">
        <v>1680</v>
      </c>
      <c r="B61" s="458"/>
      <c r="C61" s="470" t="s">
        <v>1775</v>
      </c>
      <c r="D61" s="471"/>
      <c r="E61" s="471"/>
      <c r="F61" s="471"/>
      <c r="G61" s="471"/>
      <c r="H61" s="471"/>
      <c r="I61" s="471"/>
      <c r="J61" s="471"/>
      <c r="K61" s="471"/>
      <c r="L61" s="472"/>
      <c r="M61" s="473"/>
      <c r="N61" s="2750"/>
      <c r="O61" s="2750"/>
      <c r="P61" s="2741"/>
      <c r="Q61" s="2738"/>
      <c r="R61" s="2660"/>
      <c r="S61" s="2660"/>
      <c r="T61" s="2660"/>
      <c r="U61" s="2660"/>
      <c r="V61" s="2660"/>
      <c r="W61" s="2660"/>
      <c r="X61" s="2660"/>
      <c r="Y61" s="2660"/>
      <c r="Z61" s="2660"/>
      <c r="AA61" s="2660"/>
      <c r="AB61" s="2660"/>
      <c r="AC61" s="2660"/>
    </row>
    <row r="62" spans="1:51" s="107" customFormat="1" ht="15.75" thickBot="1">
      <c r="A62" s="469"/>
      <c r="B62" s="458"/>
      <c r="C62" s="459">
        <v>100</v>
      </c>
      <c r="D62" s="460"/>
      <c r="E62" s="460"/>
      <c r="F62" s="460"/>
      <c r="G62" s="460"/>
      <c r="H62" s="460"/>
      <c r="I62" s="460"/>
      <c r="J62" s="460"/>
      <c r="K62" s="460"/>
      <c r="L62" s="460"/>
      <c r="M62" s="462"/>
      <c r="N62" s="2750"/>
      <c r="O62" s="2750"/>
      <c r="P62" s="2740"/>
      <c r="Q62" s="2738"/>
      <c r="R62" s="2660"/>
      <c r="S62" s="2660"/>
      <c r="T62" s="2660"/>
      <c r="U62" s="2660"/>
      <c r="V62" s="2660"/>
      <c r="W62" s="2660"/>
      <c r="X62" s="2660"/>
      <c r="Y62" s="2660"/>
      <c r="Z62" s="2660"/>
      <c r="AA62" s="2660"/>
      <c r="AB62" s="2660"/>
      <c r="AC62" s="2660"/>
    </row>
    <row r="63" spans="1:51">
      <c r="A63" s="475" t="s">
        <v>1718</v>
      </c>
      <c r="B63" s="476" t="s">
        <v>1684</v>
      </c>
      <c r="C63" s="477" t="str">
        <f>C9</f>
        <v>商业</v>
      </c>
      <c r="D63" s="478"/>
      <c r="E63" s="478"/>
      <c r="F63" s="478"/>
      <c r="G63" s="478"/>
      <c r="H63" s="478"/>
      <c r="I63" s="478"/>
      <c r="J63" s="478"/>
      <c r="K63" s="479"/>
      <c r="L63" s="480"/>
      <c r="M63" s="481"/>
      <c r="N63" s="2751"/>
      <c r="O63" s="2751"/>
      <c r="P63" s="2742"/>
      <c r="Q63" s="2738"/>
      <c r="R63" s="2724"/>
      <c r="S63" s="2724"/>
      <c r="T63" s="2724"/>
      <c r="U63" s="2724"/>
      <c r="V63" s="2724"/>
      <c r="W63" s="2724"/>
      <c r="X63" s="2724"/>
      <c r="Y63" s="2724"/>
      <c r="Z63" s="2724"/>
      <c r="AA63" s="2724"/>
      <c r="AB63" s="2724"/>
      <c r="AC63" s="2724"/>
    </row>
    <row r="64" spans="1:51" ht="15.75" thickBot="1">
      <c r="A64" s="482"/>
      <c r="B64" s="483"/>
      <c r="C64" s="484">
        <v>100</v>
      </c>
      <c r="D64" s="484"/>
      <c r="E64" s="484"/>
      <c r="F64" s="484"/>
      <c r="G64" s="484"/>
      <c r="H64" s="484"/>
      <c r="I64" s="484"/>
      <c r="J64" s="484"/>
      <c r="K64" s="484"/>
      <c r="L64" s="484"/>
      <c r="M64" s="485"/>
      <c r="N64" s="2752"/>
      <c r="O64" s="2752"/>
      <c r="P64" s="2742"/>
      <c r="Q64" s="2738"/>
      <c r="R64" s="2724"/>
      <c r="S64" s="2724"/>
      <c r="T64" s="2724"/>
      <c r="U64" s="2724"/>
      <c r="V64" s="2724"/>
      <c r="W64" s="2724"/>
      <c r="X64" s="2724"/>
      <c r="Y64" s="2724"/>
      <c r="Z64" s="2724"/>
      <c r="AA64" s="2724"/>
      <c r="AB64" s="2724"/>
      <c r="AC64" s="2724"/>
    </row>
    <row r="65" spans="1:29" ht="27.75" thickTop="1">
      <c r="A65" s="482"/>
      <c r="B65" s="486" t="s">
        <v>1687</v>
      </c>
      <c r="C65" s="531" t="s">
        <v>5168</v>
      </c>
      <c r="D65" s="531" t="s">
        <v>5169</v>
      </c>
      <c r="E65" s="531" t="s">
        <v>5170</v>
      </c>
      <c r="F65" s="3557" t="s">
        <v>5171</v>
      </c>
      <c r="G65" s="531"/>
      <c r="H65" s="531"/>
      <c r="I65" s="531"/>
      <c r="J65" s="531"/>
      <c r="K65" s="532"/>
      <c r="L65" s="533"/>
      <c r="M65" s="534"/>
      <c r="N65" s="2751"/>
      <c r="O65" s="2751"/>
      <c r="P65" s="2742"/>
      <c r="Q65" s="2738"/>
      <c r="R65" s="2724"/>
      <c r="S65" s="2724"/>
      <c r="T65" s="2724"/>
      <c r="U65" s="2724"/>
      <c r="V65" s="2724"/>
      <c r="W65" s="2724"/>
      <c r="X65" s="2724"/>
      <c r="Y65" s="2724"/>
      <c r="Z65" s="2724"/>
      <c r="AA65" s="2724"/>
      <c r="AB65" s="2724"/>
      <c r="AC65" s="2724"/>
    </row>
    <row r="66" spans="1:29" ht="15.75" thickBot="1">
      <c r="A66" s="482"/>
      <c r="B66" s="491"/>
      <c r="C66" s="484">
        <v>100</v>
      </c>
      <c r="D66" s="484">
        <f>C66-2</f>
        <v>98</v>
      </c>
      <c r="E66" s="484">
        <f t="shared" ref="E66:F66" si="45">D66-2</f>
        <v>96</v>
      </c>
      <c r="F66" s="484">
        <f t="shared" si="45"/>
        <v>94</v>
      </c>
      <c r="G66" s="484"/>
      <c r="H66" s="484"/>
      <c r="I66" s="484"/>
      <c r="J66" s="484"/>
      <c r="K66" s="484"/>
      <c r="L66" s="484"/>
      <c r="M66" s="485"/>
      <c r="N66" s="2752"/>
      <c r="O66" s="2752"/>
      <c r="P66" s="2742"/>
      <c r="Q66" s="2738"/>
      <c r="R66" s="2724"/>
      <c r="S66" s="2724"/>
      <c r="T66" s="2724"/>
      <c r="U66" s="2724"/>
      <c r="V66" s="2724"/>
      <c r="W66" s="2724"/>
      <c r="X66" s="2724"/>
      <c r="Y66" s="2724"/>
      <c r="Z66" s="2724"/>
      <c r="AA66" s="2724"/>
      <c r="AB66" s="2724"/>
      <c r="AC66" s="2724"/>
    </row>
    <row r="67" spans="1:29" ht="29.25" thickTop="1">
      <c r="A67" s="482"/>
      <c r="B67" s="494" t="s">
        <v>1688</v>
      </c>
      <c r="C67" s="495" t="str">
        <f>C68&amp;"（含）"&amp;"-"&amp;D68</f>
        <v>0（含）-1</v>
      </c>
      <c r="D67" s="495" t="str">
        <f t="shared" ref="D67:L67" si="46">D68&amp;"（含）"&amp;"-"&amp;E68</f>
        <v>1（含）-1以上</v>
      </c>
      <c r="E67" s="495" t="str">
        <f t="shared" si="46"/>
        <v>1以上（含）-</v>
      </c>
      <c r="F67" s="495" t="str">
        <f t="shared" si="46"/>
        <v>（含）-</v>
      </c>
      <c r="G67" s="495" t="str">
        <f t="shared" si="46"/>
        <v>（含）-</v>
      </c>
      <c r="H67" s="495" t="str">
        <f t="shared" si="46"/>
        <v>（含）-</v>
      </c>
      <c r="I67" s="495" t="str">
        <f t="shared" si="46"/>
        <v>（含）-</v>
      </c>
      <c r="J67" s="495" t="str">
        <f t="shared" si="46"/>
        <v>（含）-</v>
      </c>
      <c r="K67" s="495" t="str">
        <f t="shared" si="46"/>
        <v>（含）-</v>
      </c>
      <c r="L67" s="495" t="str">
        <f t="shared" si="46"/>
        <v>（含）-</v>
      </c>
      <c r="M67" s="398" t="str">
        <f>M68&amp;"（含）"&amp;"-"&amp;P68</f>
        <v>（含）-</v>
      </c>
      <c r="N67" s="2752"/>
      <c r="O67" s="2752"/>
      <c r="P67" s="2742"/>
      <c r="Q67" s="2738"/>
      <c r="R67" s="2724"/>
      <c r="S67" s="2724"/>
      <c r="T67" s="2724"/>
      <c r="U67" s="2724"/>
      <c r="V67" s="2724"/>
      <c r="W67" s="2724"/>
      <c r="X67" s="2724"/>
      <c r="Y67" s="2724"/>
      <c r="Z67" s="2724"/>
      <c r="AA67" s="2724"/>
      <c r="AB67" s="2724"/>
      <c r="AC67" s="2724"/>
    </row>
    <row r="68" spans="1:29" ht="15">
      <c r="A68" s="482"/>
      <c r="B68" s="496"/>
      <c r="C68" s="497">
        <v>0</v>
      </c>
      <c r="D68" s="497">
        <v>1</v>
      </c>
      <c r="E68" s="497" t="s">
        <v>5159</v>
      </c>
      <c r="F68" s="497"/>
      <c r="G68" s="497"/>
      <c r="H68" s="497"/>
      <c r="I68" s="497"/>
      <c r="J68" s="497"/>
      <c r="K68" s="498"/>
      <c r="L68" s="499"/>
      <c r="M68" s="500"/>
      <c r="N68" s="2751"/>
      <c r="O68" s="2751"/>
      <c r="P68" s="2742"/>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47">C69-$K11</f>
        <v>98</v>
      </c>
      <c r="E69" s="492">
        <f t="shared" si="47"/>
        <v>96</v>
      </c>
      <c r="F69" s="492">
        <f t="shared" si="47"/>
        <v>94</v>
      </c>
      <c r="G69" s="492">
        <f t="shared" si="47"/>
        <v>92</v>
      </c>
      <c r="H69" s="492">
        <f t="shared" si="47"/>
        <v>90</v>
      </c>
      <c r="I69" s="492">
        <f t="shared" si="47"/>
        <v>88</v>
      </c>
      <c r="J69" s="492">
        <f t="shared" si="47"/>
        <v>86</v>
      </c>
      <c r="K69" s="492">
        <f t="shared" si="47"/>
        <v>84</v>
      </c>
      <c r="L69" s="492">
        <f t="shared" si="47"/>
        <v>82</v>
      </c>
      <c r="M69" s="493">
        <f t="shared" si="47"/>
        <v>80</v>
      </c>
      <c r="N69" s="2752"/>
      <c r="O69" s="2752"/>
      <c r="P69" s="2742"/>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3"/>
      <c r="O70" s="2753"/>
      <c r="P70" s="2743"/>
      <c r="Q70" s="2744"/>
      <c r="R70" s="2745"/>
      <c r="S70" s="2745"/>
      <c r="T70" s="2745"/>
      <c r="U70" s="2745"/>
      <c r="V70" s="2745"/>
      <c r="W70" s="2745"/>
      <c r="X70" s="2745"/>
      <c r="Y70" s="2745"/>
      <c r="Z70" s="2745"/>
      <c r="AA70" s="2745"/>
      <c r="AB70" s="2745"/>
      <c r="AC70" s="2745"/>
    </row>
    <row r="71" spans="1:29" s="421" customFormat="1" ht="15.75" thickBot="1">
      <c r="A71" s="501"/>
      <c r="B71" s="491"/>
      <c r="C71" s="508"/>
      <c r="D71" s="484"/>
      <c r="E71" s="484"/>
      <c r="F71" s="484"/>
      <c r="G71" s="484"/>
      <c r="H71" s="484"/>
      <c r="I71" s="484"/>
      <c r="J71" s="484"/>
      <c r="K71" s="484"/>
      <c r="L71" s="484"/>
      <c r="M71" s="485"/>
      <c r="N71" s="2752"/>
      <c r="O71" s="2752"/>
      <c r="P71" s="2743"/>
      <c r="Q71" s="2744"/>
      <c r="R71" s="2745"/>
      <c r="S71" s="2745"/>
      <c r="T71" s="2745"/>
      <c r="U71" s="2745"/>
      <c r="V71" s="2745"/>
      <c r="W71" s="2745"/>
      <c r="X71" s="2745"/>
      <c r="Y71" s="2745"/>
      <c r="Z71" s="2745"/>
      <c r="AA71" s="2745"/>
      <c r="AB71" s="2745"/>
      <c r="AC71" s="2745"/>
    </row>
    <row r="72" spans="1:29" s="421" customFormat="1" ht="15.75" thickTop="1">
      <c r="A72" s="501"/>
      <c r="B72" s="486">
        <f>B13</f>
        <v>111</v>
      </c>
      <c r="C72" s="502"/>
      <c r="D72" s="502"/>
      <c r="E72" s="502"/>
      <c r="F72" s="502"/>
      <c r="G72" s="502"/>
      <c r="H72" s="503"/>
      <c r="I72" s="503"/>
      <c r="J72" s="503"/>
      <c r="K72" s="503"/>
      <c r="L72" s="504"/>
      <c r="M72" s="505"/>
      <c r="N72" s="2753"/>
      <c r="O72" s="2753"/>
      <c r="P72" s="2746"/>
      <c r="Q72" s="2747"/>
      <c r="R72" s="2745"/>
      <c r="S72" s="2745"/>
      <c r="T72" s="2745"/>
      <c r="U72" s="2745"/>
      <c r="V72" s="2745"/>
      <c r="W72" s="2745"/>
      <c r="X72" s="2745"/>
      <c r="Y72" s="2745"/>
      <c r="Z72" s="2745"/>
      <c r="AA72" s="2745"/>
      <c r="AB72" s="2745"/>
      <c r="AC72" s="2745"/>
    </row>
    <row r="73" spans="1:29" s="421" customFormat="1" ht="15.75" thickBot="1">
      <c r="A73" s="501"/>
      <c r="B73" s="491"/>
      <c r="C73" s="508"/>
      <c r="D73" s="484"/>
      <c r="E73" s="484"/>
      <c r="F73" s="484"/>
      <c r="G73" s="508"/>
      <c r="H73" s="510"/>
      <c r="I73" s="510"/>
      <c r="J73" s="510"/>
      <c r="K73" s="510"/>
      <c r="L73" s="510"/>
      <c r="M73" s="511"/>
      <c r="N73" s="2753"/>
      <c r="O73" s="2753"/>
      <c r="P73" s="2743"/>
      <c r="Q73" s="2744"/>
      <c r="R73" s="2745"/>
      <c r="S73" s="2745"/>
      <c r="T73" s="2745"/>
      <c r="U73" s="2745"/>
      <c r="V73" s="2745"/>
      <c r="W73" s="2745"/>
      <c r="X73" s="2745"/>
      <c r="Y73" s="2745"/>
      <c r="Z73" s="2745"/>
      <c r="AA73" s="2745"/>
      <c r="AB73" s="2745"/>
      <c r="AC73" s="2745"/>
    </row>
    <row r="74" spans="1:29" s="421" customFormat="1" ht="15.75" thickTop="1">
      <c r="A74" s="501"/>
      <c r="B74" s="494">
        <f>B14</f>
        <v>111</v>
      </c>
      <c r="C74" s="502"/>
      <c r="D74" s="502"/>
      <c r="E74" s="502"/>
      <c r="F74" s="502"/>
      <c r="G74" s="471"/>
      <c r="H74" s="512"/>
      <c r="I74" s="512"/>
      <c r="J74" s="512"/>
      <c r="K74" s="512"/>
      <c r="L74" s="513"/>
      <c r="M74" s="514"/>
      <c r="N74" s="2753"/>
      <c r="O74" s="2753"/>
      <c r="P74" s="2748"/>
      <c r="Q74" s="2744"/>
      <c r="R74" s="2745"/>
      <c r="S74" s="2745"/>
      <c r="T74" s="2745"/>
      <c r="U74" s="2745"/>
      <c r="V74" s="2745"/>
      <c r="W74" s="2745"/>
      <c r="X74" s="2745"/>
      <c r="Y74" s="2745"/>
      <c r="Z74" s="2745"/>
      <c r="AA74" s="2745"/>
      <c r="AB74" s="2745"/>
      <c r="AC74" s="2745"/>
    </row>
    <row r="75" spans="1:29" s="421" customFormat="1" ht="15.75" thickBot="1">
      <c r="A75" s="516"/>
      <c r="B75" s="517"/>
      <c r="C75" s="518"/>
      <c r="D75" s="518"/>
      <c r="E75" s="518"/>
      <c r="F75" s="518"/>
      <c r="G75" s="518"/>
      <c r="H75" s="519"/>
      <c r="I75" s="519"/>
      <c r="J75" s="519"/>
      <c r="K75" s="519"/>
      <c r="L75" s="519"/>
      <c r="M75" s="520"/>
      <c r="N75" s="2753"/>
      <c r="O75" s="2753"/>
      <c r="P75" s="2743"/>
      <c r="Q75" s="2744"/>
      <c r="R75" s="2745"/>
      <c r="S75" s="2745"/>
      <c r="T75" s="2745"/>
      <c r="U75" s="2745"/>
      <c r="V75" s="2745"/>
      <c r="W75" s="2745"/>
      <c r="X75" s="2745"/>
      <c r="Y75" s="2745"/>
      <c r="Z75" s="2745"/>
      <c r="AA75" s="2745"/>
      <c r="AB75" s="2745"/>
      <c r="AC75" s="2745"/>
    </row>
    <row r="76" spans="1:29">
      <c r="A76" s="475" t="s">
        <v>1689</v>
      </c>
      <c r="B76" s="476" t="s">
        <v>1719</v>
      </c>
      <c r="C76" s="521" t="s">
        <v>1720</v>
      </c>
      <c r="D76" s="521" t="s">
        <v>1721</v>
      </c>
      <c r="E76" s="521" t="s">
        <v>1722</v>
      </c>
      <c r="F76" s="521" t="s">
        <v>1723</v>
      </c>
      <c r="G76" s="521" t="s">
        <v>1724</v>
      </c>
      <c r="H76" s="477"/>
      <c r="I76" s="477"/>
      <c r="J76" s="477"/>
      <c r="K76" s="522"/>
      <c r="L76" s="523"/>
      <c r="M76" s="524"/>
      <c r="N76" s="2751"/>
      <c r="O76" s="2751"/>
      <c r="P76" s="2749"/>
      <c r="Q76" s="2738"/>
      <c r="R76" s="2724"/>
      <c r="S76" s="2724"/>
      <c r="T76" s="2724"/>
      <c r="U76" s="2724"/>
      <c r="V76" s="2724"/>
      <c r="W76" s="2724"/>
      <c r="X76" s="2724"/>
      <c r="Y76" s="2724"/>
      <c r="Z76" s="2724"/>
      <c r="AA76" s="2724"/>
      <c r="AB76" s="2724"/>
      <c r="AC76" s="2724"/>
    </row>
    <row r="77" spans="1:29" ht="15.75" thickBot="1">
      <c r="A77" s="482"/>
      <c r="B77" s="491"/>
      <c r="C77" s="492">
        <v>100</v>
      </c>
      <c r="D77" s="492">
        <f>C77-$K15</f>
        <v>97</v>
      </c>
      <c r="E77" s="492">
        <f>D77-$K15</f>
        <v>94</v>
      </c>
      <c r="F77" s="492">
        <f>E77-$K15</f>
        <v>91</v>
      </c>
      <c r="G77" s="492">
        <f>F77-$K15</f>
        <v>88</v>
      </c>
      <c r="H77" s="492"/>
      <c r="I77" s="492"/>
      <c r="J77" s="492"/>
      <c r="K77" s="492"/>
      <c r="L77" s="492"/>
      <c r="M77" s="493"/>
      <c r="N77" s="2752"/>
      <c r="O77" s="2752"/>
      <c r="P77" s="2742"/>
      <c r="Q77" s="2738"/>
      <c r="R77" s="2724"/>
      <c r="S77" s="2724"/>
      <c r="T77" s="2724"/>
      <c r="U77" s="2724"/>
      <c r="V77" s="2724"/>
      <c r="W77" s="2724"/>
      <c r="X77" s="2724"/>
      <c r="Y77" s="2724"/>
      <c r="Z77" s="2724"/>
      <c r="AA77" s="2724"/>
      <c r="AB77" s="2724"/>
      <c r="AC77" s="2724"/>
    </row>
    <row r="78" spans="1:29" ht="15.75" thickTop="1">
      <c r="A78" s="482"/>
      <c r="B78" s="486" t="s">
        <v>1725</v>
      </c>
      <c r="C78" s="526" t="s">
        <v>1720</v>
      </c>
      <c r="D78" s="526" t="s">
        <v>1721</v>
      </c>
      <c r="E78" s="526" t="s">
        <v>1722</v>
      </c>
      <c r="F78" s="526" t="s">
        <v>1723</v>
      </c>
      <c r="G78" s="526" t="s">
        <v>1724</v>
      </c>
      <c r="H78" s="487"/>
      <c r="I78" s="487"/>
      <c r="J78" s="487"/>
      <c r="K78" s="488"/>
      <c r="L78" s="489"/>
      <c r="M78" s="490"/>
      <c r="N78" s="2751"/>
      <c r="O78" s="2751"/>
      <c r="P78" s="2742"/>
      <c r="Q78" s="2738"/>
      <c r="R78" s="2724"/>
      <c r="S78" s="2724"/>
      <c r="T78" s="2724"/>
      <c r="U78" s="2724"/>
      <c r="V78" s="2724"/>
      <c r="W78" s="2724"/>
      <c r="X78" s="2724"/>
      <c r="Y78" s="2724"/>
      <c r="Z78" s="2724"/>
      <c r="AA78" s="2724"/>
      <c r="AB78" s="2724"/>
      <c r="AC78" s="2724"/>
    </row>
    <row r="79" spans="1:29" ht="15.75" thickBot="1">
      <c r="A79" s="482"/>
      <c r="B79" s="491"/>
      <c r="C79" s="492">
        <v>100</v>
      </c>
      <c r="D79" s="492">
        <f>C79-$K17</f>
        <v>95</v>
      </c>
      <c r="E79" s="492">
        <f>D79-$K17</f>
        <v>90</v>
      </c>
      <c r="F79" s="492">
        <f>E79-$K17</f>
        <v>85</v>
      </c>
      <c r="G79" s="492">
        <f>F79-$K17</f>
        <v>80</v>
      </c>
      <c r="H79" s="492"/>
      <c r="I79" s="492"/>
      <c r="J79" s="492"/>
      <c r="K79" s="492"/>
      <c r="L79" s="492"/>
      <c r="M79" s="493"/>
      <c r="N79" s="2752"/>
      <c r="O79" s="2752"/>
      <c r="P79" s="2742"/>
      <c r="Q79" s="2738"/>
      <c r="R79" s="2724"/>
      <c r="S79" s="2724"/>
      <c r="T79" s="2724"/>
      <c r="U79" s="2724"/>
      <c r="V79" s="2724"/>
      <c r="W79" s="2724"/>
      <c r="X79" s="2724"/>
      <c r="Y79" s="2724"/>
      <c r="Z79" s="2724"/>
      <c r="AA79" s="2724"/>
      <c r="AB79" s="2724"/>
      <c r="AC79" s="2724"/>
    </row>
    <row r="80" spans="1:29" ht="15.75" thickTop="1">
      <c r="A80" s="482"/>
      <c r="B80" s="486" t="s">
        <v>1726</v>
      </c>
      <c r="C80" s="526" t="s">
        <v>1720</v>
      </c>
      <c r="D80" s="526" t="s">
        <v>1721</v>
      </c>
      <c r="E80" s="526" t="s">
        <v>1722</v>
      </c>
      <c r="F80" s="526" t="s">
        <v>1723</v>
      </c>
      <c r="G80" s="526" t="s">
        <v>1724</v>
      </c>
      <c r="H80" s="487"/>
      <c r="I80" s="487"/>
      <c r="J80" s="487"/>
      <c r="K80" s="488"/>
      <c r="L80" s="489"/>
      <c r="M80" s="490"/>
      <c r="N80" s="2751"/>
      <c r="O80" s="2751"/>
      <c r="P80" s="2742"/>
      <c r="Q80" s="2738"/>
      <c r="R80" s="2724"/>
      <c r="S80" s="2724"/>
      <c r="T80" s="2724"/>
      <c r="U80" s="2724"/>
      <c r="V80" s="2724"/>
      <c r="W80" s="2724"/>
      <c r="X80" s="2724"/>
      <c r="Y80" s="2724"/>
      <c r="Z80" s="2724"/>
      <c r="AA80" s="2724"/>
      <c r="AB80" s="2724"/>
      <c r="AC80" s="2724"/>
    </row>
    <row r="81" spans="1:29" ht="15.75" thickBot="1">
      <c r="A81" s="482"/>
      <c r="B81" s="491"/>
      <c r="C81" s="492">
        <v>100</v>
      </c>
      <c r="D81" s="492">
        <f>C81-$K19</f>
        <v>98</v>
      </c>
      <c r="E81" s="492">
        <f>D81-$K19</f>
        <v>96</v>
      </c>
      <c r="F81" s="492">
        <f>E81-$K19</f>
        <v>94</v>
      </c>
      <c r="G81" s="492">
        <f>F81-$K19</f>
        <v>92</v>
      </c>
      <c r="H81" s="492"/>
      <c r="I81" s="492"/>
      <c r="J81" s="492"/>
      <c r="K81" s="492"/>
      <c r="L81" s="492"/>
      <c r="M81" s="493"/>
      <c r="N81" s="2752"/>
      <c r="O81" s="2752"/>
      <c r="P81" s="2742"/>
      <c r="Q81" s="2738"/>
      <c r="R81" s="2724"/>
      <c r="S81" s="2724"/>
      <c r="T81" s="2724"/>
      <c r="U81" s="2724"/>
      <c r="V81" s="2724"/>
      <c r="W81" s="2724"/>
      <c r="X81" s="2724"/>
      <c r="Y81" s="2724"/>
      <c r="Z81" s="2724"/>
      <c r="AA81" s="2724"/>
      <c r="AB81" s="2724"/>
      <c r="AC81" s="2724"/>
    </row>
    <row r="82" spans="1:29" ht="15.75" thickTop="1">
      <c r="A82" s="482"/>
      <c r="B82" s="494" t="s">
        <v>1778</v>
      </c>
      <c r="C82" s="607" t="s">
        <v>1798</v>
      </c>
      <c r="D82" s="607" t="s">
        <v>1799</v>
      </c>
      <c r="E82" s="607" t="s">
        <v>1800</v>
      </c>
      <c r="F82" s="607" t="s">
        <v>1801</v>
      </c>
      <c r="G82" s="607" t="s">
        <v>1802</v>
      </c>
      <c r="H82" s="487"/>
      <c r="I82" s="487"/>
      <c r="J82" s="487"/>
      <c r="K82" s="487"/>
      <c r="L82" s="487"/>
      <c r="M82" s="1128"/>
      <c r="N82" s="2752"/>
      <c r="O82" s="2752"/>
      <c r="P82" s="2742"/>
      <c r="Q82" s="2738"/>
      <c r="R82" s="2724"/>
      <c r="S82" s="2724"/>
      <c r="T82" s="2724"/>
      <c r="U82" s="2724"/>
      <c r="V82" s="2724"/>
      <c r="W82" s="2724"/>
      <c r="X82" s="2724"/>
      <c r="Y82" s="2724"/>
      <c r="Z82" s="2724"/>
      <c r="AA82" s="2724"/>
      <c r="AB82" s="2724"/>
      <c r="AC82" s="2724"/>
    </row>
    <row r="83" spans="1:29" ht="15.75" thickBot="1">
      <c r="A83" s="482"/>
      <c r="B83" s="494"/>
      <c r="C83" s="492">
        <v>100</v>
      </c>
      <c r="D83" s="492">
        <f>C83-$K21</f>
        <v>99</v>
      </c>
      <c r="E83" s="492">
        <f t="shared" ref="E83:G83" si="48">D83-$K21</f>
        <v>98</v>
      </c>
      <c r="F83" s="492">
        <f t="shared" si="48"/>
        <v>97</v>
      </c>
      <c r="G83" s="492">
        <f t="shared" si="48"/>
        <v>96</v>
      </c>
      <c r="H83" s="607"/>
      <c r="I83" s="607"/>
      <c r="J83" s="607"/>
      <c r="K83" s="607"/>
      <c r="L83" s="607"/>
      <c r="M83" s="400"/>
      <c r="N83" s="2752"/>
      <c r="O83" s="2752"/>
      <c r="P83" s="2742"/>
      <c r="Q83" s="2738"/>
      <c r="R83" s="2724"/>
      <c r="S83" s="2724"/>
      <c r="T83" s="2724"/>
      <c r="U83" s="2724"/>
      <c r="V83" s="2724"/>
      <c r="W83" s="2724"/>
      <c r="X83" s="2724"/>
      <c r="Y83" s="2724"/>
      <c r="Z83" s="2724"/>
      <c r="AA83" s="2724"/>
      <c r="AB83" s="2724"/>
      <c r="AC83" s="2724"/>
    </row>
    <row r="84" spans="1:29" ht="15.75" thickTop="1">
      <c r="A84" s="482"/>
      <c r="B84" s="486" t="s">
        <v>1732</v>
      </c>
      <c r="C84" s="526" t="s">
        <v>1720</v>
      </c>
      <c r="D84" s="526" t="s">
        <v>1721</v>
      </c>
      <c r="E84" s="526" t="s">
        <v>1722</v>
      </c>
      <c r="F84" s="526" t="s">
        <v>1723</v>
      </c>
      <c r="G84" s="526" t="s">
        <v>1724</v>
      </c>
      <c r="H84" s="487"/>
      <c r="I84" s="487"/>
      <c r="J84" s="487"/>
      <c r="K84" s="488"/>
      <c r="L84" s="489"/>
      <c r="M84" s="490"/>
      <c r="N84" s="2751"/>
      <c r="O84" s="2751"/>
      <c r="P84" s="2742"/>
      <c r="Q84" s="2738"/>
      <c r="R84" s="2724"/>
      <c r="S84" s="2724"/>
      <c r="T84" s="2724"/>
      <c r="U84" s="2724"/>
      <c r="V84" s="2724"/>
      <c r="W84" s="2724"/>
      <c r="X84" s="2724"/>
      <c r="Y84" s="2724"/>
      <c r="Z84" s="2724"/>
      <c r="AA84" s="2724"/>
      <c r="AB84" s="2724"/>
      <c r="AC84" s="2724"/>
    </row>
    <row r="85" spans="1:29" ht="15.75" thickBot="1">
      <c r="A85" s="482"/>
      <c r="B85" s="491"/>
      <c r="C85" s="492">
        <v>100</v>
      </c>
      <c r="D85" s="492">
        <f>C85-$K23</f>
        <v>95</v>
      </c>
      <c r="E85" s="492">
        <f>D85-$K23</f>
        <v>90</v>
      </c>
      <c r="F85" s="492">
        <f>E85-$K23</f>
        <v>85</v>
      </c>
      <c r="G85" s="492">
        <f>F85-$K23</f>
        <v>80</v>
      </c>
      <c r="H85" s="492"/>
      <c r="I85" s="492"/>
      <c r="J85" s="492"/>
      <c r="K85" s="492"/>
      <c r="L85" s="492"/>
      <c r="M85" s="493"/>
      <c r="N85" s="2752"/>
      <c r="O85" s="2752"/>
      <c r="P85" s="2742"/>
      <c r="Q85" s="2738"/>
      <c r="R85" s="2724"/>
      <c r="S85" s="2724"/>
      <c r="T85" s="2724"/>
      <c r="U85" s="2724"/>
      <c r="V85" s="2724"/>
      <c r="W85" s="2724"/>
      <c r="X85" s="2724"/>
      <c r="Y85" s="2724"/>
      <c r="Z85" s="2724"/>
      <c r="AA85" s="2724"/>
      <c r="AB85" s="2724"/>
      <c r="AC85" s="2724"/>
    </row>
    <row r="86" spans="1:29" s="107" customFormat="1" ht="15.75" thickTop="1">
      <c r="A86" s="527"/>
      <c r="B86" s="486" t="s">
        <v>1803</v>
      </c>
      <c r="C86" s="3556" t="s">
        <v>5185</v>
      </c>
      <c r="D86" s="3556" t="s">
        <v>5187</v>
      </c>
      <c r="E86" s="3556" t="s">
        <v>5189</v>
      </c>
      <c r="F86" s="3556" t="s">
        <v>5190</v>
      </c>
      <c r="G86" s="3556"/>
      <c r="H86" s="502"/>
      <c r="I86" s="502"/>
      <c r="J86" s="502"/>
      <c r="K86" s="502"/>
      <c r="L86" s="528"/>
      <c r="M86" s="529"/>
      <c r="N86" s="2750"/>
      <c r="O86" s="2750"/>
      <c r="P86" s="2742"/>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49">C87-$K25</f>
        <v>98</v>
      </c>
      <c r="E87" s="492">
        <f t="shared" si="49"/>
        <v>96</v>
      </c>
      <c r="F87" s="492">
        <f t="shared" si="49"/>
        <v>94</v>
      </c>
      <c r="G87" s="492">
        <f t="shared" si="49"/>
        <v>92</v>
      </c>
      <c r="H87" s="492">
        <f t="shared" si="49"/>
        <v>90</v>
      </c>
      <c r="I87" s="492">
        <f t="shared" si="49"/>
        <v>88</v>
      </c>
      <c r="J87" s="492">
        <f t="shared" si="49"/>
        <v>86</v>
      </c>
      <c r="K87" s="492">
        <f t="shared" si="49"/>
        <v>84</v>
      </c>
      <c r="L87" s="492">
        <f t="shared" si="49"/>
        <v>82</v>
      </c>
      <c r="M87" s="492">
        <f t="shared" si="49"/>
        <v>80</v>
      </c>
      <c r="N87" s="2752"/>
      <c r="O87" s="2752"/>
      <c r="P87" s="2742"/>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0"/>
      <c r="O88" s="2750"/>
      <c r="P88" s="2742"/>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2"/>
      <c r="O89" s="2752"/>
      <c r="P89" s="2742"/>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3556" t="s">
        <v>5200</v>
      </c>
      <c r="D90" s="3556" t="s">
        <v>5202</v>
      </c>
      <c r="E90" s="3556" t="s">
        <v>5203</v>
      </c>
      <c r="F90" s="3556" t="s">
        <v>5204</v>
      </c>
      <c r="G90" s="3556" t="s">
        <v>5205</v>
      </c>
      <c r="H90" s="503"/>
      <c r="I90" s="503"/>
      <c r="J90" s="503"/>
      <c r="K90" s="503"/>
      <c r="L90" s="504"/>
      <c r="M90" s="505"/>
      <c r="N90" s="2753"/>
      <c r="O90" s="2753"/>
      <c r="P90" s="2743"/>
      <c r="Q90" s="2744"/>
      <c r="R90" s="2745"/>
      <c r="S90" s="2745"/>
      <c r="T90" s="2745"/>
      <c r="U90" s="2745"/>
      <c r="V90" s="2745"/>
      <c r="W90" s="2745"/>
      <c r="X90" s="2745"/>
      <c r="Y90" s="2745"/>
      <c r="Z90" s="2745"/>
      <c r="AA90" s="2745"/>
      <c r="AB90" s="2745"/>
      <c r="AC90" s="2745"/>
    </row>
    <row r="91" spans="1:29" s="421" customFormat="1" ht="15.75" thickBot="1">
      <c r="A91" s="501"/>
      <c r="B91" s="491"/>
      <c r="C91" s="530">
        <v>100</v>
      </c>
      <c r="D91" s="492">
        <f>C91-$K27</f>
        <v>100</v>
      </c>
      <c r="E91" s="492">
        <f t="shared" ref="E91:M91" si="50">D91-$K27</f>
        <v>100</v>
      </c>
      <c r="F91" s="492">
        <f t="shared" si="50"/>
        <v>100</v>
      </c>
      <c r="G91" s="492">
        <f t="shared" si="50"/>
        <v>100</v>
      </c>
      <c r="H91" s="492">
        <f t="shared" si="50"/>
        <v>100</v>
      </c>
      <c r="I91" s="492">
        <f t="shared" si="50"/>
        <v>100</v>
      </c>
      <c r="J91" s="492">
        <f t="shared" si="50"/>
        <v>100</v>
      </c>
      <c r="K91" s="492">
        <f t="shared" si="50"/>
        <v>100</v>
      </c>
      <c r="L91" s="492">
        <f t="shared" si="50"/>
        <v>100</v>
      </c>
      <c r="M91" s="492">
        <f t="shared" si="50"/>
        <v>100</v>
      </c>
      <c r="N91" s="2753"/>
      <c r="O91" s="2753"/>
      <c r="P91" s="2743"/>
      <c r="Q91" s="2744"/>
      <c r="R91" s="2745"/>
      <c r="S91" s="2745"/>
      <c r="T91" s="2745"/>
      <c r="U91" s="2745"/>
      <c r="V91" s="2745"/>
      <c r="W91" s="2745"/>
      <c r="X91" s="2745"/>
      <c r="Y91" s="2745"/>
      <c r="Z91" s="2745"/>
      <c r="AA91" s="2745"/>
      <c r="AB91" s="2745"/>
      <c r="AC91" s="2745"/>
    </row>
    <row r="92" spans="1:29" ht="15.75" thickTop="1">
      <c r="A92" s="482"/>
      <c r="B92" s="486" t="str">
        <f>B28</f>
        <v>楼层</v>
      </c>
      <c r="C92" s="502" t="s">
        <v>5163</v>
      </c>
      <c r="D92" s="502" t="s">
        <v>5164</v>
      </c>
      <c r="E92" s="502"/>
      <c r="F92" s="502"/>
      <c r="G92" s="502"/>
      <c r="H92" s="502"/>
      <c r="I92" s="502"/>
      <c r="J92" s="502"/>
      <c r="K92" s="502"/>
      <c r="L92" s="528"/>
      <c r="M92" s="529"/>
      <c r="N92" s="2751"/>
      <c r="O92" s="2751"/>
      <c r="P92" s="2742"/>
      <c r="Q92" s="2738"/>
      <c r="R92" s="2724"/>
      <c r="S92" s="2724"/>
      <c r="T92" s="2724"/>
      <c r="U92" s="2724"/>
      <c r="V92" s="2724"/>
      <c r="W92" s="2724"/>
      <c r="X92" s="2724"/>
      <c r="Y92" s="2724"/>
      <c r="Z92" s="2724"/>
      <c r="AA92" s="2724"/>
      <c r="AB92" s="2724"/>
      <c r="AC92" s="2724"/>
    </row>
    <row r="93" spans="1:29" ht="15.75" thickBot="1">
      <c r="A93" s="482"/>
      <c r="B93" s="491"/>
      <c r="C93" s="484">
        <v>100</v>
      </c>
      <c r="D93" s="484">
        <v>90</v>
      </c>
      <c r="E93" s="484"/>
      <c r="F93" s="484"/>
      <c r="G93" s="484"/>
      <c r="H93" s="484"/>
      <c r="I93" s="484"/>
      <c r="J93" s="484"/>
      <c r="K93" s="484"/>
      <c r="L93" s="484"/>
      <c r="M93" s="485"/>
      <c r="N93" s="2752"/>
      <c r="O93" s="2752"/>
      <c r="P93" s="2742"/>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1"/>
      <c r="O94" s="2751"/>
      <c r="P94" s="2742"/>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2"/>
      <c r="O95" s="2752"/>
      <c r="P95" s="2742"/>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1"/>
      <c r="O96" s="2751"/>
      <c r="P96" s="2742"/>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2"/>
      <c r="O97" s="2752"/>
      <c r="P97" s="2742"/>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1"/>
      <c r="O98" s="2751"/>
      <c r="P98" s="2742"/>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2"/>
      <c r="O99" s="2752"/>
      <c r="P99" s="2742"/>
      <c r="Q99" s="2738"/>
      <c r="R99" s="2724"/>
      <c r="S99" s="2724"/>
      <c r="T99" s="2724"/>
      <c r="U99" s="2724"/>
      <c r="V99" s="2724"/>
      <c r="W99" s="2724"/>
      <c r="X99" s="2724"/>
      <c r="Y99" s="2724"/>
      <c r="Z99" s="2724"/>
      <c r="AA99" s="2724"/>
      <c r="AB99" s="2724"/>
      <c r="AC99" s="2724"/>
    </row>
    <row r="100" spans="1:29">
      <c r="A100" s="475" t="s">
        <v>1693</v>
      </c>
      <c r="B100" s="476" t="s">
        <v>1804</v>
      </c>
      <c r="C100" s="3555" t="s">
        <v>5173</v>
      </c>
      <c r="D100" s="3555" t="s">
        <v>5175</v>
      </c>
      <c r="E100" s="478"/>
      <c r="F100" s="478"/>
      <c r="G100" s="478"/>
      <c r="H100" s="478"/>
      <c r="I100" s="478"/>
      <c r="J100" s="478"/>
      <c r="K100" s="479"/>
      <c r="L100" s="480"/>
      <c r="M100" s="481"/>
      <c r="N100" s="2751"/>
      <c r="O100" s="2751"/>
      <c r="P100" s="2742"/>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51">C101-$K32</f>
        <v>90</v>
      </c>
      <c r="E101" s="492">
        <f t="shared" si="51"/>
        <v>80</v>
      </c>
      <c r="F101" s="492">
        <f t="shared" si="51"/>
        <v>70</v>
      </c>
      <c r="G101" s="492">
        <f t="shared" si="51"/>
        <v>60</v>
      </c>
      <c r="H101" s="492">
        <f t="shared" si="51"/>
        <v>50</v>
      </c>
      <c r="I101" s="492">
        <f t="shared" si="51"/>
        <v>40</v>
      </c>
      <c r="J101" s="492">
        <f t="shared" si="51"/>
        <v>30</v>
      </c>
      <c r="K101" s="492">
        <f t="shared" si="51"/>
        <v>20</v>
      </c>
      <c r="L101" s="492">
        <f t="shared" si="51"/>
        <v>10</v>
      </c>
      <c r="M101" s="493">
        <f t="shared" si="51"/>
        <v>0</v>
      </c>
      <c r="N101" s="2752"/>
      <c r="O101" s="2752"/>
      <c r="P101" s="2742"/>
      <c r="Q101" s="2738"/>
      <c r="R101" s="2724"/>
      <c r="S101" s="2724"/>
      <c r="T101" s="2724"/>
      <c r="U101" s="2724"/>
      <c r="V101" s="2724"/>
      <c r="W101" s="2724"/>
      <c r="X101" s="2724"/>
      <c r="Y101" s="2724"/>
      <c r="Z101" s="2724"/>
      <c r="AA101" s="2724"/>
      <c r="AB101" s="2724"/>
      <c r="AC101" s="2724"/>
    </row>
    <row r="102" spans="1:29" ht="29.25" thickTop="1">
      <c r="A102" s="482"/>
      <c r="B102" s="486" t="s">
        <v>1736</v>
      </c>
      <c r="C102" s="526" t="str">
        <f>C103&amp;"(含)"&amp;"-"&amp;D103</f>
        <v>0(含)-20000</v>
      </c>
      <c r="D102" s="526" t="str">
        <f t="shared" ref="D102:L102" si="52">D103&amp;"(含)"&amp;"-"&amp;E103</f>
        <v>20000(含)-50000</v>
      </c>
      <c r="E102" s="526" t="str">
        <f t="shared" si="52"/>
        <v>50000(含)-100000</v>
      </c>
      <c r="F102" s="526" t="str">
        <f t="shared" si="52"/>
        <v>100000(含)-200000</v>
      </c>
      <c r="G102" s="526" t="str">
        <f t="shared" si="52"/>
        <v>200000(含)-</v>
      </c>
      <c r="H102" s="526" t="str">
        <f t="shared" si="52"/>
        <v>(含)-</v>
      </c>
      <c r="I102" s="526" t="str">
        <f t="shared" si="52"/>
        <v>(含)-</v>
      </c>
      <c r="J102" s="526" t="str">
        <f t="shared" si="52"/>
        <v>(含)-</v>
      </c>
      <c r="K102" s="526" t="str">
        <f t="shared" si="52"/>
        <v>(含)-</v>
      </c>
      <c r="L102" s="526" t="str">
        <f t="shared" si="52"/>
        <v>(含)-</v>
      </c>
      <c r="M102" s="569" t="str">
        <f>M103&amp;"(含)"&amp;"-"&amp;P103</f>
        <v>(含)-</v>
      </c>
      <c r="N102" s="2750"/>
      <c r="O102" s="2750"/>
      <c r="P102" s="2742"/>
      <c r="Q102" s="2738"/>
      <c r="R102" s="2724"/>
      <c r="S102" s="2724"/>
      <c r="T102" s="2724"/>
      <c r="U102" s="2724"/>
      <c r="V102" s="2724"/>
      <c r="W102" s="2724"/>
      <c r="X102" s="2724"/>
      <c r="Y102" s="2724"/>
      <c r="Z102" s="2724"/>
      <c r="AA102" s="2724"/>
      <c r="AB102" s="2724"/>
      <c r="AC102" s="2724"/>
    </row>
    <row r="103" spans="1:29" s="421" customFormat="1">
      <c r="A103" s="541"/>
      <c r="B103" s="542"/>
      <c r="C103" s="543">
        <v>0</v>
      </c>
      <c r="D103" s="543">
        <v>20000</v>
      </c>
      <c r="E103" s="543">
        <v>50000</v>
      </c>
      <c r="F103" s="543">
        <v>100000</v>
      </c>
      <c r="G103" s="543">
        <v>200000</v>
      </c>
      <c r="H103" s="543"/>
      <c r="I103" s="543"/>
      <c r="J103" s="544"/>
      <c r="K103" s="544"/>
      <c r="L103" s="545"/>
      <c r="M103" s="546"/>
      <c r="N103" s="2753"/>
      <c r="O103" s="2753"/>
      <c r="P103" s="2743"/>
      <c r="Q103" s="2744"/>
      <c r="R103" s="2745"/>
      <c r="S103" s="2745"/>
      <c r="T103" s="2745"/>
      <c r="U103" s="2745"/>
      <c r="V103" s="2745"/>
      <c r="W103" s="2745"/>
      <c r="X103" s="2745"/>
      <c r="Y103" s="2745"/>
      <c r="Z103" s="2745"/>
      <c r="AA103" s="2745"/>
      <c r="AB103" s="2745"/>
      <c r="AC103" s="2745"/>
    </row>
    <row r="104" spans="1:29" s="421" customFormat="1" ht="15.75" thickBot="1">
      <c r="A104" s="501"/>
      <c r="B104" s="491"/>
      <c r="C104" s="508">
        <v>100</v>
      </c>
      <c r="D104" s="484">
        <f>C104+1</f>
        <v>101</v>
      </c>
      <c r="E104" s="484">
        <f t="shared" ref="E104:G104" si="53">D104+1</f>
        <v>102</v>
      </c>
      <c r="F104" s="484">
        <f t="shared" si="53"/>
        <v>103</v>
      </c>
      <c r="G104" s="484">
        <f t="shared" si="53"/>
        <v>104</v>
      </c>
      <c r="H104" s="484"/>
      <c r="I104" s="484"/>
      <c r="J104" s="484"/>
      <c r="K104" s="484"/>
      <c r="L104" s="484"/>
      <c r="M104" s="485"/>
      <c r="N104" s="2752"/>
      <c r="O104" s="2752"/>
      <c r="P104" s="2743"/>
      <c r="Q104" s="2744"/>
      <c r="R104" s="2745"/>
      <c r="S104" s="2745"/>
      <c r="T104" s="2745"/>
      <c r="U104" s="2745"/>
      <c r="V104" s="2745"/>
      <c r="W104" s="2745"/>
      <c r="X104" s="2745"/>
      <c r="Y104" s="2745"/>
      <c r="Z104" s="2745"/>
      <c r="AA104" s="2745"/>
      <c r="AB104" s="2745"/>
      <c r="AC104" s="2745"/>
    </row>
    <row r="105" spans="1:29" ht="15" thickTop="1">
      <c r="A105" s="547"/>
      <c r="B105" s="486" t="s">
        <v>1737</v>
      </c>
      <c r="C105" s="3556" t="s">
        <v>5165</v>
      </c>
      <c r="D105" s="502"/>
      <c r="E105" s="531"/>
      <c r="F105" s="531"/>
      <c r="G105" s="531"/>
      <c r="H105" s="531"/>
      <c r="I105" s="531"/>
      <c r="J105" s="531"/>
      <c r="K105" s="532"/>
      <c r="L105" s="533"/>
      <c r="M105" s="534"/>
      <c r="N105" s="2751"/>
      <c r="O105" s="2751"/>
      <c r="P105" s="2742"/>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54">C106-$K34</f>
        <v>98</v>
      </c>
      <c r="E106" s="492">
        <f t="shared" si="54"/>
        <v>96</v>
      </c>
      <c r="F106" s="492">
        <f t="shared" si="54"/>
        <v>94</v>
      </c>
      <c r="G106" s="492">
        <f t="shared" si="54"/>
        <v>92</v>
      </c>
      <c r="H106" s="492">
        <f t="shared" si="54"/>
        <v>90</v>
      </c>
      <c r="I106" s="492">
        <f t="shared" si="54"/>
        <v>88</v>
      </c>
      <c r="J106" s="492">
        <f t="shared" si="54"/>
        <v>86</v>
      </c>
      <c r="K106" s="492">
        <f t="shared" si="54"/>
        <v>84</v>
      </c>
      <c r="L106" s="492">
        <f t="shared" si="54"/>
        <v>82</v>
      </c>
      <c r="M106" s="493">
        <f t="shared" si="54"/>
        <v>80</v>
      </c>
      <c r="N106" s="2752"/>
      <c r="O106" s="2752"/>
      <c r="P106" s="2742"/>
      <c r="Q106" s="2738"/>
      <c r="R106" s="2724"/>
      <c r="S106" s="2724"/>
      <c r="T106" s="2724"/>
      <c r="U106" s="2724"/>
      <c r="V106" s="2724"/>
      <c r="W106" s="2724"/>
      <c r="X106" s="2724"/>
      <c r="Y106" s="2724"/>
      <c r="Z106" s="2724"/>
      <c r="AA106" s="2724"/>
      <c r="AB106" s="2724"/>
      <c r="AC106" s="2724"/>
    </row>
    <row r="107" spans="1:29" ht="15" thickTop="1">
      <c r="A107" s="547"/>
      <c r="B107" s="486" t="s">
        <v>1739</v>
      </c>
      <c r="C107" s="3556" t="s">
        <v>5167</v>
      </c>
      <c r="D107" s="502"/>
      <c r="E107" s="502"/>
      <c r="F107" s="531"/>
      <c r="G107" s="531"/>
      <c r="H107" s="531"/>
      <c r="I107" s="531"/>
      <c r="J107" s="531"/>
      <c r="K107" s="532"/>
      <c r="L107" s="533"/>
      <c r="M107" s="534"/>
      <c r="N107" s="2751"/>
      <c r="O107" s="2751"/>
      <c r="P107" s="2742"/>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55">C108-$K35</f>
        <v>98</v>
      </c>
      <c r="E108" s="492">
        <f t="shared" si="55"/>
        <v>96</v>
      </c>
      <c r="F108" s="492">
        <f t="shared" si="55"/>
        <v>94</v>
      </c>
      <c r="G108" s="492">
        <f t="shared" si="55"/>
        <v>92</v>
      </c>
      <c r="H108" s="492">
        <f t="shared" si="55"/>
        <v>90</v>
      </c>
      <c r="I108" s="492">
        <f t="shared" si="55"/>
        <v>88</v>
      </c>
      <c r="J108" s="492">
        <f t="shared" si="55"/>
        <v>86</v>
      </c>
      <c r="K108" s="492">
        <f t="shared" si="55"/>
        <v>84</v>
      </c>
      <c r="L108" s="492">
        <f t="shared" si="55"/>
        <v>82</v>
      </c>
      <c r="M108" s="493">
        <f t="shared" si="55"/>
        <v>80</v>
      </c>
      <c r="N108" s="2752"/>
      <c r="O108" s="2752"/>
      <c r="P108" s="2742"/>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1"/>
      <c r="O109" s="2751"/>
      <c r="P109" s="2742"/>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1"/>
      <c r="O110" s="2751"/>
      <c r="P110" s="2742"/>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101</v>
      </c>
      <c r="E111" s="492">
        <f t="shared" ref="E111:M111" si="56">D111+$K36</f>
        <v>102</v>
      </c>
      <c r="F111" s="492">
        <f t="shared" si="56"/>
        <v>103</v>
      </c>
      <c r="G111" s="492">
        <f t="shared" si="56"/>
        <v>104</v>
      </c>
      <c r="H111" s="492">
        <f t="shared" si="56"/>
        <v>105</v>
      </c>
      <c r="I111" s="492">
        <f t="shared" si="56"/>
        <v>106</v>
      </c>
      <c r="J111" s="492">
        <f t="shared" si="56"/>
        <v>107</v>
      </c>
      <c r="K111" s="492">
        <f t="shared" si="56"/>
        <v>108</v>
      </c>
      <c r="L111" s="492">
        <f t="shared" si="56"/>
        <v>109</v>
      </c>
      <c r="M111" s="492">
        <f t="shared" si="56"/>
        <v>110</v>
      </c>
      <c r="N111" s="2752"/>
      <c r="O111" s="2752"/>
      <c r="P111" s="2742"/>
      <c r="Q111" s="2738"/>
      <c r="R111" s="2724"/>
      <c r="S111" s="2724"/>
      <c r="T111" s="2724"/>
      <c r="U111" s="2724"/>
      <c r="V111" s="2724"/>
      <c r="W111" s="2724"/>
      <c r="X111" s="2724"/>
      <c r="Y111" s="2724"/>
      <c r="Z111" s="2724"/>
      <c r="AA111" s="2724"/>
      <c r="AB111" s="2724"/>
      <c r="AC111" s="2724"/>
    </row>
    <row r="112" spans="1:29" s="421" customFormat="1" ht="15" thickTop="1">
      <c r="A112" s="541"/>
      <c r="B112" s="486" t="s">
        <v>1741</v>
      </c>
      <c r="C112" s="502" t="s">
        <v>5162</v>
      </c>
      <c r="D112" s="502" t="s">
        <v>5181</v>
      </c>
      <c r="E112" s="502" t="s">
        <v>5182</v>
      </c>
      <c r="F112" s="502" t="s">
        <v>5183</v>
      </c>
      <c r="G112" s="502" t="s">
        <v>5184</v>
      </c>
      <c r="H112" s="531"/>
      <c r="I112" s="531"/>
      <c r="J112" s="531"/>
      <c r="K112" s="532"/>
      <c r="L112" s="533"/>
      <c r="M112" s="534"/>
      <c r="N112" s="2753"/>
      <c r="O112" s="2753"/>
      <c r="P112" s="2743"/>
      <c r="Q112" s="2744"/>
      <c r="R112" s="2745"/>
      <c r="S112" s="2745"/>
      <c r="T112" s="2745"/>
      <c r="U112" s="2745"/>
      <c r="V112" s="2745"/>
      <c r="W112" s="2745"/>
      <c r="X112" s="2745"/>
      <c r="Y112" s="2745"/>
      <c r="Z112" s="2745"/>
      <c r="AA112" s="2745"/>
      <c r="AB112" s="2745"/>
      <c r="AC112" s="2745"/>
    </row>
    <row r="113" spans="1:29" s="421" customFormat="1" ht="15.75" thickBot="1">
      <c r="A113" s="501"/>
      <c r="B113" s="491"/>
      <c r="C113" s="492">
        <v>100</v>
      </c>
      <c r="D113" s="492">
        <f>C113-$K37</f>
        <v>99</v>
      </c>
      <c r="E113" s="492">
        <f t="shared" ref="E113:M113" si="57">D113-$K37</f>
        <v>98</v>
      </c>
      <c r="F113" s="492">
        <f t="shared" si="57"/>
        <v>97</v>
      </c>
      <c r="G113" s="492">
        <f t="shared" si="57"/>
        <v>96</v>
      </c>
      <c r="H113" s="492">
        <f t="shared" si="57"/>
        <v>95</v>
      </c>
      <c r="I113" s="492">
        <f t="shared" si="57"/>
        <v>94</v>
      </c>
      <c r="J113" s="492">
        <f t="shared" si="57"/>
        <v>93</v>
      </c>
      <c r="K113" s="492">
        <f t="shared" si="57"/>
        <v>92</v>
      </c>
      <c r="L113" s="492">
        <f t="shared" si="57"/>
        <v>91</v>
      </c>
      <c r="M113" s="492">
        <f t="shared" si="57"/>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7"/>
      <c r="B114" s="486" t="s">
        <v>1805</v>
      </c>
      <c r="C114" s="3556"/>
      <c r="D114" s="502"/>
      <c r="E114" s="531"/>
      <c r="F114" s="531"/>
      <c r="G114" s="531"/>
      <c r="H114" s="531"/>
      <c r="I114" s="531"/>
      <c r="J114" s="531"/>
      <c r="K114" s="532"/>
      <c r="L114" s="533"/>
      <c r="M114" s="534"/>
      <c r="N114" s="2751"/>
      <c r="O114" s="2751"/>
      <c r="P114" s="2742"/>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58">C115-$K38</f>
        <v>100</v>
      </c>
      <c r="E115" s="492">
        <f t="shared" si="58"/>
        <v>100</v>
      </c>
      <c r="F115" s="492">
        <f t="shared" si="58"/>
        <v>100</v>
      </c>
      <c r="G115" s="492">
        <f t="shared" si="58"/>
        <v>100</v>
      </c>
      <c r="H115" s="492">
        <f t="shared" si="58"/>
        <v>100</v>
      </c>
      <c r="I115" s="492">
        <f t="shared" si="58"/>
        <v>100</v>
      </c>
      <c r="J115" s="492">
        <f t="shared" si="58"/>
        <v>100</v>
      </c>
      <c r="K115" s="492">
        <f t="shared" si="58"/>
        <v>100</v>
      </c>
      <c r="L115" s="492">
        <f t="shared" si="58"/>
        <v>100</v>
      </c>
      <c r="M115" s="493">
        <f t="shared" si="58"/>
        <v>100</v>
      </c>
      <c r="N115" s="2752"/>
      <c r="O115" s="2752"/>
      <c r="P115" s="2742"/>
      <c r="Q115" s="2738"/>
      <c r="R115" s="2724"/>
      <c r="S115" s="2724"/>
      <c r="T115" s="2724"/>
      <c r="U115" s="2724"/>
      <c r="V115" s="2724"/>
      <c r="W115" s="2724"/>
      <c r="X115" s="2724"/>
      <c r="Y115" s="2724"/>
      <c r="Z115" s="2724"/>
      <c r="AA115" s="2724"/>
      <c r="AB115" s="2724"/>
      <c r="AC115" s="2724"/>
    </row>
    <row r="116" spans="1:29" ht="15" thickTop="1">
      <c r="A116" s="547"/>
      <c r="B116" s="486" t="s">
        <v>1806</v>
      </c>
      <c r="C116" s="3556" t="s">
        <v>5199</v>
      </c>
      <c r="D116" s="502"/>
      <c r="E116" s="502"/>
      <c r="F116" s="502"/>
      <c r="G116" s="502"/>
      <c r="H116" s="531"/>
      <c r="I116" s="531"/>
      <c r="J116" s="531"/>
      <c r="K116" s="532"/>
      <c r="L116" s="533"/>
      <c r="M116" s="534"/>
      <c r="N116" s="2751"/>
      <c r="O116" s="2751"/>
      <c r="P116" s="2742"/>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97</v>
      </c>
      <c r="E117" s="492">
        <f>D117-$K39</f>
        <v>94</v>
      </c>
      <c r="F117" s="492">
        <f>E117-$K39</f>
        <v>91</v>
      </c>
      <c r="G117" s="492">
        <f>F117-$K39</f>
        <v>88</v>
      </c>
      <c r="H117" s="492"/>
      <c r="I117" s="492"/>
      <c r="J117" s="492"/>
      <c r="K117" s="492"/>
      <c r="L117" s="492"/>
      <c r="M117" s="493"/>
      <c r="N117" s="2752"/>
      <c r="O117" s="2752"/>
      <c r="P117" s="2742"/>
      <c r="Q117" s="2738"/>
      <c r="R117" s="2724"/>
      <c r="S117" s="2724"/>
      <c r="T117" s="2724"/>
      <c r="U117" s="2724"/>
      <c r="V117" s="2724"/>
      <c r="W117" s="2724"/>
      <c r="X117" s="2724"/>
      <c r="Y117" s="2724"/>
      <c r="Z117" s="2724"/>
      <c r="AA117" s="2724"/>
      <c r="AB117" s="2724"/>
      <c r="AC117" s="2724"/>
    </row>
    <row r="118" spans="1:29" ht="15" thickTop="1">
      <c r="A118" s="547"/>
      <c r="B118" s="486" t="s">
        <v>1807</v>
      </c>
      <c r="C118" s="574"/>
      <c r="D118" s="574"/>
      <c r="E118" s="574"/>
      <c r="F118" s="574"/>
      <c r="G118" s="574"/>
      <c r="H118" s="503"/>
      <c r="I118" s="503"/>
      <c r="J118" s="503"/>
      <c r="K118" s="503"/>
      <c r="L118" s="504"/>
      <c r="M118" s="505"/>
      <c r="N118" s="2751"/>
      <c r="O118" s="2751"/>
      <c r="P118" s="2742"/>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2"/>
      <c r="O119" s="2752"/>
      <c r="P119" s="2742"/>
      <c r="Q119" s="2738"/>
      <c r="R119" s="2724"/>
      <c r="S119" s="2724"/>
      <c r="T119" s="2724"/>
      <c r="U119" s="2724"/>
      <c r="V119" s="2724"/>
      <c r="W119" s="2724"/>
      <c r="X119" s="2724"/>
      <c r="Y119" s="2724"/>
      <c r="Z119" s="2724"/>
      <c r="AA119" s="2724"/>
      <c r="AB119" s="2724"/>
      <c r="AC119" s="2724"/>
    </row>
    <row r="120" spans="1:29" s="421" customFormat="1" ht="15" thickTop="1">
      <c r="A120" s="541"/>
      <c r="B120" s="486" t="s">
        <v>1808</v>
      </c>
      <c r="C120" s="531"/>
      <c r="D120" s="531"/>
      <c r="E120" s="531"/>
      <c r="F120" s="531"/>
      <c r="G120" s="503"/>
      <c r="H120" s="503"/>
      <c r="I120" s="503"/>
      <c r="J120" s="503"/>
      <c r="K120" s="503"/>
      <c r="L120" s="504"/>
      <c r="M120" s="505"/>
      <c r="N120" s="2753"/>
      <c r="O120" s="2753"/>
      <c r="P120" s="2743"/>
      <c r="Q120" s="2744"/>
      <c r="R120" s="2745"/>
      <c r="S120" s="2745"/>
      <c r="T120" s="2745"/>
      <c r="U120" s="2745"/>
      <c r="V120" s="2745"/>
      <c r="W120" s="2745"/>
      <c r="X120" s="2745"/>
      <c r="Y120" s="2745"/>
      <c r="Z120" s="2745"/>
      <c r="AA120" s="2745"/>
      <c r="AB120" s="2745"/>
      <c r="AC120" s="2745"/>
    </row>
    <row r="121" spans="1:29" s="421" customFormat="1" ht="15.75" thickBot="1">
      <c r="A121" s="501"/>
      <c r="B121" s="483"/>
      <c r="C121" s="530">
        <v>100</v>
      </c>
      <c r="D121" s="492">
        <f>C121-$K41</f>
        <v>100</v>
      </c>
      <c r="E121" s="492">
        <f t="shared" ref="E121:M121" si="59">D121-$K41</f>
        <v>100</v>
      </c>
      <c r="F121" s="492">
        <f t="shared" si="59"/>
        <v>100</v>
      </c>
      <c r="G121" s="492">
        <f t="shared" si="59"/>
        <v>100</v>
      </c>
      <c r="H121" s="492">
        <f t="shared" si="59"/>
        <v>100</v>
      </c>
      <c r="I121" s="492">
        <f t="shared" si="59"/>
        <v>100</v>
      </c>
      <c r="J121" s="492">
        <f t="shared" si="59"/>
        <v>100</v>
      </c>
      <c r="K121" s="492">
        <f t="shared" si="59"/>
        <v>100</v>
      </c>
      <c r="L121" s="492">
        <f t="shared" si="59"/>
        <v>100</v>
      </c>
      <c r="M121" s="493">
        <f t="shared" si="5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7"/>
      <c r="B122" s="486" t="s">
        <v>1743</v>
      </c>
      <c r="C122" s="3556" t="s">
        <v>5167</v>
      </c>
      <c r="D122" s="502"/>
      <c r="E122" s="502"/>
      <c r="F122" s="531"/>
      <c r="G122" s="531"/>
      <c r="H122" s="531"/>
      <c r="I122" s="531"/>
      <c r="J122" s="531"/>
      <c r="K122" s="532"/>
      <c r="L122" s="533"/>
      <c r="M122" s="534"/>
      <c r="N122" s="2751"/>
      <c r="O122" s="2751"/>
      <c r="P122" s="2742"/>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60">C123-$K42</f>
        <v>98</v>
      </c>
      <c r="E123" s="492">
        <f t="shared" si="60"/>
        <v>96</v>
      </c>
      <c r="F123" s="492">
        <f t="shared" si="60"/>
        <v>94</v>
      </c>
      <c r="G123" s="492">
        <f t="shared" si="60"/>
        <v>92</v>
      </c>
      <c r="H123" s="492">
        <f t="shared" si="60"/>
        <v>90</v>
      </c>
      <c r="I123" s="492">
        <f t="shared" si="60"/>
        <v>88</v>
      </c>
      <c r="J123" s="492">
        <f t="shared" si="60"/>
        <v>86</v>
      </c>
      <c r="K123" s="492">
        <f t="shared" si="60"/>
        <v>84</v>
      </c>
      <c r="L123" s="492">
        <f t="shared" si="60"/>
        <v>82</v>
      </c>
      <c r="M123" s="493">
        <f t="shared" si="60"/>
        <v>80</v>
      </c>
      <c r="N123" s="2752"/>
      <c r="O123" s="2752"/>
      <c r="P123" s="2742"/>
      <c r="Q123" s="2738"/>
      <c r="R123" s="2724"/>
      <c r="S123" s="2724"/>
      <c r="T123" s="2724"/>
      <c r="U123" s="2724"/>
      <c r="V123" s="2724"/>
      <c r="W123" s="2724"/>
      <c r="X123" s="2724"/>
      <c r="Y123" s="2724"/>
      <c r="Z123" s="2724"/>
      <c r="AA123" s="2724"/>
      <c r="AB123" s="2724"/>
      <c r="AC123" s="2724"/>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51"/>
      <c r="O124" s="2751"/>
      <c r="P124" s="2743"/>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2"/>
      <c r="O125" s="2752"/>
      <c r="P125" s="2742"/>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3"/>
      <c r="O126" s="2753"/>
      <c r="P126" s="2743"/>
      <c r="Q126" s="2744"/>
      <c r="R126" s="2745"/>
      <c r="S126" s="2745"/>
      <c r="T126" s="2745"/>
      <c r="U126" s="2745"/>
      <c r="V126" s="2745"/>
      <c r="W126" s="2745"/>
      <c r="X126" s="2745"/>
      <c r="Y126" s="2745"/>
      <c r="Z126" s="2745"/>
      <c r="AA126" s="2745"/>
      <c r="AB126" s="2745"/>
      <c r="AC126" s="2745"/>
    </row>
    <row r="127" spans="1:29" s="421" customFormat="1" ht="15.75" thickBot="1">
      <c r="A127" s="501"/>
      <c r="B127" s="491"/>
      <c r="C127" s="508"/>
      <c r="D127" s="484"/>
      <c r="E127" s="484"/>
      <c r="F127" s="484"/>
      <c r="G127" s="508"/>
      <c r="H127" s="510"/>
      <c r="I127" s="510"/>
      <c r="J127" s="510"/>
      <c r="K127" s="510"/>
      <c r="L127" s="510"/>
      <c r="M127" s="511"/>
      <c r="N127" s="2753"/>
      <c r="O127" s="2753"/>
      <c r="P127" s="2743"/>
      <c r="Q127" s="2744"/>
      <c r="R127" s="2745"/>
      <c r="S127" s="2745"/>
      <c r="T127" s="2745"/>
      <c r="U127" s="2745"/>
      <c r="V127" s="2745"/>
      <c r="W127" s="2745"/>
      <c r="X127" s="2745"/>
      <c r="Y127" s="2745"/>
      <c r="Z127" s="2745"/>
      <c r="AA127" s="2745"/>
      <c r="AB127" s="2745"/>
      <c r="AC127" s="2745"/>
    </row>
    <row r="128" spans="1:29" ht="15" thickTop="1">
      <c r="A128" s="547"/>
      <c r="B128" s="486">
        <f>B45</f>
        <v>111</v>
      </c>
      <c r="C128" s="502"/>
      <c r="D128" s="502"/>
      <c r="E128" s="502"/>
      <c r="F128" s="502"/>
      <c r="G128" s="531"/>
      <c r="H128" s="531"/>
      <c r="I128" s="531"/>
      <c r="J128" s="531"/>
      <c r="K128" s="532"/>
      <c r="L128" s="533"/>
      <c r="M128" s="534"/>
      <c r="N128" s="2751"/>
      <c r="O128" s="2751"/>
      <c r="P128" s="2742"/>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2"/>
      <c r="O129" s="2752"/>
      <c r="P129" s="2742"/>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1"/>
      <c r="O130" s="2751"/>
      <c r="P130" s="2742"/>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2"/>
      <c r="O131" s="2752"/>
      <c r="P131" s="2742"/>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43" sqref="C4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14.25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284832</v>
      </c>
      <c r="C2" s="1386" t="s">
        <v>805</v>
      </c>
      <c r="D2" s="1386"/>
      <c r="E2" s="1387"/>
      <c r="F2" s="1388"/>
      <c r="G2" s="2705"/>
      <c r="H2" s="2694"/>
      <c r="I2" s="2694"/>
      <c r="J2" s="2694"/>
      <c r="K2" s="2695"/>
      <c r="L2" s="2694"/>
      <c r="M2" s="2694"/>
    </row>
    <row r="3" spans="1:37" ht="18" customHeight="1" thickBot="1">
      <c r="A3" s="1389" t="s">
        <v>806</v>
      </c>
      <c r="B3" s="1390">
        <f ca="1">IF(ISERROR(B2*10000/F43),0,ROUND(B2*10000/F43,0))</f>
        <v>49588</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29913</v>
      </c>
      <c r="D5" s="1363" t="s">
        <v>693</v>
      </c>
      <c r="E5" s="1070"/>
      <c r="F5" s="1071"/>
      <c r="G5" s="1383"/>
      <c r="H5" s="298">
        <v>1</v>
      </c>
      <c r="I5" s="299" t="s">
        <v>692</v>
      </c>
      <c r="J5" s="1069">
        <f ca="1">J6+J10+J12</f>
        <v>0</v>
      </c>
      <c r="K5" s="1363" t="s">
        <v>693</v>
      </c>
      <c r="L5" s="1070"/>
      <c r="M5" s="1071"/>
    </row>
    <row r="6" spans="1:37" ht="18" customHeight="1">
      <c r="A6" s="1068" t="s">
        <v>398</v>
      </c>
      <c r="B6" s="3794" t="s">
        <v>694</v>
      </c>
      <c r="C6" s="1073">
        <f ca="1">ROUND(F6*F8*F7*(1-F9)/10000,0)</f>
        <v>29876</v>
      </c>
      <c r="D6" s="154" t="s">
        <v>2108</v>
      </c>
      <c r="E6" s="301" t="s">
        <v>696</v>
      </c>
      <c r="F6" s="302">
        <f ca="1">INDIRECT("'数据-取费表'!u"&amp;$G$1)</f>
        <v>15</v>
      </c>
      <c r="G6" s="1383"/>
      <c r="H6" s="1068" t="s">
        <v>398</v>
      </c>
      <c r="I6" s="3794" t="s">
        <v>694</v>
      </c>
      <c r="J6" s="300">
        <f ca="1">ROUND(M6*M8*M7*(1-M9)/10000,0)</f>
        <v>0</v>
      </c>
      <c r="K6" s="154" t="s">
        <v>2107</v>
      </c>
      <c r="L6" s="301" t="s">
        <v>696</v>
      </c>
      <c r="M6" s="302">
        <f ca="1">INDIRECT("'数据-取费表'!z"&amp;$G$1)</f>
        <v>0</v>
      </c>
    </row>
    <row r="7" spans="1:37" ht="18" customHeight="1">
      <c r="A7" s="1072"/>
      <c r="B7" s="3795"/>
      <c r="C7" s="1074"/>
      <c r="D7" s="306"/>
      <c r="E7" s="1075" t="s">
        <v>697</v>
      </c>
      <c r="F7" s="302">
        <f ca="1">IF(INDIRECT("'数据-取费表'!ah"&amp;$G$1)="",INDIRECT("'数据-取费表'!k"&amp;$G$1),INDIRECT("'数据-取费表'!ah"&amp;$G$1))</f>
        <v>57439.57</v>
      </c>
      <c r="G7" s="1383"/>
      <c r="H7" s="303"/>
      <c r="I7" s="3795"/>
      <c r="J7" s="305"/>
      <c r="K7" s="306"/>
      <c r="L7" s="301" t="s">
        <v>697</v>
      </c>
      <c r="M7" s="302">
        <f ca="1">F7</f>
        <v>57439.57</v>
      </c>
    </row>
    <row r="8" spans="1:37" ht="18" customHeight="1">
      <c r="A8" s="303"/>
      <c r="B8" s="3795"/>
      <c r="C8" s="305"/>
      <c r="D8" s="306"/>
      <c r="E8" s="301" t="s">
        <v>698</v>
      </c>
      <c r="F8" s="302">
        <f ca="1">INDIRECT("'数据-取费表'!ai"&amp;$G$1)</f>
        <v>365</v>
      </c>
      <c r="G8" s="1383"/>
      <c r="H8" s="303"/>
      <c r="I8" s="3795"/>
      <c r="J8" s="305"/>
      <c r="K8" s="306"/>
      <c r="L8" s="301" t="s">
        <v>698</v>
      </c>
      <c r="M8" s="302">
        <f ca="1">INDIRECT("'数据-取费表'!ai"&amp;$G$1)</f>
        <v>365</v>
      </c>
    </row>
    <row r="9" spans="1:37" ht="18" customHeight="1">
      <c r="A9" s="303"/>
      <c r="B9" s="3796"/>
      <c r="C9" s="305"/>
      <c r="D9" s="306"/>
      <c r="E9" s="301" t="s">
        <v>699</v>
      </c>
      <c r="F9" s="311">
        <f ca="1">INDIRECT("'数据-取费表'!w"&amp;$G$1)</f>
        <v>0.05</v>
      </c>
      <c r="G9" s="1383"/>
      <c r="H9" s="303"/>
      <c r="I9" s="3796"/>
      <c r="J9" s="305"/>
      <c r="K9" s="306"/>
      <c r="L9" s="312" t="s">
        <v>699</v>
      </c>
      <c r="M9" s="313">
        <f ca="1">INDIRECT("'数据-取费表'!ab"&amp;$G$1)</f>
        <v>0</v>
      </c>
    </row>
    <row r="10" spans="1:37" ht="18" customHeight="1">
      <c r="A10" s="1068" t="s">
        <v>402</v>
      </c>
      <c r="B10" s="1364" t="s">
        <v>700</v>
      </c>
      <c r="C10" s="315">
        <f ca="1">ROUND(IF(F10="押一",C6/12*F11,IF(F10="押二",C6/12*2*F11,IF(F10="押三",C6/12*3*F11,C11*F11))),0)</f>
        <v>37</v>
      </c>
      <c r="D10" s="1365" t="s">
        <v>2116</v>
      </c>
      <c r="E10" s="312" t="s">
        <v>701</v>
      </c>
      <c r="F10" s="1115" t="s">
        <v>3434</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74363</v>
      </c>
      <c r="D13" s="1080" t="s">
        <v>705</v>
      </c>
      <c r="E13" s="1080" t="s">
        <v>706</v>
      </c>
      <c r="F13" s="1081">
        <f ca="1">INDIRECT("'数据-取费表'!y"&amp;$G$1)</f>
        <v>0.86699999999999999</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57440</v>
      </c>
      <c r="D14" s="1344" t="s">
        <v>708</v>
      </c>
      <c r="E14" s="1341"/>
      <c r="F14" s="318"/>
      <c r="G14" s="1383"/>
      <c r="H14" s="981" t="s">
        <v>398</v>
      </c>
      <c r="I14" s="301" t="s">
        <v>709</v>
      </c>
      <c r="J14" s="21">
        <f ca="1">C29</f>
        <v>85771</v>
      </c>
      <c r="K14" s="12"/>
      <c r="L14" s="806"/>
      <c r="M14" s="807"/>
    </row>
    <row r="15" spans="1:37" s="1396" customFormat="1" ht="18" customHeight="1" thickBot="1">
      <c r="A15" s="981" t="s">
        <v>399</v>
      </c>
      <c r="B15" s="301" t="s">
        <v>710</v>
      </c>
      <c r="C15" s="21">
        <f ca="1">ROUND(C14*F15,0)</f>
        <v>2872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1287</v>
      </c>
      <c r="K16" s="1086" t="s">
        <v>715</v>
      </c>
      <c r="L16" s="1087"/>
      <c r="M16" s="1071"/>
    </row>
    <row r="17" spans="1:37" s="1396" customFormat="1" ht="18" customHeight="1">
      <c r="A17" s="981" t="s">
        <v>681</v>
      </c>
      <c r="B17" s="301" t="s">
        <v>716</v>
      </c>
      <c r="C17" s="21">
        <f ca="1">ROUND(F17*(F43+INDIRECT("'数据-取费表'!S"&amp;$G$1))/10000,0)</f>
        <v>1167</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862</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62341</v>
      </c>
      <c r="D19" s="130" t="s">
        <v>726</v>
      </c>
      <c r="E19" s="1359"/>
      <c r="F19" s="23"/>
      <c r="G19" s="1383"/>
      <c r="H19" s="981" t="s">
        <v>399</v>
      </c>
      <c r="I19" s="301" t="s">
        <v>727</v>
      </c>
      <c r="J19" s="21">
        <f ca="1">IF(K19="按租金收入计税",ROUND(J6*M19/(1+'数据-取费表'!C42),2),ROUND(C29*M19*0.7,2))</f>
        <v>0</v>
      </c>
      <c r="K19" s="1369" t="s">
        <v>3341</v>
      </c>
      <c r="L19" s="301" t="s">
        <v>712</v>
      </c>
      <c r="M19" s="321">
        <f>IF(K19="按租金收入计税",'数据-取费表'!B51,'数据-取费表'!B50)</f>
        <v>0.12</v>
      </c>
    </row>
    <row r="20" spans="1:37" s="1396" customFormat="1" ht="18" customHeight="1">
      <c r="A20" s="981" t="s">
        <v>402</v>
      </c>
      <c r="B20" s="301" t="s">
        <v>728</v>
      </c>
      <c r="C20" s="21">
        <f ca="1">ROUND(C19*F20,0)</f>
        <v>1247</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1286.57</v>
      </c>
      <c r="K22" s="1343" t="s">
        <v>739</v>
      </c>
      <c r="L22" s="301" t="s">
        <v>712</v>
      </c>
      <c r="M22" s="327">
        <f ca="1">INDIRECT("'数据-取费表'!Ak"&amp;$G$1)</f>
        <v>1.4999999999999999E-2</v>
      </c>
    </row>
    <row r="23" spans="1:37" s="1396" customFormat="1" ht="18" customHeight="1">
      <c r="A23" s="981" t="s">
        <v>397</v>
      </c>
      <c r="B23" s="301" t="s">
        <v>740</v>
      </c>
      <c r="C23" s="21">
        <f ca="1">IF('数据-取费表'!B22&lt;=1,ROUND(C19*F24*F23/2,0)+ROUND(C20*F24*F23/2,0),ROUND(C19*(POWER((1+F24),F23/2)-1),0)+ROUND(C20*(POWER((1+F24),F23/2)-1),0))</f>
        <v>2835</v>
      </c>
      <c r="D23" s="328" t="str">
        <f>IF(F23&lt;=1,"(建造成本+管理费用)×利率×(建设周期÷2)","(建造成本+管理费用)×((1+利率)^(建设周期÷2)-1)")</f>
        <v>(建造成本+管理费用)×((1+利率)^(建设周期÷2)-1)</v>
      </c>
      <c r="E23" s="301" t="s">
        <v>741</v>
      </c>
      <c r="F23" s="324">
        <f>'数据-取费表'!B20</f>
        <v>2.5</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0.02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-1287</v>
      </c>
      <c r="K25" s="1094" t="s">
        <v>753</v>
      </c>
      <c r="L25" s="1095"/>
      <c r="M25" s="1096"/>
    </row>
    <row r="26" spans="1:37">
      <c r="A26" s="981" t="s">
        <v>397</v>
      </c>
      <c r="B26" s="301" t="s">
        <v>754</v>
      </c>
      <c r="C26" s="21">
        <f ca="1">ROUND((C19+C20)*F26,0)</f>
        <v>12718</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85771</v>
      </c>
      <c r="D29" s="1091"/>
      <c r="E29" s="1089"/>
      <c r="F29" s="1092"/>
      <c r="G29" s="1395"/>
      <c r="H29" s="333" t="s">
        <v>396</v>
      </c>
      <c r="I29" s="334" t="s">
        <v>768</v>
      </c>
      <c r="J29" s="335">
        <f ca="1">ROUND(J26/(1+F40)^F41,0)</f>
        <v>0</v>
      </c>
      <c r="K29" s="336" t="s">
        <v>769</v>
      </c>
      <c r="L29" s="337"/>
      <c r="M29" s="338">
        <f ca="1">INDIRECT("'数据-取费表'!k"&amp;$G$1)</f>
        <v>57439.57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6976</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4979.33</v>
      </c>
      <c r="D31" s="1344" t="s">
        <v>720</v>
      </c>
      <c r="E31" s="1343" t="s">
        <v>770</v>
      </c>
      <c r="F31" s="2314" t="str">
        <f>IF(项目基本情况!B11="企业","——",IF(M47="住宅",IF(F6*F7*F8/12/(1+'数据-取费表'!F30)&gt;100000,4%,2.5%),IF(F6*F7*F8/12/(1+'数据-取费表'!F30)&gt;100000,12%,7%)))</f>
        <v>——</v>
      </c>
      <c r="G31" s="1383"/>
      <c r="H31" s="2806" t="s">
        <v>2309</v>
      </c>
      <c r="I31" s="1397"/>
      <c r="J31" s="1398"/>
      <c r="K31" s="2474"/>
      <c r="L31" s="2697"/>
      <c r="M31" s="2698"/>
    </row>
    <row r="32" spans="1:37" ht="18" customHeight="1">
      <c r="A32" s="981" t="s">
        <v>397</v>
      </c>
      <c r="B32" s="301" t="s">
        <v>723</v>
      </c>
      <c r="C32" s="21">
        <f ca="1">IF(项目基本情况!B11="自然人","——",ROUND(C6*F32/(1+'数据-取费表'!C42),2))</f>
        <v>1564.93</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3414.4</v>
      </c>
      <c r="D33" s="1369" t="s">
        <v>3341</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1286.57</v>
      </c>
      <c r="D36" s="1343" t="s">
        <v>771</v>
      </c>
      <c r="E36" s="301" t="s">
        <v>712</v>
      </c>
      <c r="F36" s="327">
        <f ca="1">INDIRECT("'数据-取费表'!Ak"&amp;$G$1)</f>
        <v>1.4999999999999999E-2</v>
      </c>
      <c r="G36" s="1383"/>
      <c r="H36" s="2699"/>
      <c r="I36" s="1397"/>
      <c r="J36" s="1398"/>
      <c r="K36" s="2543"/>
      <c r="L36" s="2699"/>
      <c r="M36" s="2699"/>
    </row>
    <row r="37" spans="1:18" ht="18" customHeight="1">
      <c r="A37" s="981" t="s">
        <v>437</v>
      </c>
      <c r="B37" s="301" t="s">
        <v>742</v>
      </c>
      <c r="C37" s="21">
        <f ca="1">ROUND(C13*F37,2)</f>
        <v>111.54</v>
      </c>
      <c r="D37" s="1343" t="s">
        <v>743</v>
      </c>
      <c r="E37" s="301" t="s">
        <v>744</v>
      </c>
      <c r="F37" s="329">
        <f ca="1">INDIRECT("'数据-取费表'!Al"&amp;$G$1)</f>
        <v>1.5E-3</v>
      </c>
      <c r="G37" s="1383"/>
      <c r="H37" s="2699">
        <f ca="1">C39/C5</f>
        <v>0.7667903587069167</v>
      </c>
      <c r="I37" s="1397"/>
      <c r="J37" s="1398"/>
      <c r="K37" s="2543"/>
      <c r="L37" s="2699"/>
      <c r="M37" s="2699"/>
    </row>
    <row r="38" spans="1:18" ht="18" customHeight="1" thickBot="1">
      <c r="A38" s="1088" t="s">
        <v>684</v>
      </c>
      <c r="B38" s="1089" t="s">
        <v>728</v>
      </c>
      <c r="C38" s="1090">
        <f ca="1">ROUND(C5*F38,2)</f>
        <v>598.26</v>
      </c>
      <c r="D38" s="1091" t="s">
        <v>748</v>
      </c>
      <c r="E38" s="1089" t="s">
        <v>744</v>
      </c>
      <c r="F38" s="1085">
        <f ca="1">INDIRECT("'数据-取费表'!Am"&amp;$G$1)</f>
        <v>0.02</v>
      </c>
      <c r="G38" s="1383"/>
      <c r="H38" s="2699"/>
      <c r="I38" s="1397"/>
      <c r="J38" s="1398"/>
      <c r="K38" s="2703"/>
      <c r="L38" s="2699"/>
      <c r="M38" s="2699"/>
    </row>
    <row r="39" spans="1:18" ht="24.6" customHeight="1" thickTop="1">
      <c r="A39" s="1078" t="s">
        <v>394</v>
      </c>
      <c r="B39" s="1093" t="s">
        <v>772</v>
      </c>
      <c r="C39" s="309">
        <f ca="1">C5-C30</f>
        <v>22937</v>
      </c>
      <c r="D39" s="1094" t="s">
        <v>773</v>
      </c>
      <c r="E39" s="1095"/>
      <c r="F39" s="1096"/>
      <c r="G39" s="1383"/>
      <c r="H39" s="2699">
        <f ca="1">C39*0.6</f>
        <v>13762.199999999999</v>
      </c>
      <c r="I39" s="1397"/>
      <c r="J39" s="1398"/>
      <c r="K39" s="2703"/>
      <c r="L39" s="2699"/>
      <c r="M39" s="2699"/>
    </row>
    <row r="40" spans="1:18" ht="18" customHeight="1">
      <c r="A40" s="298" t="s">
        <v>395</v>
      </c>
      <c r="B40" s="299" t="s">
        <v>774</v>
      </c>
      <c r="C40" s="300">
        <f ca="1">ROUND(C39*(1-((1+F42)/(1+F40))^F41)/(F40-F42),0)</f>
        <v>265582</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14.25</v>
      </c>
      <c r="G41" s="1383"/>
      <c r="H41" s="1190"/>
      <c r="I41" s="1397"/>
      <c r="J41" s="1398"/>
      <c r="K41" s="2543"/>
      <c r="L41" s="1190"/>
      <c r="M41" s="1190"/>
    </row>
    <row r="42" spans="1:18" ht="18" customHeight="1">
      <c r="A42" s="307"/>
      <c r="B42" s="308"/>
      <c r="C42" s="309"/>
      <c r="D42" s="326"/>
      <c r="E42" s="301" t="s">
        <v>766</v>
      </c>
      <c r="F42" s="311">
        <f ca="1">INDIRECT("'数据-取费表'!v"&amp;$G$1)</f>
        <v>0.03</v>
      </c>
      <c r="G42" s="1383"/>
      <c r="H42" s="1190"/>
      <c r="I42" s="1397"/>
      <c r="J42" s="1398"/>
      <c r="K42" s="2543"/>
      <c r="L42" s="1190"/>
      <c r="M42" s="1190"/>
    </row>
    <row r="43" spans="1:18" ht="18" customHeight="1" thickBot="1">
      <c r="A43" s="333" t="s">
        <v>396</v>
      </c>
      <c r="B43" s="334" t="s">
        <v>776</v>
      </c>
      <c r="C43" s="335">
        <f ca="1">ROUND(C40*10000/F43,0)</f>
        <v>46237</v>
      </c>
      <c r="D43" s="336" t="s">
        <v>777</v>
      </c>
      <c r="E43" s="337" t="s">
        <v>778</v>
      </c>
      <c r="F43" s="338">
        <f ca="1">INDIRECT("'数据-取费表'!k"&amp;$G$1)</f>
        <v>57439.57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-279148</v>
      </c>
      <c r="D46" s="1405" t="str">
        <f>C2</f>
        <v>万元</v>
      </c>
      <c r="E46" s="1399"/>
      <c r="F46" s="1399"/>
      <c r="I46" s="1406" t="s">
        <v>810</v>
      </c>
      <c r="J46" s="1407"/>
      <c r="K46" s="1408"/>
      <c r="L46" s="1409">
        <f ca="1">IF(M47="住宅",0,IF(L48&gt;J51,L60,J60))</f>
        <v>19250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3435</v>
      </c>
      <c r="K47" s="1415" t="s">
        <v>816</v>
      </c>
      <c r="L47" s="1416">
        <f ca="1">INDIRECT("'数据-取费表'!d"&amp;$G$1)</f>
        <v>40</v>
      </c>
      <c r="M47" s="1379" t="str">
        <f>IF(ISNUMBER(FIND("住宅",C1)),"住宅","非住宅")</f>
        <v>非住宅</v>
      </c>
      <c r="O47" s="1417" t="s">
        <v>403</v>
      </c>
      <c r="P47" s="1418" t="s">
        <v>817</v>
      </c>
      <c r="Q47" s="1419">
        <f ca="1">C40+J29</f>
        <v>265582</v>
      </c>
      <c r="R47" s="1419" t="s">
        <v>818</v>
      </c>
    </row>
    <row r="48" spans="1:18" s="1383" customFormat="1" ht="28.5" thickBot="1">
      <c r="A48" s="1109" t="s">
        <v>438</v>
      </c>
      <c r="B48" s="299" t="s">
        <v>692</v>
      </c>
      <c r="C48" s="1358">
        <f ca="1">C49+C53+C55</f>
        <v>0</v>
      </c>
      <c r="D48" s="1111"/>
      <c r="E48" s="1112"/>
      <c r="F48" s="961"/>
      <c r="G48" s="721"/>
      <c r="H48" s="722"/>
      <c r="I48" s="1420" t="s">
        <v>819</v>
      </c>
      <c r="J48" s="1421" t="s">
        <v>3436</v>
      </c>
      <c r="K48" s="1422" t="s">
        <v>820</v>
      </c>
      <c r="L48" s="1423">
        <f ca="1">INDIRECT("'数据-取费表'!f"&amp;$G$1)</f>
        <v>14.25</v>
      </c>
      <c r="O48" s="1417" t="s">
        <v>404</v>
      </c>
      <c r="P48" s="1418" t="s">
        <v>821</v>
      </c>
      <c r="Q48" s="1419">
        <f ca="1">J60</f>
        <v>19250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2015</v>
      </c>
      <c r="K49" s="1422" t="s">
        <v>824</v>
      </c>
      <c r="L49" s="1426"/>
      <c r="O49" s="1427" t="s">
        <v>405</v>
      </c>
      <c r="P49" s="1418" t="s">
        <v>825</v>
      </c>
      <c r="Q49" s="1419">
        <f ca="1">C29</f>
        <v>85771</v>
      </c>
      <c r="R49" s="1419" t="s">
        <v>818</v>
      </c>
    </row>
    <row r="50" spans="1:18" s="1383" customFormat="1" ht="13.5" thickBot="1">
      <c r="A50" s="975"/>
      <c r="B50" s="978"/>
      <c r="C50" s="1117"/>
      <c r="D50" s="952"/>
      <c r="E50" s="1055" t="s">
        <v>697</v>
      </c>
      <c r="F50" s="1056">
        <f ca="1">F7</f>
        <v>57439.57</v>
      </c>
      <c r="H50" s="722"/>
      <c r="I50" s="1420" t="s">
        <v>826</v>
      </c>
      <c r="J50" s="1428">
        <f>SUMPRODUCT((I63:I65=J47)*(J62:L62=J48)*(J63:L65))</f>
        <v>60</v>
      </c>
      <c r="K50" s="1422" t="s">
        <v>827</v>
      </c>
      <c r="L50" s="1426"/>
      <c r="M50" s="1429"/>
      <c r="O50" s="1427" t="s">
        <v>406</v>
      </c>
      <c r="P50" s="1418" t="s">
        <v>828</v>
      </c>
      <c r="Q50" s="1430">
        <f ca="1">J58</f>
        <v>0.629</v>
      </c>
      <c r="R50" s="1419"/>
    </row>
    <row r="51" spans="1:18" s="1383" customFormat="1" ht="13.5" thickBot="1">
      <c r="A51" s="976"/>
      <c r="B51" s="978"/>
      <c r="C51" s="979"/>
      <c r="D51" s="952"/>
      <c r="E51" s="980" t="s">
        <v>698</v>
      </c>
      <c r="F51" s="302">
        <f ca="1">F8</f>
        <v>365</v>
      </c>
      <c r="I51" s="1431" t="s">
        <v>829</v>
      </c>
      <c r="J51" s="1432">
        <f>IF(J49="",J50,J49+J50-YEAR('数据-取费表'!B2))</f>
        <v>52</v>
      </c>
      <c r="K51" s="1433" t="s">
        <v>830</v>
      </c>
      <c r="L51" s="1434">
        <f ca="1">ROUND(-PV(INDIRECT("'数据-取费表'!h"&amp;$G$1),J51,(C39-C13*C76),0),0)</f>
        <v>326582</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14.25</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14.25</v>
      </c>
      <c r="K53" s="3792" t="s">
        <v>837</v>
      </c>
      <c r="L53" s="3793"/>
      <c r="O53" s="1417" t="s">
        <v>409</v>
      </c>
      <c r="P53" s="1418" t="s">
        <v>838</v>
      </c>
      <c r="Q53" s="1419">
        <f ca="1">Q47+Q48</f>
        <v>284832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0.629</v>
      </c>
      <c r="K55" s="1444" t="s">
        <v>841</v>
      </c>
      <c r="L55" s="1445"/>
      <c r="O55" s="1410" t="s">
        <v>811</v>
      </c>
      <c r="P55" s="1411" t="s">
        <v>812</v>
      </c>
      <c r="Q55" s="1412" t="s">
        <v>813</v>
      </c>
      <c r="R55" s="1412" t="s">
        <v>814</v>
      </c>
    </row>
    <row r="56" spans="1:18" s="1383" customFormat="1" ht="25.5" thickTop="1" thickBot="1">
      <c r="A56" s="956">
        <v>2</v>
      </c>
      <c r="B56" s="957" t="s">
        <v>704</v>
      </c>
      <c r="C56" s="231">
        <f ca="1">C13</f>
        <v>74363</v>
      </c>
      <c r="D56" s="1446"/>
      <c r="E56" s="1447"/>
      <c r="F56" s="1439"/>
      <c r="I56" s="1448" t="s">
        <v>842</v>
      </c>
      <c r="J56" s="1449" t="s">
        <v>3437</v>
      </c>
      <c r="K56" s="1420" t="s">
        <v>843</v>
      </c>
      <c r="L56" s="1423" t="str">
        <f ca="1">IF(L48&lt;J51,"——",L48-J53)</f>
        <v>——</v>
      </c>
      <c r="O56" s="1417" t="s">
        <v>403</v>
      </c>
      <c r="P56" s="1418" t="s">
        <v>817</v>
      </c>
      <c r="Q56" s="1419">
        <f ca="1">C40+J29</f>
        <v>265582</v>
      </c>
      <c r="R56" s="1419" t="s">
        <v>818</v>
      </c>
    </row>
    <row r="57" spans="1:18" s="1383" customFormat="1" ht="24.75" thickBot="1">
      <c r="A57" s="1450"/>
      <c r="B57" s="949" t="s">
        <v>767</v>
      </c>
      <c r="C57" s="237">
        <f ca="1">C29</f>
        <v>85771</v>
      </c>
      <c r="D57" s="1451"/>
      <c r="E57" s="1452"/>
      <c r="F57" s="1453"/>
      <c r="I57" s="1454" t="s">
        <v>844</v>
      </c>
      <c r="J57" s="1455">
        <f ca="1">IF(OR(M47="住宅",J51&lt;L48,J56="是"),"——",J51-L48)</f>
        <v>37.75</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1398</v>
      </c>
      <c r="D58" s="959" t="s">
        <v>715</v>
      </c>
      <c r="E58" s="960"/>
      <c r="F58" s="961"/>
      <c r="I58" s="1454" t="s">
        <v>848</v>
      </c>
      <c r="J58" s="1456">
        <f ca="1">IF(J55&lt;0.4,0.4,J55)</f>
        <v>0.629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53950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19250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3341</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265582</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1286.57</v>
      </c>
      <c r="D64" s="963" t="s">
        <v>791</v>
      </c>
      <c r="E64" s="949" t="s">
        <v>783</v>
      </c>
      <c r="F64" s="327">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111.54</v>
      </c>
      <c r="D65" s="963" t="s">
        <v>743</v>
      </c>
      <c r="E65" s="949" t="s">
        <v>744</v>
      </c>
      <c r="F65" s="329">
        <f t="shared" ca="1" si="0"/>
        <v>1.5E-3</v>
      </c>
      <c r="I65" s="1461" t="s">
        <v>867</v>
      </c>
      <c r="J65" s="1462">
        <v>40</v>
      </c>
      <c r="K65" s="1462">
        <v>30</v>
      </c>
      <c r="L65" s="1462">
        <v>50</v>
      </c>
      <c r="M65" s="1464">
        <v>0.02</v>
      </c>
      <c r="O65" s="1417" t="s">
        <v>403</v>
      </c>
      <c r="P65" s="1418" t="s">
        <v>868</v>
      </c>
      <c r="Q65" s="1419">
        <f ca="1">C40+J29</f>
        <v>265582</v>
      </c>
      <c r="R65" s="1419" t="s">
        <v>818</v>
      </c>
    </row>
    <row r="66" spans="1:18" s="1383" customFormat="1" ht="16.5" thickBot="1">
      <c r="A66" s="981" t="s">
        <v>793</v>
      </c>
      <c r="B66" s="949" t="s">
        <v>728</v>
      </c>
      <c r="C66" s="21">
        <f ca="1">ROUND(C48*F66,2)</f>
        <v>0</v>
      </c>
      <c r="D66" s="963" t="s">
        <v>794</v>
      </c>
      <c r="E66" s="949" t="s">
        <v>712</v>
      </c>
      <c r="F66" s="311">
        <f t="shared" ca="1" si="0"/>
        <v>0.02</v>
      </c>
      <c r="O66" s="1417" t="s">
        <v>404</v>
      </c>
      <c r="P66" s="1418" t="s">
        <v>846</v>
      </c>
      <c r="Q66" s="1419">
        <f ca="1">L60</f>
        <v>0</v>
      </c>
      <c r="R66" s="1419" t="s">
        <v>869</v>
      </c>
    </row>
    <row r="67" spans="1:18" s="1383" customFormat="1" ht="16.5" thickBot="1">
      <c r="A67" s="956" t="s">
        <v>394</v>
      </c>
      <c r="B67" s="966" t="s">
        <v>752</v>
      </c>
      <c r="C67" s="315">
        <f ca="1">C48-C58</f>
        <v>-1398</v>
      </c>
      <c r="D67" s="962" t="s">
        <v>753</v>
      </c>
      <c r="E67" s="967"/>
      <c r="F67" s="968"/>
      <c r="O67" s="1427" t="s">
        <v>405</v>
      </c>
      <c r="P67" s="1418" t="s">
        <v>850</v>
      </c>
      <c r="Q67" s="1465">
        <f ca="1">L51</f>
        <v>326582</v>
      </c>
      <c r="R67" s="1419" t="s">
        <v>870</v>
      </c>
    </row>
    <row r="68" spans="1:18" s="1383" customFormat="1" ht="16.5" thickBot="1">
      <c r="A68" s="946" t="s">
        <v>395</v>
      </c>
      <c r="B68" s="947" t="s">
        <v>774</v>
      </c>
      <c r="C68" s="300">
        <f ca="1">ROUND(C67*(1-((1+F70)/(1+F68))^F69)/(F68-F70),0)</f>
        <v>-13566</v>
      </c>
      <c r="D68" s="964" t="s">
        <v>758</v>
      </c>
      <c r="E68" s="949" t="s">
        <v>759</v>
      </c>
      <c r="F68" s="311">
        <f ca="1">F40</f>
        <v>5.5E-2</v>
      </c>
      <c r="O68" s="1427" t="s">
        <v>406</v>
      </c>
      <c r="P68" s="1466" t="s">
        <v>871</v>
      </c>
      <c r="Q68" s="1419">
        <f ca="1">ROUND(Q69-Q70*Q71,0)</f>
        <v>17732</v>
      </c>
      <c r="R68" s="1419" t="s">
        <v>414</v>
      </c>
    </row>
    <row r="69" spans="1:18" s="1383" customFormat="1" ht="13.5" thickBot="1">
      <c r="A69" s="950"/>
      <c r="B69" s="951"/>
      <c r="C69" s="305"/>
      <c r="D69" s="969" t="s">
        <v>762</v>
      </c>
      <c r="E69" s="949" t="s">
        <v>763</v>
      </c>
      <c r="F69" s="332">
        <f ca="1">F41</f>
        <v>14.25</v>
      </c>
      <c r="O69" s="1427" t="s">
        <v>411</v>
      </c>
      <c r="P69" s="1466" t="s">
        <v>872</v>
      </c>
      <c r="Q69" s="1419">
        <f ca="1">C39</f>
        <v>22937</v>
      </c>
      <c r="R69" s="1419" t="s">
        <v>818</v>
      </c>
    </row>
    <row r="70" spans="1:18" s="1383" customFormat="1" ht="13.5" thickBot="1">
      <c r="A70" s="953"/>
      <c r="B70" s="954"/>
      <c r="C70" s="309"/>
      <c r="D70" s="965"/>
      <c r="E70" s="949" t="s">
        <v>766</v>
      </c>
      <c r="F70" s="1053"/>
      <c r="O70" s="1427" t="s">
        <v>412</v>
      </c>
      <c r="P70" s="1466" t="s">
        <v>873</v>
      </c>
      <c r="Q70" s="1419">
        <f ca="1">C13</f>
        <v>74363</v>
      </c>
      <c r="R70" s="1419" t="s">
        <v>818</v>
      </c>
    </row>
    <row r="71" spans="1:18" s="1383" customFormat="1" ht="13.5" thickBot="1">
      <c r="A71" s="970" t="s">
        <v>396</v>
      </c>
      <c r="B71" s="971" t="s">
        <v>776</v>
      </c>
      <c r="C71" s="335">
        <f ca="1">ROUND(C68*10000/F71,0)</f>
        <v>-2362</v>
      </c>
      <c r="D71" s="972" t="s">
        <v>777</v>
      </c>
      <c r="E71" s="973" t="s">
        <v>778</v>
      </c>
      <c r="F71" s="338">
        <f ca="1">F43</f>
        <v>57439.57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5205</v>
      </c>
      <c r="D75" s="1383"/>
      <c r="E75" s="1383"/>
      <c r="F75" s="1383"/>
      <c r="K75" s="1401"/>
      <c r="L75" s="1383"/>
      <c r="O75" s="1417" t="s">
        <v>409</v>
      </c>
      <c r="P75" s="1418" t="s">
        <v>838</v>
      </c>
      <c r="Q75" s="1419">
        <f ca="1">Q65+Q66</f>
        <v>265582</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0.77300000000000002</v>
      </c>
    </row>
    <row r="80" spans="1:18">
      <c r="B80" s="339" t="s">
        <v>800</v>
      </c>
      <c r="C80" s="273">
        <f ca="1">ROUND(C75/C39,3)</f>
        <v>0.22700000000000001</v>
      </c>
    </row>
    <row r="81" spans="2:3">
      <c r="B81" s="269" t="s">
        <v>801</v>
      </c>
      <c r="C81" s="237"/>
    </row>
    <row r="82" spans="2:3">
      <c r="B82" s="272" t="s">
        <v>802</v>
      </c>
      <c r="C82" s="274">
        <f ca="1">1-C83</f>
        <v>0.72</v>
      </c>
    </row>
    <row r="83" spans="2:3">
      <c r="B83" s="272" t="s">
        <v>803</v>
      </c>
      <c r="C83" s="273">
        <f ca="1">ROUND(C13/C40,3)</f>
        <v>0.28000000000000003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794" t="s">
        <v>694</v>
      </c>
      <c r="C6" s="1073">
        <f ca="1">ROUND(F6*F8*F7*(1-F9),0)</f>
        <v>0</v>
      </c>
      <c r="D6" s="154" t="s">
        <v>2105</v>
      </c>
      <c r="E6" s="301" t="s">
        <v>696</v>
      </c>
      <c r="F6" s="302">
        <f ca="1">INDIRECT("'数据-取费表'!u"&amp;$G$1)</f>
        <v>0</v>
      </c>
      <c r="G6" s="1383"/>
      <c r="H6" s="1068" t="s">
        <v>398</v>
      </c>
      <c r="I6" s="3794" t="s">
        <v>694</v>
      </c>
      <c r="J6" s="300">
        <f ca="1">ROUND(M6*M8*M7*(1-M9),0)</f>
        <v>0</v>
      </c>
      <c r="K6" s="1375" t="s">
        <v>2106</v>
      </c>
      <c r="L6" s="301" t="s">
        <v>696</v>
      </c>
      <c r="M6" s="302">
        <f ca="1">INDIRECT("'数据-取费表'!z"&amp;$G$1)</f>
        <v>0</v>
      </c>
    </row>
    <row r="7" spans="1:37" ht="18" customHeight="1">
      <c r="A7" s="1072"/>
      <c r="B7" s="3795"/>
      <c r="C7" s="1074"/>
      <c r="D7" s="306"/>
      <c r="E7" s="1075" t="s">
        <v>697</v>
      </c>
      <c r="F7" s="302">
        <f ca="1">IF(INDIRECT("'数据-取费表'!ah"&amp;$G$1)="",INDIRECT("'数据-取费表'!k"&amp;$G$1),INDIRECT("'数据-取费表'!ah"&amp;$G$1))</f>
        <v>0</v>
      </c>
      <c r="G7" s="1383"/>
      <c r="H7" s="303"/>
      <c r="I7" s="3795"/>
      <c r="J7" s="305"/>
      <c r="K7" s="306"/>
      <c r="L7" s="301" t="s">
        <v>697</v>
      </c>
      <c r="M7" s="302">
        <f ca="1">F7</f>
        <v>0</v>
      </c>
    </row>
    <row r="8" spans="1:37" ht="18" customHeight="1">
      <c r="A8" s="303"/>
      <c r="B8" s="3795"/>
      <c r="C8" s="305"/>
      <c r="D8" s="306"/>
      <c r="E8" s="301" t="s">
        <v>698</v>
      </c>
      <c r="F8" s="302">
        <f ca="1">INDIRECT("'数据-取费表'!ai"&amp;$G$1)</f>
        <v>0</v>
      </c>
      <c r="G8" s="1383"/>
      <c r="H8" s="303"/>
      <c r="I8" s="3795"/>
      <c r="J8" s="305"/>
      <c r="K8" s="306"/>
      <c r="L8" s="301" t="s">
        <v>698</v>
      </c>
      <c r="M8" s="302">
        <f ca="1">INDIRECT("'数据-取费表'!ai"&amp;$G$1)</f>
        <v>0</v>
      </c>
    </row>
    <row r="9" spans="1:37" ht="18" customHeight="1">
      <c r="A9" s="303"/>
      <c r="B9" s="3796"/>
      <c r="C9" s="305"/>
      <c r="D9" s="306"/>
      <c r="E9" s="301" t="s">
        <v>699</v>
      </c>
      <c r="F9" s="311">
        <f ca="1">INDIRECT("'数据-取费表'!w"&amp;$G$1)</f>
        <v>0</v>
      </c>
      <c r="G9" s="1383"/>
      <c r="H9" s="303"/>
      <c r="I9" s="379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3341</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2.5</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2309</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3341</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3357</v>
      </c>
      <c r="B45" s="1399"/>
      <c r="C45" s="1471" t="e">
        <f ca="1">ROUND((C68-C40)/10000,4)</f>
        <v>#DIV/0!</v>
      </c>
      <c r="D45" s="3430"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792" t="s">
        <v>837</v>
      </c>
      <c r="L53" s="3793"/>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3341</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C36" sqref="C36"/>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4" t="s">
        <v>2318</v>
      </c>
      <c r="B2" s="2841">
        <f ca="1">IF(D2="——",C40,C40+E2)</f>
        <v>275459</v>
      </c>
      <c r="C2" s="2842" t="s">
        <v>2319</v>
      </c>
      <c r="D2" s="3441" t="s">
        <v>43</v>
      </c>
      <c r="E2" s="3442"/>
      <c r="F2" s="2844"/>
      <c r="G2" s="2845"/>
      <c r="H2" s="2846"/>
      <c r="I2" s="2847"/>
      <c r="J2" s="3797" t="s">
        <v>2320</v>
      </c>
      <c r="K2" s="379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f ca="1">ROUND(B2*10000/B4,0)</f>
        <v>47210</v>
      </c>
      <c r="C3" s="2842" t="s">
        <v>2329</v>
      </c>
      <c r="D3" s="2842"/>
      <c r="E3" s="2843"/>
      <c r="F3" s="2844"/>
      <c r="G3" s="2845"/>
      <c r="H3" s="2846"/>
      <c r="I3" s="2847"/>
      <c r="J3" s="3799" t="s">
        <v>2330</v>
      </c>
      <c r="K3" s="3800"/>
      <c r="L3" s="2854"/>
      <c r="M3" s="2854"/>
      <c r="N3" s="2854"/>
      <c r="O3" s="2854"/>
      <c r="P3" s="2854"/>
      <c r="Q3" s="2855"/>
      <c r="R3" s="2856">
        <f>SUM(L3:Q3)</f>
        <v>0</v>
      </c>
      <c r="S3" s="2839"/>
      <c r="T3" s="2839"/>
      <c r="U3" s="2839"/>
      <c r="V3" s="2847"/>
    </row>
    <row r="4" spans="1:22" s="2851" customFormat="1" ht="13.15" customHeight="1">
      <c r="A4" s="2857" t="s">
        <v>2331</v>
      </c>
      <c r="B4" s="2858">
        <f>'数据-汇总表'!E3</f>
        <v>58348.11</v>
      </c>
      <c r="C4" s="2842"/>
      <c r="D4" s="2842"/>
      <c r="E4" s="2843"/>
      <c r="F4" s="2844"/>
      <c r="G4" s="2845"/>
      <c r="H4" s="2846"/>
      <c r="I4" s="2847"/>
      <c r="J4" s="3799" t="s">
        <v>2332</v>
      </c>
      <c r="K4" s="380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801" t="s">
        <v>2336</v>
      </c>
      <c r="B6" s="3802"/>
      <c r="C6" s="3803"/>
      <c r="D6" s="2868">
        <v>38000</v>
      </c>
      <c r="E6" s="2869"/>
      <c r="F6" s="2870"/>
      <c r="G6" s="2871"/>
      <c r="H6" s="2846"/>
      <c r="I6" s="2847"/>
      <c r="J6" s="3804">
        <v>1</v>
      </c>
      <c r="K6" s="3805"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 ca="1">SUM(D9,D10,D11,D17,0)</f>
        <v>12310</v>
      </c>
      <c r="E7" s="2878">
        <f ca="1">E9+E10+E11+E17</f>
        <v>0.32394736842105265</v>
      </c>
      <c r="F7" s="2879"/>
      <c r="G7" s="2880"/>
      <c r="H7" s="2846"/>
      <c r="I7" s="2847"/>
      <c r="J7" s="3804"/>
      <c r="K7" s="3806"/>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808" t="s">
        <v>2350</v>
      </c>
      <c r="C8" s="3809"/>
      <c r="D8" s="2887" t="s">
        <v>2351</v>
      </c>
      <c r="E8" s="2888" t="s">
        <v>2352</v>
      </c>
      <c r="F8" s="2889" t="s">
        <v>2353</v>
      </c>
      <c r="G8" s="2890"/>
      <c r="H8" s="2846"/>
      <c r="I8" s="2847"/>
      <c r="J8" s="3804"/>
      <c r="K8" s="3806"/>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808" t="s">
        <v>2356</v>
      </c>
      <c r="C9" s="3809"/>
      <c r="D9" s="2887">
        <f>ROUND(D6*E9,0)</f>
        <v>3800</v>
      </c>
      <c r="E9" s="2891">
        <v>0.1</v>
      </c>
      <c r="F9" s="2892" t="s">
        <v>2357</v>
      </c>
      <c r="G9" s="2871"/>
      <c r="H9" s="2846"/>
      <c r="I9" s="2847"/>
      <c r="J9" s="3804"/>
      <c r="K9" s="3806"/>
      <c r="L9" s="2881" t="s">
        <v>2358</v>
      </c>
      <c r="M9" s="2882"/>
      <c r="N9" s="2858"/>
      <c r="O9" s="2883"/>
      <c r="P9" s="2883"/>
      <c r="Q9" s="2884">
        <v>365</v>
      </c>
      <c r="R9" s="2885">
        <f t="shared" si="0"/>
        <v>0</v>
      </c>
      <c r="S9" s="2839"/>
      <c r="T9" s="2839"/>
      <c r="U9" s="2839"/>
      <c r="V9" s="2847"/>
    </row>
    <row r="10" spans="1:22" s="2851" customFormat="1" ht="13.15" customHeight="1">
      <c r="A10" s="2886">
        <v>2</v>
      </c>
      <c r="B10" s="3808" t="s">
        <v>2359</v>
      </c>
      <c r="C10" s="3809"/>
      <c r="D10" s="2887">
        <f>ROUND(D6*E10,0)</f>
        <v>3800</v>
      </c>
      <c r="E10" s="2891">
        <v>0.1</v>
      </c>
      <c r="F10" s="2892" t="s">
        <v>2360</v>
      </c>
      <c r="G10" s="2871"/>
      <c r="H10" s="2846"/>
      <c r="I10" s="2847"/>
      <c r="J10" s="3804"/>
      <c r="K10" s="3806"/>
      <c r="L10" s="2881" t="s">
        <v>2361</v>
      </c>
      <c r="M10" s="2882"/>
      <c r="N10" s="2858"/>
      <c r="O10" s="2883"/>
      <c r="P10" s="2883"/>
      <c r="Q10" s="2884">
        <v>365</v>
      </c>
      <c r="R10" s="2885">
        <f t="shared" si="0"/>
        <v>0</v>
      </c>
      <c r="S10" s="2839"/>
      <c r="T10" s="2839"/>
      <c r="U10" s="2839"/>
      <c r="V10" s="2847"/>
    </row>
    <row r="11" spans="1:22" s="2851" customFormat="1" ht="13.15" customHeight="1">
      <c r="A11" s="2886">
        <v>3</v>
      </c>
      <c r="B11" s="3808" t="s">
        <v>2362</v>
      </c>
      <c r="C11" s="3809"/>
      <c r="D11" s="2887">
        <f ca="1">D12+D14+D15+D16</f>
        <v>2810</v>
      </c>
      <c r="E11" s="2893">
        <f ca="1">D11/D6</f>
        <v>7.3947368421052637E-2</v>
      </c>
      <c r="F11" s="2889"/>
      <c r="G11" s="2890"/>
      <c r="H11" s="2846"/>
      <c r="I11" s="2847"/>
      <c r="J11" s="3804"/>
      <c r="K11" s="3806"/>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810" t="s">
        <v>2365</v>
      </c>
      <c r="C12" s="3811"/>
      <c r="D12" s="2895">
        <f ca="1">ROUND(D13*1.2%*(1-30%),0)</f>
        <v>720</v>
      </c>
      <c r="E12" s="2896">
        <v>1.2E-2</v>
      </c>
      <c r="F12" s="2889" t="s">
        <v>2366</v>
      </c>
      <c r="G12" s="2890"/>
      <c r="H12" s="2846"/>
      <c r="I12" s="2847"/>
      <c r="J12" s="3804"/>
      <c r="K12" s="3806"/>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f ca="1">成本法!C49</f>
        <v>85771</v>
      </c>
      <c r="E13" s="2900"/>
      <c r="F13" s="2889"/>
      <c r="G13" s="2890"/>
      <c r="H13" s="2846"/>
      <c r="I13" s="2847"/>
      <c r="J13" s="3804"/>
      <c r="K13" s="3806"/>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810" t="s">
        <v>2371</v>
      </c>
      <c r="C14" s="3811"/>
      <c r="D14" s="2895">
        <f>ROUND(E14*B5/10000,0)</f>
        <v>0</v>
      </c>
      <c r="E14" s="3452">
        <v>1.5</v>
      </c>
      <c r="F14" s="2889" t="s">
        <v>2372</v>
      </c>
      <c r="G14" s="2890"/>
      <c r="H14" s="2846"/>
      <c r="I14" s="2847"/>
      <c r="J14" s="3804"/>
      <c r="K14" s="3807"/>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810" t="s">
        <v>2375</v>
      </c>
      <c r="C15" s="3811"/>
      <c r="D15" s="2895">
        <f>ROUND(D6*E15,0)</f>
        <v>2090</v>
      </c>
      <c r="E15" s="2896">
        <v>5.5E-2</v>
      </c>
      <c r="F15" s="2889" t="s">
        <v>2376</v>
      </c>
      <c r="G15" s="2871"/>
      <c r="H15" s="2846"/>
      <c r="I15" s="2847"/>
      <c r="J15" s="3804">
        <v>2</v>
      </c>
      <c r="K15" s="3805"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810" t="s">
        <v>2384</v>
      </c>
      <c r="C16" s="3811"/>
      <c r="D16" s="2906">
        <f>D6*E16</f>
        <v>0</v>
      </c>
      <c r="E16" s="2907"/>
      <c r="F16" s="2892" t="s">
        <v>2385</v>
      </c>
      <c r="G16" s="2871"/>
      <c r="H16" s="2846"/>
      <c r="I16" s="2847"/>
      <c r="J16" s="3804"/>
      <c r="K16" s="3806"/>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812" t="s">
        <v>2387</v>
      </c>
      <c r="C17" s="3813"/>
      <c r="D17" s="2909">
        <f>ROUND(D6*E17,0)</f>
        <v>1900</v>
      </c>
      <c r="E17" s="2910">
        <v>0.05</v>
      </c>
      <c r="F17" s="2911" t="s">
        <v>2388</v>
      </c>
      <c r="G17" s="2871"/>
      <c r="H17" s="2846"/>
      <c r="I17" s="2847"/>
      <c r="J17" s="3804"/>
      <c r="K17" s="3806"/>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1900</v>
      </c>
      <c r="E18" s="2913">
        <v>0.05</v>
      </c>
      <c r="F18" s="2914" t="s">
        <v>2391</v>
      </c>
      <c r="G18" s="2871"/>
      <c r="H18" s="2846"/>
      <c r="I18" s="2847"/>
      <c r="J18" s="3804"/>
      <c r="K18" s="3806"/>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804"/>
      <c r="K19" s="3807"/>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804">
        <v>3</v>
      </c>
      <c r="K20" s="3805"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804"/>
      <c r="K21" s="3806"/>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804"/>
      <c r="K22" s="3806"/>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38000</v>
      </c>
      <c r="D23" s="2932">
        <f>C23*(1+D24)</f>
        <v>38000</v>
      </c>
      <c r="E23" s="2933">
        <f>D23*(1+E24)</f>
        <v>38000</v>
      </c>
      <c r="F23" s="2934"/>
      <c r="G23" s="2935"/>
      <c r="H23" s="2846"/>
      <c r="I23" s="2847"/>
      <c r="J23" s="3804"/>
      <c r="K23" s="3806"/>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804"/>
      <c r="K24" s="3807"/>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 ca="1">D7</f>
        <v>12310</v>
      </c>
      <c r="D26" s="2932">
        <f>D23*D27</f>
        <v>0</v>
      </c>
      <c r="E26" s="2933">
        <f>E23*E27</f>
        <v>0</v>
      </c>
      <c r="F26" s="2934"/>
      <c r="G26" s="2935"/>
      <c r="H26" s="2846"/>
      <c r="I26" s="2847"/>
      <c r="J26" s="381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f ca="1">E7</f>
        <v>0.32394736842105265</v>
      </c>
      <c r="D27" s="2939"/>
      <c r="E27" s="2940"/>
      <c r="F27" s="2941"/>
      <c r="G27" s="2935"/>
      <c r="H27" s="2956"/>
      <c r="I27" s="2947"/>
      <c r="J27" s="381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1900</v>
      </c>
      <c r="D29" s="2932">
        <f>D23*C30</f>
        <v>1900</v>
      </c>
      <c r="E29" s="2933">
        <f>E23*C30</f>
        <v>1900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0.05</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 ca="1">C23-C26-C29</f>
        <v>23790</v>
      </c>
      <c r="D32" s="2932">
        <f>D23-D26-D29</f>
        <v>36100</v>
      </c>
      <c r="E32" s="2933">
        <f>E23-E26-E29</f>
        <v>36100</v>
      </c>
      <c r="F32" s="2934"/>
      <c r="G32" s="2928"/>
      <c r="H32" s="2846"/>
      <c r="I32" s="2847"/>
      <c r="J32" s="3797" t="s">
        <v>2320</v>
      </c>
      <c r="K32" s="379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99" t="s">
        <v>2330</v>
      </c>
      <c r="K33" s="380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v>5.5E-2</v>
      </c>
      <c r="D34" s="2976"/>
      <c r="E34" s="2977"/>
      <c r="F34" s="2934"/>
      <c r="G34" s="2928"/>
      <c r="H34" s="2956"/>
      <c r="I34" s="2947"/>
      <c r="J34" s="3799" t="s">
        <v>2332</v>
      </c>
      <c r="K34" s="3800"/>
      <c r="L34" s="2859"/>
      <c r="M34" s="2859"/>
      <c r="N34" s="2859"/>
      <c r="O34" s="2859"/>
      <c r="P34" s="2859"/>
      <c r="Q34" s="2860"/>
      <c r="R34" s="2978">
        <f>SUM(L34:Q34)</f>
        <v>0</v>
      </c>
      <c r="S34" s="2920"/>
      <c r="T34" s="2839"/>
      <c r="U34" s="2839"/>
      <c r="V34" s="2847"/>
    </row>
    <row r="35" spans="1:23" s="2851" customFormat="1" ht="13.15" customHeight="1">
      <c r="A35" s="2929">
        <v>6</v>
      </c>
      <c r="B35" s="2930" t="s">
        <v>2430</v>
      </c>
      <c r="C35" s="2979">
        <v>0.03</v>
      </c>
      <c r="D35" s="2980"/>
      <c r="E35" s="2981"/>
      <c r="F35" s="2934"/>
      <c r="G35" s="2982"/>
      <c r="H35" s="2846"/>
      <c r="I35" s="2947"/>
      <c r="J35" s="2865" t="s">
        <v>2334</v>
      </c>
      <c r="K35" s="2866"/>
      <c r="L35" s="2866"/>
      <c r="M35" s="2867"/>
      <c r="N35" s="2867"/>
      <c r="O35" s="2867"/>
      <c r="P35" s="2867"/>
      <c r="Q35" s="2867"/>
      <c r="R35" s="2983">
        <f>R40+R41+R43</f>
        <v>0</v>
      </c>
      <c r="S35" s="2920"/>
      <c r="T35" s="2839"/>
      <c r="U35" s="2839"/>
      <c r="V35" s="2847"/>
    </row>
    <row r="36" spans="1:23" s="2851" customFormat="1" ht="13.15" customHeight="1" thickBot="1">
      <c r="A36" s="2929">
        <v>7</v>
      </c>
      <c r="B36" s="2984" t="s">
        <v>2431</v>
      </c>
      <c r="C36" s="2985">
        <f>项目基本情况!D15</f>
        <v>14.25</v>
      </c>
      <c r="D36" s="2986"/>
      <c r="E36" s="2987"/>
      <c r="F36" s="2988">
        <f>C36+D36+E36</f>
        <v>14.25</v>
      </c>
      <c r="G36" s="2928"/>
      <c r="H36" s="2846"/>
      <c r="I36" s="2847"/>
      <c r="J36" s="3804">
        <v>1</v>
      </c>
      <c r="K36" s="3805" t="s">
        <v>2432</v>
      </c>
      <c r="L36" s="2872"/>
      <c r="M36" s="2873"/>
      <c r="N36" s="2873"/>
      <c r="O36" s="2873"/>
      <c r="P36" s="2873"/>
      <c r="Q36" s="2873"/>
      <c r="R36" s="2856" t="s">
        <v>2344</v>
      </c>
      <c r="S36" s="2920"/>
      <c r="T36" s="2839"/>
      <c r="U36" s="2839"/>
      <c r="V36" s="2847"/>
    </row>
    <row r="37" spans="1:23" s="2851" customFormat="1" ht="13.15" customHeight="1">
      <c r="A37" s="2929"/>
      <c r="B37" s="2930"/>
      <c r="C37" s="2930"/>
      <c r="D37" s="2930"/>
      <c r="E37" s="2930"/>
      <c r="F37" s="2934"/>
      <c r="G37" s="2928"/>
      <c r="H37" s="2846"/>
      <c r="I37" s="2847"/>
      <c r="J37" s="3804"/>
      <c r="K37" s="3806"/>
      <c r="L37" s="2881"/>
      <c r="M37" s="2882"/>
      <c r="N37" s="2858"/>
      <c r="O37" s="2883"/>
      <c r="P37" s="2883"/>
      <c r="Q37" s="2884"/>
      <c r="R37" s="2885"/>
      <c r="S37" s="2920"/>
      <c r="T37" s="2839"/>
      <c r="U37" s="2839"/>
      <c r="V37" s="2847"/>
    </row>
    <row r="38" spans="1:23" s="2851" customFormat="1" ht="13.15" customHeight="1">
      <c r="A38" s="2929">
        <v>8</v>
      </c>
      <c r="B38" s="2930"/>
      <c r="C38" s="2887">
        <f ca="1">ROUND(C32*(1-((1+C35)/(1+C34))^C36)/(C34-C35),0)</f>
        <v>275459</v>
      </c>
      <c r="D38" s="3453"/>
      <c r="E38" s="3453"/>
      <c r="F38" s="2934"/>
      <c r="G38" s="2928"/>
      <c r="H38" s="2846"/>
      <c r="I38" s="2847"/>
      <c r="J38" s="3804"/>
      <c r="K38" s="3806"/>
      <c r="L38" s="2881"/>
      <c r="M38" s="2882"/>
      <c r="N38" s="2858"/>
      <c r="O38" s="2883"/>
      <c r="P38" s="2883"/>
      <c r="Q38" s="2884"/>
      <c r="R38" s="2885"/>
      <c r="S38" s="2920"/>
      <c r="T38" s="2839"/>
      <c r="U38" s="2839"/>
      <c r="V38" s="2847"/>
    </row>
    <row r="39" spans="1:23" s="2851" customFormat="1" ht="13.15" customHeight="1">
      <c r="A39" s="2929">
        <v>9</v>
      </c>
      <c r="B39" s="2930" t="s">
        <v>2433</v>
      </c>
      <c r="C39" s="2895">
        <f ca="1">C38</f>
        <v>275459</v>
      </c>
      <c r="D39" s="3454"/>
      <c r="E39" s="3454"/>
      <c r="F39" s="2934"/>
      <c r="G39" s="2989"/>
      <c r="H39" s="2846"/>
      <c r="I39" s="2847"/>
      <c r="J39" s="3804"/>
      <c r="K39" s="3806"/>
      <c r="L39" s="2881"/>
      <c r="M39" s="2882"/>
      <c r="N39" s="2858"/>
      <c r="O39" s="2883"/>
      <c r="P39" s="2883"/>
      <c r="Q39" s="2884"/>
      <c r="R39" s="2885"/>
      <c r="S39" s="2920"/>
      <c r="T39" s="2839"/>
      <c r="U39" s="2839"/>
      <c r="V39" s="2847"/>
    </row>
    <row r="40" spans="1:23" s="2851" customFormat="1" ht="13.15" customHeight="1">
      <c r="A40" s="2990">
        <v>10</v>
      </c>
      <c r="B40" s="2930" t="s">
        <v>2434</v>
      </c>
      <c r="C40" s="2991">
        <f ca="1">C39+D39+E39</f>
        <v>275459</v>
      </c>
      <c r="D40" s="2992"/>
      <c r="E40" s="2992"/>
      <c r="F40" s="2993"/>
      <c r="G40" s="2928"/>
      <c r="H40" s="2846"/>
      <c r="I40" s="2847"/>
      <c r="J40" s="3804"/>
      <c r="K40" s="3807"/>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f ca="1">ROUND(C40*10000/B4,0)</f>
        <v>47210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81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81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284832</v>
      </c>
      <c r="C2" s="1871" t="s">
        <v>1650</v>
      </c>
      <c r="D2" s="1872" t="s">
        <v>1651</v>
      </c>
      <c r="E2" s="2606">
        <f>SUM(E6:E13)</f>
        <v>58348.11</v>
      </c>
      <c r="F2" s="2706"/>
      <c r="G2" s="1488"/>
      <c r="H2" s="1488"/>
      <c r="I2" s="1488"/>
      <c r="J2" s="1488"/>
      <c r="K2" s="1488"/>
      <c r="L2" s="1488"/>
      <c r="M2" s="1488"/>
      <c r="N2" s="1488"/>
      <c r="O2" s="1488"/>
      <c r="P2" s="1488"/>
      <c r="Q2" s="1488"/>
      <c r="R2" s="1488"/>
      <c r="S2" s="1488"/>
    </row>
    <row r="3" spans="1:22" ht="15.75">
      <c r="A3" s="1869" t="s">
        <v>686</v>
      </c>
      <c r="B3" s="2600">
        <f ca="1">ROUND(B2*10000/E2,0)</f>
        <v>48816</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816" t="s">
        <v>1653</v>
      </c>
      <c r="C5" s="3817"/>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v>
      </c>
      <c r="B6" s="2601">
        <f ca="1">IF(F6="是",'数据-取费表'!AO6,0)</f>
        <v>284832</v>
      </c>
      <c r="C6" s="1871" t="s">
        <v>1650</v>
      </c>
      <c r="D6" s="2708"/>
      <c r="E6" s="2605">
        <f>IF(OR(A6=0,F6="否"),0,'数据-取费表'!K6+'数据-取费表'!S6)</f>
        <v>58348.11</v>
      </c>
      <c r="F6" s="1875" t="s">
        <v>1656</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1650</v>
      </c>
      <c r="D7" s="2708"/>
      <c r="E7" s="2605">
        <f>IF(OR(A7=0,F7="否"),0,'数据-取费表'!K7+'数据-取费表'!S7)</f>
        <v>0</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4"/>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58348.11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1665</v>
      </c>
      <c r="B4" s="355"/>
      <c r="C4" s="3764" t="s">
        <v>1666</v>
      </c>
      <c r="D4" s="3765"/>
      <c r="E4" s="3766" t="s">
        <v>1667</v>
      </c>
      <c r="F4" s="3767"/>
      <c r="G4" s="3764" t="s">
        <v>1668</v>
      </c>
      <c r="H4" s="3765"/>
      <c r="I4" s="3764" t="s">
        <v>1669</v>
      </c>
      <c r="J4" s="3765"/>
      <c r="K4" s="1888" t="s">
        <v>1670</v>
      </c>
      <c r="L4" s="2714"/>
      <c r="M4" s="2715"/>
      <c r="N4" s="2715"/>
      <c r="O4" s="2715"/>
      <c r="P4" s="3768" t="s">
        <v>1671</v>
      </c>
      <c r="Q4" s="3769"/>
      <c r="R4" s="3751" t="s">
        <v>1667</v>
      </c>
      <c r="S4" s="3752"/>
      <c r="T4" s="3751" t="s">
        <v>1668</v>
      </c>
      <c r="U4" s="3752"/>
      <c r="V4" s="3748" t="s">
        <v>1669</v>
      </c>
      <c r="W4" s="3748"/>
      <c r="X4" s="1354"/>
      <c r="Y4" s="3751" t="s">
        <v>1671</v>
      </c>
      <c r="Z4" s="3752"/>
      <c r="AA4" s="3745" t="s">
        <v>1667</v>
      </c>
      <c r="AB4" s="3745" t="s">
        <v>1668</v>
      </c>
      <c r="AC4" s="3745" t="s">
        <v>1669</v>
      </c>
    </row>
    <row r="5" spans="1:29" ht="15">
      <c r="A5" s="357"/>
      <c r="B5" s="358"/>
      <c r="C5" s="3757" t="s">
        <v>1672</v>
      </c>
      <c r="D5" s="3758"/>
      <c r="E5" s="3818" t="s">
        <v>1673</v>
      </c>
      <c r="F5" s="3756"/>
      <c r="G5" s="3757" t="s">
        <v>1674</v>
      </c>
      <c r="H5" s="3758"/>
      <c r="I5" s="3757" t="s">
        <v>1675</v>
      </c>
      <c r="J5" s="3758"/>
      <c r="K5" s="1889"/>
      <c r="L5" s="2714"/>
      <c r="M5" s="2715"/>
      <c r="N5" s="2715"/>
      <c r="O5" s="2715"/>
      <c r="P5" s="3770"/>
      <c r="Q5" s="3771"/>
      <c r="R5" s="3753"/>
      <c r="S5" s="3754"/>
      <c r="T5" s="3753"/>
      <c r="U5" s="3754"/>
      <c r="V5" s="3748"/>
      <c r="W5" s="3748"/>
      <c r="X5" s="1354"/>
      <c r="Y5" s="3753"/>
      <c r="Z5" s="3754"/>
      <c r="AA5" s="3746"/>
      <c r="AB5" s="3746"/>
      <c r="AC5" s="3746"/>
    </row>
    <row r="6" spans="1:29" ht="15.75" thickBot="1">
      <c r="A6" s="359"/>
      <c r="B6" s="360"/>
      <c r="C6" s="3759" t="s">
        <v>1676</v>
      </c>
      <c r="D6" s="3760"/>
      <c r="E6" s="3761" t="s">
        <v>1676</v>
      </c>
      <c r="F6" s="3762"/>
      <c r="G6" s="3759" t="s">
        <v>1676</v>
      </c>
      <c r="H6" s="3760"/>
      <c r="I6" s="3759" t="s">
        <v>1676</v>
      </c>
      <c r="J6" s="3760"/>
      <c r="K6" s="1889" t="s">
        <v>1677</v>
      </c>
      <c r="L6" s="2714"/>
      <c r="M6" s="2715"/>
      <c r="N6" s="2715"/>
      <c r="O6" s="2715"/>
      <c r="P6" s="3772"/>
      <c r="Q6" s="3773"/>
      <c r="R6" s="3753"/>
      <c r="S6" s="3754"/>
      <c r="T6" s="3774"/>
      <c r="U6" s="3775"/>
      <c r="V6" s="3748"/>
      <c r="W6" s="3748"/>
      <c r="X6" s="1354"/>
      <c r="Y6" s="3774"/>
      <c r="Z6" s="3775"/>
      <c r="AA6" s="3747"/>
      <c r="AB6" s="3747"/>
      <c r="AC6" s="3747"/>
    </row>
    <row r="7" spans="1:29" s="107" customFormat="1" ht="15.75" thickBot="1">
      <c r="A7" s="361" t="s">
        <v>1678</v>
      </c>
      <c r="B7" s="362"/>
      <c r="C7" s="363">
        <f>'数据-取费表'!B2</f>
        <v>45105</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49" t="s">
        <v>1679</v>
      </c>
      <c r="Q7" s="3777"/>
      <c r="R7" s="700" t="s">
        <v>20</v>
      </c>
      <c r="S7" s="701">
        <f t="shared" ref="S7:S15" si="0">F7</f>
        <v>0</v>
      </c>
      <c r="T7" s="700" t="s">
        <v>20</v>
      </c>
      <c r="U7" s="701">
        <f t="shared" ref="U7:U15" si="1">H7</f>
        <v>0</v>
      </c>
      <c r="V7" s="700" t="s">
        <v>20</v>
      </c>
      <c r="W7" s="701">
        <f t="shared" ref="W7:W15" si="2">J7</f>
        <v>0</v>
      </c>
      <c r="X7" s="702"/>
      <c r="Y7" s="3749" t="s">
        <v>1679</v>
      </c>
      <c r="Z7" s="3750"/>
      <c r="AA7" s="703" t="e">
        <f>D7/F7</f>
        <v>#DIV/0!</v>
      </c>
      <c r="AB7" s="703" t="e">
        <f>D7/H7</f>
        <v>#DIV/0!</v>
      </c>
      <c r="AC7" s="703" t="e">
        <f>D7/J7</f>
        <v>#DIV/0!</v>
      </c>
    </row>
    <row r="8" spans="1:29" s="107"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49" t="s">
        <v>1682</v>
      </c>
      <c r="Q8" s="3750"/>
      <c r="R8" s="700" t="s">
        <v>20</v>
      </c>
      <c r="S8" s="701">
        <f t="shared" si="0"/>
        <v>100</v>
      </c>
      <c r="T8" s="700" t="s">
        <v>20</v>
      </c>
      <c r="U8" s="701">
        <f t="shared" si="1"/>
        <v>100</v>
      </c>
      <c r="V8" s="700" t="s">
        <v>20</v>
      </c>
      <c r="W8" s="701">
        <f t="shared" si="2"/>
        <v>100</v>
      </c>
      <c r="X8" s="702"/>
      <c r="Y8" s="3749" t="s">
        <v>1682</v>
      </c>
      <c r="Z8" s="3750"/>
      <c r="AA8" s="703">
        <f t="shared" ref="AA8:AA19" si="3">D8/F8</f>
        <v>1</v>
      </c>
      <c r="AB8" s="703">
        <f t="shared" ref="AB8:AB19" si="4">D8/H8</f>
        <v>1</v>
      </c>
      <c r="AC8" s="703">
        <f t="shared" ref="AC8:AC19" si="5">D8/J8</f>
        <v>1</v>
      </c>
    </row>
    <row r="9" spans="1:29" s="107" customFormat="1">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63" t="s">
        <v>1685</v>
      </c>
      <c r="Q9" s="1342" t="str">
        <f t="shared" ref="Q9:Q15" si="6">B9</f>
        <v>用途</v>
      </c>
      <c r="R9" s="700" t="s">
        <v>14</v>
      </c>
      <c r="S9" s="701">
        <f t="shared" si="0"/>
        <v>100</v>
      </c>
      <c r="T9" s="700" t="s">
        <v>14</v>
      </c>
      <c r="U9" s="701">
        <f t="shared" si="1"/>
        <v>100</v>
      </c>
      <c r="V9" s="700" t="s">
        <v>14</v>
      </c>
      <c r="W9" s="701">
        <f t="shared" si="2"/>
        <v>100</v>
      </c>
      <c r="X9" s="702"/>
      <c r="Y9" s="3718" t="s">
        <v>1686</v>
      </c>
      <c r="Z9" s="52" t="str">
        <f t="shared" ref="Z9:Z15" si="7">Q9</f>
        <v>用途</v>
      </c>
      <c r="AA9" s="703">
        <f t="shared" si="3"/>
        <v>1</v>
      </c>
      <c r="AB9" s="703">
        <f t="shared" si="4"/>
        <v>1</v>
      </c>
      <c r="AC9" s="703">
        <f t="shared" si="5"/>
        <v>1</v>
      </c>
    </row>
    <row r="10" spans="1:29" s="377" customFormat="1" ht="27">
      <c r="A10" s="373"/>
      <c r="B10" s="374" t="s">
        <v>1687</v>
      </c>
      <c r="C10" s="3432"/>
      <c r="D10" s="126">
        <v>100</v>
      </c>
      <c r="E10" s="3433"/>
      <c r="F10" s="375">
        <f>SUMIF(65:65,E10,66:66)-SUMIF(65:65,C10,66:66)+100</f>
        <v>100</v>
      </c>
      <c r="G10" s="3432"/>
      <c r="H10" s="126">
        <f>SUMIF(65:65,G10,66:66)-SUMIF(65:65,C10,66:66)+100</f>
        <v>100</v>
      </c>
      <c r="I10" s="3432"/>
      <c r="J10" s="126">
        <f>SUMIF(65:65,I10,66:66)-SUMIF(65:65,C10,66:66)+100</f>
        <v>100</v>
      </c>
      <c r="K10" s="1890"/>
      <c r="L10" s="2718"/>
      <c r="M10" s="2719"/>
      <c r="N10" s="2719"/>
      <c r="O10" s="2719"/>
      <c r="P10" s="3763"/>
      <c r="Q10" s="1342"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63"/>
      <c r="Q11" s="1342" t="str">
        <f t="shared" si="6"/>
        <v>容积率</v>
      </c>
      <c r="R11" s="700" t="s">
        <v>18</v>
      </c>
      <c r="S11" s="701" t="e">
        <f t="shared" si="0"/>
        <v>#N/A</v>
      </c>
      <c r="T11" s="700" t="s">
        <v>18</v>
      </c>
      <c r="U11" s="701" t="e">
        <f t="shared" si="1"/>
        <v>#N/A</v>
      </c>
      <c r="V11" s="700" t="s">
        <v>18</v>
      </c>
      <c r="W11" s="701" t="e">
        <f t="shared" si="2"/>
        <v>#N/A</v>
      </c>
      <c r="X11" s="702"/>
      <c r="Y11" s="3718"/>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63"/>
      <c r="Q12" s="1342">
        <f t="shared" si="6"/>
        <v>111</v>
      </c>
      <c r="R12" s="700" t="s">
        <v>18</v>
      </c>
      <c r="S12" s="701">
        <f t="shared" si="0"/>
        <v>100</v>
      </c>
      <c r="T12" s="700" t="s">
        <v>18</v>
      </c>
      <c r="U12" s="701">
        <f t="shared" si="1"/>
        <v>100</v>
      </c>
      <c r="V12" s="700" t="s">
        <v>18</v>
      </c>
      <c r="W12" s="701">
        <f t="shared" si="2"/>
        <v>100</v>
      </c>
      <c r="X12" s="702"/>
      <c r="Y12" s="371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63"/>
      <c r="Q13" s="1342">
        <f t="shared" si="6"/>
        <v>111</v>
      </c>
      <c r="R13" s="700" t="s">
        <v>18</v>
      </c>
      <c r="S13" s="701">
        <f t="shared" si="0"/>
        <v>100</v>
      </c>
      <c r="T13" s="700" t="s">
        <v>18</v>
      </c>
      <c r="U13" s="701">
        <f t="shared" si="1"/>
        <v>100</v>
      </c>
      <c r="V13" s="700" t="s">
        <v>18</v>
      </c>
      <c r="W13" s="701">
        <f t="shared" si="2"/>
        <v>100</v>
      </c>
      <c r="X13" s="702"/>
      <c r="Y13" s="3718"/>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63"/>
      <c r="Q14" s="1342">
        <f t="shared" si="6"/>
        <v>111</v>
      </c>
      <c r="R14" s="700" t="s">
        <v>18</v>
      </c>
      <c r="S14" s="701">
        <f t="shared" si="0"/>
        <v>100</v>
      </c>
      <c r="T14" s="700" t="s">
        <v>18</v>
      </c>
      <c r="U14" s="701">
        <f t="shared" si="1"/>
        <v>100</v>
      </c>
      <c r="V14" s="700" t="s">
        <v>18</v>
      </c>
      <c r="W14" s="701">
        <f t="shared" si="2"/>
        <v>100</v>
      </c>
      <c r="X14" s="702"/>
      <c r="Y14" s="3718"/>
      <c r="Z14" s="52">
        <f t="shared" si="7"/>
        <v>111</v>
      </c>
      <c r="AA14" s="703">
        <f t="shared" si="3"/>
        <v>1</v>
      </c>
      <c r="AB14" s="703">
        <f t="shared" si="4"/>
        <v>1</v>
      </c>
      <c r="AC14" s="703">
        <f t="shared" si="5"/>
        <v>1</v>
      </c>
    </row>
    <row r="15" spans="1:29" ht="85.5">
      <c r="A15" s="390" t="s">
        <v>1689</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78" t="s">
        <v>1690</v>
      </c>
      <c r="Q15" s="1351" t="str">
        <f t="shared" si="6"/>
        <v>居住社区成熟度</v>
      </c>
      <c r="R15" s="704" t="s">
        <v>18</v>
      </c>
      <c r="S15" s="705">
        <f t="shared" si="0"/>
        <v>100</v>
      </c>
      <c r="T15" s="704" t="s">
        <v>18</v>
      </c>
      <c r="U15" s="705">
        <f t="shared" si="1"/>
        <v>100</v>
      </c>
      <c r="V15" s="704" t="s">
        <v>18</v>
      </c>
      <c r="W15" s="705">
        <f t="shared" si="2"/>
        <v>100</v>
      </c>
      <c r="X15" s="1354"/>
      <c r="Y15" s="3780"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79"/>
      <c r="Q16" s="1351"/>
      <c r="R16" s="704"/>
      <c r="S16" s="705"/>
      <c r="T16" s="704"/>
      <c r="U16" s="705"/>
      <c r="V16" s="704"/>
      <c r="W16" s="705"/>
      <c r="X16" s="1354"/>
      <c r="Y16" s="3781"/>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79"/>
      <c r="Q17" s="1351" t="str">
        <f>B17</f>
        <v>交通便捷度</v>
      </c>
      <c r="R17" s="704" t="s">
        <v>18</v>
      </c>
      <c r="S17" s="705">
        <f>F17</f>
        <v>100</v>
      </c>
      <c r="T17" s="704" t="s">
        <v>18</v>
      </c>
      <c r="U17" s="705">
        <f>H17</f>
        <v>100</v>
      </c>
      <c r="V17" s="704" t="s">
        <v>18</v>
      </c>
      <c r="W17" s="705">
        <f>J17</f>
        <v>100</v>
      </c>
      <c r="X17" s="1354"/>
      <c r="Y17" s="3781"/>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79"/>
      <c r="Q18" s="1351"/>
      <c r="R18" s="704"/>
      <c r="S18" s="705"/>
      <c r="T18" s="704"/>
      <c r="U18" s="705"/>
      <c r="V18" s="704"/>
      <c r="W18" s="705"/>
      <c r="X18" s="1354"/>
      <c r="Y18" s="3781"/>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79"/>
      <c r="Q19" s="1351" t="str">
        <f>B19</f>
        <v>公共配套设施</v>
      </c>
      <c r="R19" s="704" t="s">
        <v>18</v>
      </c>
      <c r="S19" s="705">
        <f>F19</f>
        <v>100</v>
      </c>
      <c r="T19" s="704" t="s">
        <v>18</v>
      </c>
      <c r="U19" s="705">
        <f>H19</f>
        <v>100</v>
      </c>
      <c r="V19" s="704" t="s">
        <v>18</v>
      </c>
      <c r="W19" s="705">
        <f>J19</f>
        <v>100</v>
      </c>
      <c r="X19" s="1354"/>
      <c r="Y19" s="3781"/>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79"/>
      <c r="Q20" s="1351"/>
      <c r="R20" s="704"/>
      <c r="S20" s="705"/>
      <c r="T20" s="704"/>
      <c r="U20" s="705"/>
      <c r="V20" s="704"/>
      <c r="W20" s="705"/>
      <c r="X20" s="1354"/>
      <c r="Y20" s="3781"/>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79"/>
      <c r="Q21" s="1351" t="str">
        <f>B21</f>
        <v>基础设施水平</v>
      </c>
      <c r="R21" s="704" t="s">
        <v>14</v>
      </c>
      <c r="S21" s="705">
        <f>F21</f>
        <v>100</v>
      </c>
      <c r="T21" s="704" t="s">
        <v>14</v>
      </c>
      <c r="U21" s="705">
        <f>H21</f>
        <v>100</v>
      </c>
      <c r="V21" s="704" t="s">
        <v>14</v>
      </c>
      <c r="W21" s="705">
        <f>J21</f>
        <v>100</v>
      </c>
      <c r="X21" s="1354"/>
      <c r="Y21" s="378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79"/>
      <c r="Q22" s="1351"/>
      <c r="R22" s="704"/>
      <c r="S22" s="705"/>
      <c r="T22" s="704"/>
      <c r="U22" s="705"/>
      <c r="V22" s="704"/>
      <c r="W22" s="705"/>
      <c r="X22" s="1354"/>
      <c r="Y22" s="3781"/>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79"/>
      <c r="Q23" s="1351" t="str">
        <f>B23</f>
        <v>自然及人文环境</v>
      </c>
      <c r="R23" s="704" t="s">
        <v>18</v>
      </c>
      <c r="S23" s="705">
        <f>F23</f>
        <v>100</v>
      </c>
      <c r="T23" s="704" t="s">
        <v>18</v>
      </c>
      <c r="U23" s="705">
        <f>H23</f>
        <v>100</v>
      </c>
      <c r="V23" s="704" t="s">
        <v>18</v>
      </c>
      <c r="W23" s="705">
        <f>J23</f>
        <v>100</v>
      </c>
      <c r="X23" s="1354"/>
      <c r="Y23" s="3781"/>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79"/>
      <c r="Q24" s="1351"/>
      <c r="R24" s="704"/>
      <c r="S24" s="705"/>
      <c r="T24" s="704"/>
      <c r="U24" s="705"/>
      <c r="V24" s="704"/>
      <c r="W24" s="705"/>
      <c r="X24" s="1354"/>
      <c r="Y24" s="3781"/>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7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81"/>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79"/>
      <c r="Q26" s="1351" t="str">
        <f t="shared" si="11"/>
        <v>朝向</v>
      </c>
      <c r="R26" s="704" t="s">
        <v>18</v>
      </c>
      <c r="S26" s="705">
        <f t="shared" si="12"/>
        <v>100</v>
      </c>
      <c r="T26" s="704" t="s">
        <v>18</v>
      </c>
      <c r="U26" s="705">
        <f t="shared" si="13"/>
        <v>100</v>
      </c>
      <c r="V26" s="704" t="s">
        <v>18</v>
      </c>
      <c r="W26" s="705">
        <f t="shared" si="14"/>
        <v>100</v>
      </c>
      <c r="X26" s="1354"/>
      <c r="Y26" s="3781"/>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79"/>
      <c r="Q27" s="1342">
        <f t="shared" si="11"/>
        <v>111</v>
      </c>
      <c r="R27" s="700" t="s">
        <v>18</v>
      </c>
      <c r="S27" s="701">
        <f t="shared" si="12"/>
        <v>100</v>
      </c>
      <c r="T27" s="700" t="s">
        <v>18</v>
      </c>
      <c r="U27" s="701">
        <f t="shared" si="13"/>
        <v>100</v>
      </c>
      <c r="V27" s="700" t="s">
        <v>18</v>
      </c>
      <c r="W27" s="701">
        <f t="shared" si="14"/>
        <v>100</v>
      </c>
      <c r="X27" s="702"/>
      <c r="Y27" s="3781"/>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79"/>
      <c r="Q28" s="1351">
        <f t="shared" si="11"/>
        <v>111</v>
      </c>
      <c r="R28" s="704" t="s">
        <v>18</v>
      </c>
      <c r="S28" s="705">
        <f t="shared" si="12"/>
        <v>100</v>
      </c>
      <c r="T28" s="704" t="s">
        <v>18</v>
      </c>
      <c r="U28" s="705">
        <f t="shared" si="13"/>
        <v>100</v>
      </c>
      <c r="V28" s="704" t="s">
        <v>18</v>
      </c>
      <c r="W28" s="705">
        <f t="shared" si="14"/>
        <v>100</v>
      </c>
      <c r="X28" s="1354"/>
      <c r="Y28" s="3781"/>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79"/>
      <c r="Q29" s="1351">
        <f t="shared" si="11"/>
        <v>111</v>
      </c>
      <c r="R29" s="704" t="s">
        <v>18</v>
      </c>
      <c r="S29" s="705">
        <f t="shared" si="12"/>
        <v>100</v>
      </c>
      <c r="T29" s="704" t="s">
        <v>18</v>
      </c>
      <c r="U29" s="705">
        <f t="shared" si="13"/>
        <v>100</v>
      </c>
      <c r="V29" s="704" t="s">
        <v>18</v>
      </c>
      <c r="W29" s="705">
        <f t="shared" si="14"/>
        <v>100</v>
      </c>
      <c r="X29" s="1354"/>
      <c r="Y29" s="3781"/>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79"/>
      <c r="Q30" s="1351">
        <f t="shared" si="11"/>
        <v>111</v>
      </c>
      <c r="R30" s="704" t="s">
        <v>18</v>
      </c>
      <c r="S30" s="705">
        <f t="shared" si="12"/>
        <v>100</v>
      </c>
      <c r="T30" s="704" t="s">
        <v>18</v>
      </c>
      <c r="U30" s="705">
        <f t="shared" si="13"/>
        <v>100</v>
      </c>
      <c r="V30" s="704" t="s">
        <v>18</v>
      </c>
      <c r="W30" s="705">
        <f t="shared" si="14"/>
        <v>100</v>
      </c>
      <c r="X30" s="1354"/>
      <c r="Y30" s="3781"/>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79"/>
      <c r="Q31" s="1351">
        <f t="shared" si="11"/>
        <v>111</v>
      </c>
      <c r="R31" s="704" t="s">
        <v>18</v>
      </c>
      <c r="S31" s="705">
        <f t="shared" si="12"/>
        <v>100</v>
      </c>
      <c r="T31" s="704" t="s">
        <v>18</v>
      </c>
      <c r="U31" s="705">
        <f t="shared" si="13"/>
        <v>100</v>
      </c>
      <c r="V31" s="704" t="s">
        <v>18</v>
      </c>
      <c r="W31" s="705">
        <f t="shared" si="14"/>
        <v>100</v>
      </c>
      <c r="X31" s="1354"/>
      <c r="Y31" s="3781"/>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82" t="s">
        <v>1695</v>
      </c>
      <c r="Q32" s="1351" t="str">
        <f t="shared" si="11"/>
        <v>建筑类型</v>
      </c>
      <c r="R32" s="704" t="s">
        <v>18</v>
      </c>
      <c r="S32" s="705">
        <f t="shared" si="12"/>
        <v>100</v>
      </c>
      <c r="T32" s="704" t="s">
        <v>18</v>
      </c>
      <c r="U32" s="705">
        <f t="shared" si="13"/>
        <v>100</v>
      </c>
      <c r="V32" s="704" t="s">
        <v>18</v>
      </c>
      <c r="W32" s="705">
        <f t="shared" si="14"/>
        <v>100</v>
      </c>
      <c r="X32" s="1354"/>
      <c r="Y32" s="3785"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83"/>
      <c r="Q33" s="706" t="str">
        <f t="shared" si="11"/>
        <v>项目建筑规模</v>
      </c>
      <c r="R33" s="707" t="s">
        <v>18</v>
      </c>
      <c r="S33" s="708" t="e">
        <f t="shared" si="12"/>
        <v>#N/A</v>
      </c>
      <c r="T33" s="707" t="s">
        <v>18</v>
      </c>
      <c r="U33" s="708" t="e">
        <f t="shared" si="13"/>
        <v>#N/A</v>
      </c>
      <c r="V33" s="707" t="s">
        <v>18</v>
      </c>
      <c r="W33" s="708" t="e">
        <f t="shared" si="14"/>
        <v>#N/A</v>
      </c>
      <c r="X33" s="709"/>
      <c r="Y33" s="3785"/>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83"/>
      <c r="Q34" s="1351" t="str">
        <f t="shared" si="11"/>
        <v>建筑结构</v>
      </c>
      <c r="R34" s="704" t="s">
        <v>18</v>
      </c>
      <c r="S34" s="705">
        <f t="shared" si="12"/>
        <v>100</v>
      </c>
      <c r="T34" s="704" t="s">
        <v>18</v>
      </c>
      <c r="U34" s="705">
        <f t="shared" si="13"/>
        <v>100</v>
      </c>
      <c r="V34" s="704" t="s">
        <v>18</v>
      </c>
      <c r="W34" s="705">
        <f t="shared" si="14"/>
        <v>100</v>
      </c>
      <c r="X34" s="1354"/>
      <c r="Y34" s="3785"/>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83"/>
      <c r="Q35" s="1351" t="str">
        <f t="shared" si="11"/>
        <v>建筑品质</v>
      </c>
      <c r="R35" s="704" t="s">
        <v>18</v>
      </c>
      <c r="S35" s="705">
        <f t="shared" si="12"/>
        <v>100</v>
      </c>
      <c r="T35" s="704" t="s">
        <v>18</v>
      </c>
      <c r="U35" s="705">
        <f t="shared" si="13"/>
        <v>100</v>
      </c>
      <c r="V35" s="704" t="s">
        <v>18</v>
      </c>
      <c r="W35" s="705">
        <f t="shared" si="14"/>
        <v>100</v>
      </c>
      <c r="X35" s="1354"/>
      <c r="Y35" s="3785"/>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83"/>
      <c r="Q36" s="1351" t="str">
        <f t="shared" si="11"/>
        <v>公共部分装修</v>
      </c>
      <c r="R36" s="704" t="s">
        <v>18</v>
      </c>
      <c r="S36" s="705">
        <f t="shared" si="12"/>
        <v>100</v>
      </c>
      <c r="T36" s="704" t="s">
        <v>18</v>
      </c>
      <c r="U36" s="705">
        <f t="shared" si="13"/>
        <v>100</v>
      </c>
      <c r="V36" s="704" t="s">
        <v>18</v>
      </c>
      <c r="W36" s="705">
        <f t="shared" si="14"/>
        <v>100</v>
      </c>
      <c r="X36" s="1354"/>
      <c r="Y36" s="3785"/>
      <c r="Z36" s="1355" t="str">
        <f t="shared" si="18"/>
        <v>公共部分装修</v>
      </c>
      <c r="AA36" s="1352">
        <f t="shared" si="15"/>
        <v>1</v>
      </c>
      <c r="AB36" s="1352">
        <f t="shared" si="16"/>
        <v>1</v>
      </c>
      <c r="AC36" s="1352">
        <f t="shared" si="17"/>
        <v>1</v>
      </c>
    </row>
    <row r="37" spans="1:29" s="107"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83"/>
      <c r="Q37" s="1342" t="str">
        <f t="shared" si="11"/>
        <v>成新度</v>
      </c>
      <c r="R37" s="700" t="s">
        <v>18</v>
      </c>
      <c r="S37" s="701" t="e">
        <f t="shared" si="12"/>
        <v>#N/A</v>
      </c>
      <c r="T37" s="700" t="s">
        <v>18</v>
      </c>
      <c r="U37" s="701" t="e">
        <f t="shared" si="13"/>
        <v>#N/A</v>
      </c>
      <c r="V37" s="700" t="s">
        <v>18</v>
      </c>
      <c r="W37" s="701" t="e">
        <f t="shared" si="14"/>
        <v>#N/A</v>
      </c>
      <c r="X37" s="702"/>
      <c r="Y37" s="3785"/>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83" t="s">
        <v>1695</v>
      </c>
      <c r="Q38" s="1351" t="str">
        <f t="shared" si="11"/>
        <v>物业管理</v>
      </c>
      <c r="R38" s="704" t="s">
        <v>18</v>
      </c>
      <c r="S38" s="705">
        <f t="shared" si="12"/>
        <v>100</v>
      </c>
      <c r="T38" s="704" t="s">
        <v>18</v>
      </c>
      <c r="U38" s="705">
        <f t="shared" si="13"/>
        <v>100</v>
      </c>
      <c r="V38" s="704" t="s">
        <v>18</v>
      </c>
      <c r="W38" s="705">
        <f t="shared" si="14"/>
        <v>100</v>
      </c>
      <c r="X38" s="1354"/>
      <c r="Y38" s="3785"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83"/>
      <c r="Q39" s="1351" t="str">
        <f t="shared" si="11"/>
        <v>市政基础设施</v>
      </c>
      <c r="R39" s="704" t="s">
        <v>18</v>
      </c>
      <c r="S39" s="705">
        <f t="shared" si="12"/>
        <v>100</v>
      </c>
      <c r="T39" s="704" t="s">
        <v>18</v>
      </c>
      <c r="U39" s="705">
        <f t="shared" si="13"/>
        <v>100</v>
      </c>
      <c r="V39" s="704" t="s">
        <v>18</v>
      </c>
      <c r="W39" s="705">
        <f t="shared" si="14"/>
        <v>100</v>
      </c>
      <c r="X39" s="1354"/>
      <c r="Y39" s="3785"/>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83"/>
      <c r="Q40" s="1351" t="str">
        <f t="shared" si="11"/>
        <v>房型</v>
      </c>
      <c r="R40" s="704" t="s">
        <v>18</v>
      </c>
      <c r="S40" s="705">
        <f t="shared" si="12"/>
        <v>100</v>
      </c>
      <c r="T40" s="704" t="s">
        <v>18</v>
      </c>
      <c r="U40" s="705">
        <f t="shared" si="13"/>
        <v>100</v>
      </c>
      <c r="V40" s="704" t="s">
        <v>18</v>
      </c>
      <c r="W40" s="705">
        <f t="shared" si="14"/>
        <v>100</v>
      </c>
      <c r="X40" s="1354"/>
      <c r="Y40" s="3785"/>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83"/>
      <c r="Q41" s="706" t="str">
        <f t="shared" si="11"/>
        <v>单套/主力户型建筑面积</v>
      </c>
      <c r="R41" s="707" t="s">
        <v>18</v>
      </c>
      <c r="S41" s="708">
        <f t="shared" si="12"/>
        <v>100</v>
      </c>
      <c r="T41" s="707" t="s">
        <v>18</v>
      </c>
      <c r="U41" s="708">
        <f t="shared" si="13"/>
        <v>100</v>
      </c>
      <c r="V41" s="707" t="s">
        <v>18</v>
      </c>
      <c r="W41" s="708">
        <f t="shared" si="14"/>
        <v>100</v>
      </c>
      <c r="X41" s="709"/>
      <c r="Y41" s="3785"/>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83"/>
      <c r="Q42" s="1351" t="str">
        <f t="shared" si="11"/>
        <v>内部装修</v>
      </c>
      <c r="R42" s="704" t="s">
        <v>18</v>
      </c>
      <c r="S42" s="705">
        <f t="shared" si="12"/>
        <v>100</v>
      </c>
      <c r="T42" s="704" t="s">
        <v>18</v>
      </c>
      <c r="U42" s="705">
        <f t="shared" si="13"/>
        <v>100</v>
      </c>
      <c r="V42" s="704" t="s">
        <v>18</v>
      </c>
      <c r="W42" s="705">
        <f t="shared" si="14"/>
        <v>100</v>
      </c>
      <c r="X42" s="1354"/>
      <c r="Y42" s="3785"/>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83"/>
      <c r="Q43" s="1351" t="str">
        <f t="shared" si="11"/>
        <v>内部装修维护情况</v>
      </c>
      <c r="R43" s="704" t="s">
        <v>18</v>
      </c>
      <c r="S43" s="705">
        <f t="shared" si="12"/>
        <v>100</v>
      </c>
      <c r="T43" s="704" t="s">
        <v>18</v>
      </c>
      <c r="U43" s="705">
        <f t="shared" si="13"/>
        <v>100</v>
      </c>
      <c r="V43" s="704" t="s">
        <v>18</v>
      </c>
      <c r="W43" s="705">
        <f t="shared" si="14"/>
        <v>100</v>
      </c>
      <c r="X43" s="1354"/>
      <c r="Y43" s="3785"/>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83"/>
      <c r="Q44" s="1342">
        <f t="shared" si="11"/>
        <v>111</v>
      </c>
      <c r="R44" s="700" t="s">
        <v>18</v>
      </c>
      <c r="S44" s="701">
        <f t="shared" si="12"/>
        <v>100</v>
      </c>
      <c r="T44" s="700" t="s">
        <v>18</v>
      </c>
      <c r="U44" s="701">
        <f t="shared" si="13"/>
        <v>100</v>
      </c>
      <c r="V44" s="700" t="s">
        <v>18</v>
      </c>
      <c r="W44" s="701">
        <f t="shared" si="14"/>
        <v>100</v>
      </c>
      <c r="X44" s="702"/>
      <c r="Y44" s="3785"/>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83"/>
      <c r="Q45" s="1351">
        <f t="shared" si="11"/>
        <v>111</v>
      </c>
      <c r="R45" s="704" t="s">
        <v>18</v>
      </c>
      <c r="S45" s="705">
        <f t="shared" si="12"/>
        <v>100</v>
      </c>
      <c r="T45" s="704" t="s">
        <v>18</v>
      </c>
      <c r="U45" s="705">
        <f t="shared" si="13"/>
        <v>100</v>
      </c>
      <c r="V45" s="704" t="s">
        <v>18</v>
      </c>
      <c r="W45" s="705">
        <f t="shared" si="14"/>
        <v>100</v>
      </c>
      <c r="X45" s="1354"/>
      <c r="Y45" s="3785"/>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84"/>
      <c r="Q46" s="1351">
        <f t="shared" si="11"/>
        <v>111</v>
      </c>
      <c r="R46" s="704" t="s">
        <v>17</v>
      </c>
      <c r="S46" s="705">
        <f t="shared" si="12"/>
        <v>100</v>
      </c>
      <c r="T46" s="704" t="s">
        <v>17</v>
      </c>
      <c r="U46" s="705">
        <f t="shared" si="13"/>
        <v>100</v>
      </c>
      <c r="V46" s="704" t="s">
        <v>17</v>
      </c>
      <c r="W46" s="705">
        <f t="shared" si="14"/>
        <v>100</v>
      </c>
      <c r="X46" s="1354"/>
      <c r="Y46" s="3786"/>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3"/>
      <c r="M47" s="2724"/>
      <c r="N47" s="2715"/>
      <c r="O47" s="2724"/>
      <c r="P47" s="3787" t="str">
        <f>A47</f>
        <v>成交单价（元/平方米）</v>
      </c>
      <c r="Q47" s="3787"/>
      <c r="R47" s="3788">
        <f>E47</f>
        <v>0</v>
      </c>
      <c r="S47" s="3788"/>
      <c r="T47" s="3788">
        <f>G47</f>
        <v>0</v>
      </c>
      <c r="U47" s="3788"/>
      <c r="V47" s="3788">
        <f>I47</f>
        <v>0</v>
      </c>
      <c r="W47" s="3788"/>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87" t="str">
        <f>A48</f>
        <v>比较价值（元/平方米）</v>
      </c>
      <c r="Q48" s="3787"/>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3"/>
      <c r="M49" s="2724"/>
      <c r="N49" s="2724"/>
      <c r="O49" s="2724"/>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2023-6</v>
      </c>
      <c r="D58" s="1184">
        <f>EDATE(C58,-1)</f>
        <v>45047</v>
      </c>
      <c r="E58" s="1184">
        <f>EDATE(D58,-1)</f>
        <v>45017</v>
      </c>
      <c r="F58" s="1184">
        <f t="shared" ref="F58:O58" si="19">EDATE(E58,-1)</f>
        <v>44986</v>
      </c>
      <c r="G58" s="1184">
        <f t="shared" si="19"/>
        <v>44958</v>
      </c>
      <c r="H58" s="1184">
        <f t="shared" si="19"/>
        <v>44927</v>
      </c>
      <c r="I58" s="1184">
        <f t="shared" si="19"/>
        <v>44896</v>
      </c>
      <c r="J58" s="1184">
        <f t="shared" si="19"/>
        <v>44866</v>
      </c>
      <c r="K58" s="1184">
        <f t="shared" si="19"/>
        <v>44835</v>
      </c>
      <c r="L58" s="1184">
        <f t="shared" si="19"/>
        <v>44805</v>
      </c>
      <c r="M58" s="1184">
        <f t="shared" si="19"/>
        <v>44774</v>
      </c>
      <c r="N58" s="1184">
        <f t="shared" si="19"/>
        <v>44743</v>
      </c>
      <c r="O58" s="1184">
        <f t="shared" si="19"/>
        <v>44713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1715</v>
      </c>
      <c r="B60" s="464"/>
      <c r="C60" s="465"/>
      <c r="D60" s="466"/>
      <c r="E60" s="466"/>
      <c r="F60" s="466"/>
      <c r="G60" s="466"/>
      <c r="H60" s="466"/>
      <c r="I60" s="466"/>
      <c r="J60" s="466"/>
      <c r="K60" s="466"/>
      <c r="L60" s="466"/>
      <c r="M60" s="467"/>
      <c r="N60" s="466"/>
      <c r="O60" s="467"/>
      <c r="P60" s="1919"/>
      <c r="Q60" s="452"/>
    </row>
    <row r="61" spans="1:29" s="107" customFormat="1" ht="15">
      <c r="A61" s="469" t="s">
        <v>1716</v>
      </c>
      <c r="B61" s="458"/>
      <c r="C61" s="470" t="s">
        <v>1717</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1733</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1734</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58348.11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1768</v>
      </c>
      <c r="B4" s="355"/>
      <c r="C4" s="3764" t="s">
        <v>1769</v>
      </c>
      <c r="D4" s="3765"/>
      <c r="E4" s="3766" t="s">
        <v>1770</v>
      </c>
      <c r="F4" s="3767"/>
      <c r="G4" s="3764" t="s">
        <v>1771</v>
      </c>
      <c r="H4" s="3765"/>
      <c r="I4" s="3764" t="s">
        <v>1772</v>
      </c>
      <c r="J4" s="3765"/>
      <c r="K4" s="558" t="s">
        <v>1773</v>
      </c>
      <c r="L4" s="2714"/>
      <c r="M4" s="2715"/>
      <c r="N4" s="2715"/>
      <c r="O4" s="2715"/>
      <c r="P4" s="3825" t="s">
        <v>1774</v>
      </c>
      <c r="Q4" s="3826"/>
      <c r="R4" s="3820" t="s">
        <v>1770</v>
      </c>
      <c r="S4" s="3821"/>
      <c r="T4" s="3820" t="s">
        <v>1771</v>
      </c>
      <c r="U4" s="3821"/>
      <c r="V4" s="3829" t="s">
        <v>1772</v>
      </c>
      <c r="W4" s="3829"/>
      <c r="X4" s="1957"/>
      <c r="Y4" s="3820" t="s">
        <v>1774</v>
      </c>
      <c r="Z4" s="3821"/>
      <c r="AA4" s="3819" t="s">
        <v>1770</v>
      </c>
      <c r="AB4" s="3819" t="s">
        <v>1771</v>
      </c>
      <c r="AC4" s="3822" t="s">
        <v>1772</v>
      </c>
    </row>
    <row r="5" spans="1:29" ht="15">
      <c r="A5" s="357"/>
      <c r="B5" s="358"/>
      <c r="C5" s="3757" t="s">
        <v>1672</v>
      </c>
      <c r="D5" s="3758"/>
      <c r="E5" s="3818" t="s">
        <v>1673</v>
      </c>
      <c r="F5" s="3756"/>
      <c r="G5" s="3757" t="s">
        <v>1674</v>
      </c>
      <c r="H5" s="3758"/>
      <c r="I5" s="3757" t="s">
        <v>1675</v>
      </c>
      <c r="J5" s="3758"/>
      <c r="K5" s="558"/>
      <c r="L5" s="2714"/>
      <c r="M5" s="2715"/>
      <c r="N5" s="2715"/>
      <c r="O5" s="2715"/>
      <c r="P5" s="3827"/>
      <c r="Q5" s="3771"/>
      <c r="R5" s="3753"/>
      <c r="S5" s="3754"/>
      <c r="T5" s="3753"/>
      <c r="U5" s="3754"/>
      <c r="V5" s="3748"/>
      <c r="W5" s="3748"/>
      <c r="X5" s="1354"/>
      <c r="Y5" s="3753"/>
      <c r="Z5" s="3754"/>
      <c r="AA5" s="3746"/>
      <c r="AB5" s="3746"/>
      <c r="AC5" s="3823"/>
    </row>
    <row r="6" spans="1:29" ht="15.75" thickBot="1">
      <c r="A6" s="359"/>
      <c r="B6" s="360"/>
      <c r="C6" s="3759" t="s">
        <v>1676</v>
      </c>
      <c r="D6" s="3760"/>
      <c r="E6" s="3761" t="s">
        <v>1676</v>
      </c>
      <c r="F6" s="3762"/>
      <c r="G6" s="3759" t="s">
        <v>1676</v>
      </c>
      <c r="H6" s="3760"/>
      <c r="I6" s="3759" t="s">
        <v>1676</v>
      </c>
      <c r="J6" s="3760"/>
      <c r="K6" s="558" t="s">
        <v>1677</v>
      </c>
      <c r="L6" s="2714"/>
      <c r="M6" s="2715"/>
      <c r="N6" s="2715"/>
      <c r="O6" s="2715"/>
      <c r="P6" s="3828"/>
      <c r="Q6" s="3773"/>
      <c r="R6" s="3753"/>
      <c r="S6" s="3754"/>
      <c r="T6" s="3774"/>
      <c r="U6" s="3775"/>
      <c r="V6" s="3748"/>
      <c r="W6" s="3748"/>
      <c r="X6" s="1354"/>
      <c r="Y6" s="3774"/>
      <c r="Z6" s="3775"/>
      <c r="AA6" s="3747"/>
      <c r="AB6" s="3747"/>
      <c r="AC6" s="3824"/>
    </row>
    <row r="7" spans="1:29" s="107" customFormat="1" ht="15.75" thickBot="1">
      <c r="A7" s="361" t="s">
        <v>1678</v>
      </c>
      <c r="B7" s="362"/>
      <c r="C7" s="363">
        <f>'数据-取费表'!B2</f>
        <v>45105</v>
      </c>
      <c r="D7" s="364">
        <v>100</v>
      </c>
      <c r="E7" s="365"/>
      <c r="F7" s="366">
        <f>SUMIF(59:59,YEAR(E7)&amp;"-"&amp;MONTH(E7),60:60)</f>
        <v>0</v>
      </c>
      <c r="G7" s="365"/>
      <c r="H7" s="364">
        <f>SUMIF(59:59,YEAR(G7)&amp;"-"&amp;MONTH(G7),60:60)</f>
        <v>0</v>
      </c>
      <c r="I7" s="365"/>
      <c r="J7" s="364">
        <f>SUMIF(59:59,YEAR(I7)&amp;"-"&amp;MONTH(I7),60:60)</f>
        <v>0</v>
      </c>
      <c r="K7" s="559"/>
      <c r="L7" s="2716"/>
      <c r="M7" s="2717"/>
      <c r="N7" s="2717"/>
      <c r="O7" s="2717"/>
      <c r="P7" s="3830" t="s">
        <v>1679</v>
      </c>
      <c r="Q7" s="3777"/>
      <c r="R7" s="700" t="s">
        <v>14</v>
      </c>
      <c r="S7" s="701">
        <f t="shared" ref="S7:S15" si="0">F7</f>
        <v>0</v>
      </c>
      <c r="T7" s="700" t="s">
        <v>14</v>
      </c>
      <c r="U7" s="701">
        <f t="shared" ref="U7:U15" si="1">H7</f>
        <v>0</v>
      </c>
      <c r="V7" s="700" t="s">
        <v>14</v>
      </c>
      <c r="W7" s="701">
        <f t="shared" ref="W7:W15" si="2">J7</f>
        <v>0</v>
      </c>
      <c r="X7" s="702"/>
      <c r="Y7" s="3749" t="s">
        <v>1679</v>
      </c>
      <c r="Z7" s="3750"/>
      <c r="AA7" s="703" t="e">
        <f>D7/F7</f>
        <v>#DIV/0!</v>
      </c>
      <c r="AB7" s="703" t="e">
        <f>D7/H7</f>
        <v>#DIV/0!</v>
      </c>
      <c r="AC7" s="1958" t="e">
        <f>D7/J7</f>
        <v>#DIV/0!</v>
      </c>
    </row>
    <row r="8" spans="1:29" s="107" customFormat="1" ht="15.7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830" t="s">
        <v>1682</v>
      </c>
      <c r="Q8" s="3750"/>
      <c r="R8" s="700" t="s">
        <v>14</v>
      </c>
      <c r="S8" s="701">
        <f t="shared" si="0"/>
        <v>100</v>
      </c>
      <c r="T8" s="700" t="s">
        <v>14</v>
      </c>
      <c r="U8" s="701">
        <f t="shared" si="1"/>
        <v>100</v>
      </c>
      <c r="V8" s="700" t="s">
        <v>14</v>
      </c>
      <c r="W8" s="701">
        <f t="shared" si="2"/>
        <v>100</v>
      </c>
      <c r="X8" s="702"/>
      <c r="Y8" s="3749" t="s">
        <v>1682</v>
      </c>
      <c r="Z8" s="3750"/>
      <c r="AA8" s="703">
        <f t="shared" ref="AA8:AA47" si="3">D8/F8</f>
        <v>1</v>
      </c>
      <c r="AB8" s="703">
        <f t="shared" ref="AB8:AB47" si="4">D8/H8</f>
        <v>1</v>
      </c>
      <c r="AC8" s="1958">
        <f t="shared" ref="AC8:AC47" si="5">D8/J8</f>
        <v>1</v>
      </c>
    </row>
    <row r="9" spans="1:29" s="107" customFormat="1">
      <c r="A9" s="368" t="s">
        <v>1683</v>
      </c>
      <c r="B9" s="63" t="s">
        <v>1684</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63" t="s">
        <v>1685</v>
      </c>
      <c r="Q9" s="1342" t="str">
        <f t="shared" ref="Q9:Q15" si="6">B9</f>
        <v>用途</v>
      </c>
      <c r="R9" s="700" t="s">
        <v>14</v>
      </c>
      <c r="S9" s="701">
        <f t="shared" si="0"/>
        <v>100</v>
      </c>
      <c r="T9" s="700" t="s">
        <v>14</v>
      </c>
      <c r="U9" s="701">
        <f t="shared" si="1"/>
        <v>100</v>
      </c>
      <c r="V9" s="700" t="s">
        <v>14</v>
      </c>
      <c r="W9" s="701">
        <f t="shared" si="2"/>
        <v>100</v>
      </c>
      <c r="X9" s="702"/>
      <c r="Y9" s="3718" t="s">
        <v>1686</v>
      </c>
      <c r="Z9" s="52" t="str">
        <f t="shared" ref="Z9:Z15" si="7">Q9</f>
        <v>用途</v>
      </c>
      <c r="AA9" s="703">
        <f t="shared" si="3"/>
        <v>1</v>
      </c>
      <c r="AB9" s="703">
        <f t="shared" si="4"/>
        <v>1</v>
      </c>
      <c r="AC9" s="1958">
        <f t="shared" si="5"/>
        <v>1</v>
      </c>
    </row>
    <row r="10" spans="1:29" s="377" customFormat="1" ht="27">
      <c r="A10" s="373"/>
      <c r="B10" s="374" t="s">
        <v>1687</v>
      </c>
      <c r="C10" s="3432"/>
      <c r="D10" s="126">
        <v>100</v>
      </c>
      <c r="E10" s="3432"/>
      <c r="F10" s="126">
        <f>SUMIF(66:66,E10,67:67)-SUMIF(66:66,C10,67:67)+100</f>
        <v>100</v>
      </c>
      <c r="G10" s="3433"/>
      <c r="H10" s="126">
        <f>SUMIF(66:66,G10,67:67)-SUMIF(66:66,C10,67:67)+100</f>
        <v>100</v>
      </c>
      <c r="I10" s="3432"/>
      <c r="J10" s="126">
        <f>SUMIF(66:66,I10,67:67)-SUMIF(66:66,C10,67:67)+100</f>
        <v>100</v>
      </c>
      <c r="K10" s="559"/>
      <c r="L10" s="2718"/>
      <c r="M10" s="2719"/>
      <c r="N10" s="2719"/>
      <c r="O10" s="2719"/>
      <c r="P10" s="3763"/>
      <c r="Q10" s="1342"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63"/>
      <c r="Q11" s="1342" t="str">
        <f t="shared" si="6"/>
        <v>容积率</v>
      </c>
      <c r="R11" s="700" t="s">
        <v>14</v>
      </c>
      <c r="S11" s="701">
        <f t="shared" si="0"/>
        <v>100</v>
      </c>
      <c r="T11" s="700" t="s">
        <v>14</v>
      </c>
      <c r="U11" s="701">
        <f t="shared" si="1"/>
        <v>100</v>
      </c>
      <c r="V11" s="700" t="s">
        <v>14</v>
      </c>
      <c r="W11" s="701">
        <f t="shared" si="2"/>
        <v>100</v>
      </c>
      <c r="X11" s="702"/>
      <c r="Y11" s="3718"/>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63"/>
      <c r="Q12" s="1342">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63"/>
      <c r="Q13" s="1342">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63"/>
      <c r="Q14" s="1342">
        <f t="shared" si="6"/>
        <v>111</v>
      </c>
      <c r="R14" s="700" t="s">
        <v>14</v>
      </c>
      <c r="S14" s="701">
        <f t="shared" si="0"/>
        <v>100</v>
      </c>
      <c r="T14" s="700" t="s">
        <v>14</v>
      </c>
      <c r="U14" s="701">
        <f t="shared" si="1"/>
        <v>100</v>
      </c>
      <c r="V14" s="700" t="s">
        <v>14</v>
      </c>
      <c r="W14" s="701">
        <f t="shared" si="2"/>
        <v>100</v>
      </c>
      <c r="X14" s="702"/>
      <c r="Y14" s="3718"/>
      <c r="Z14" s="52">
        <f t="shared" si="7"/>
        <v>111</v>
      </c>
      <c r="AA14" s="703">
        <f t="shared" si="3"/>
        <v>1</v>
      </c>
      <c r="AB14" s="703">
        <f t="shared" si="4"/>
        <v>1</v>
      </c>
      <c r="AC14" s="1958">
        <f t="shared" si="5"/>
        <v>1</v>
      </c>
    </row>
    <row r="15" spans="1:29" ht="71.25">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78" t="s">
        <v>1690</v>
      </c>
      <c r="Q15" s="1351" t="str">
        <f t="shared" si="6"/>
        <v>办公集聚程度</v>
      </c>
      <c r="R15" s="704" t="s">
        <v>14</v>
      </c>
      <c r="S15" s="705">
        <f t="shared" si="0"/>
        <v>100</v>
      </c>
      <c r="T15" s="704" t="s">
        <v>14</v>
      </c>
      <c r="U15" s="705">
        <f t="shared" si="1"/>
        <v>100</v>
      </c>
      <c r="V15" s="704" t="s">
        <v>14</v>
      </c>
      <c r="W15" s="705">
        <f t="shared" si="2"/>
        <v>100</v>
      </c>
      <c r="X15" s="1354"/>
      <c r="Y15" s="3780"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79"/>
      <c r="Q16" s="1351"/>
      <c r="R16" s="704"/>
      <c r="S16" s="705"/>
      <c r="T16" s="704"/>
      <c r="U16" s="705"/>
      <c r="V16" s="704"/>
      <c r="W16" s="705"/>
      <c r="X16" s="1354"/>
      <c r="Y16" s="3781"/>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79"/>
      <c r="Q17" s="1351" t="str">
        <f>B17</f>
        <v>交通便捷度</v>
      </c>
      <c r="R17" s="704" t="s">
        <v>14</v>
      </c>
      <c r="S17" s="705">
        <f>F17</f>
        <v>100</v>
      </c>
      <c r="T17" s="704" t="s">
        <v>14</v>
      </c>
      <c r="U17" s="705">
        <f>H17</f>
        <v>100</v>
      </c>
      <c r="V17" s="704" t="s">
        <v>14</v>
      </c>
      <c r="W17" s="705">
        <f>J17</f>
        <v>100</v>
      </c>
      <c r="X17" s="1354"/>
      <c r="Y17" s="3781"/>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79"/>
      <c r="Q18" s="1351"/>
      <c r="R18" s="704"/>
      <c r="S18" s="705"/>
      <c r="T18" s="704"/>
      <c r="U18" s="705"/>
      <c r="V18" s="704"/>
      <c r="W18" s="705"/>
      <c r="X18" s="1354"/>
      <c r="Y18" s="3781"/>
      <c r="Z18" s="1355"/>
      <c r="AA18" s="1352">
        <v>1</v>
      </c>
      <c r="AB18" s="1352">
        <v>1</v>
      </c>
      <c r="AC18" s="1961">
        <v>1</v>
      </c>
    </row>
    <row r="19" spans="1:29" ht="42.75">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79"/>
      <c r="Q19" s="1351" t="str">
        <f>B19</f>
        <v>公共配套设施</v>
      </c>
      <c r="R19" s="704" t="s">
        <v>14</v>
      </c>
      <c r="S19" s="705">
        <f>F19</f>
        <v>100</v>
      </c>
      <c r="T19" s="704" t="s">
        <v>14</v>
      </c>
      <c r="U19" s="705">
        <f>H19</f>
        <v>100</v>
      </c>
      <c r="V19" s="704" t="s">
        <v>14</v>
      </c>
      <c r="W19" s="705">
        <f>J19</f>
        <v>100</v>
      </c>
      <c r="X19" s="1354"/>
      <c r="Y19" s="3781"/>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79"/>
      <c r="Q20" s="1351"/>
      <c r="R20" s="704"/>
      <c r="S20" s="705"/>
      <c r="T20" s="704"/>
      <c r="U20" s="705"/>
      <c r="V20" s="704"/>
      <c r="W20" s="705"/>
      <c r="X20" s="1354"/>
      <c r="Y20" s="3781"/>
      <c r="Z20" s="1355"/>
      <c r="AA20" s="1352">
        <v>1</v>
      </c>
      <c r="AB20" s="1352">
        <v>1</v>
      </c>
      <c r="AC20" s="1961">
        <v>1</v>
      </c>
    </row>
    <row r="21" spans="1:29" ht="28.5">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79"/>
      <c r="Q21" s="1351" t="str">
        <f>B21</f>
        <v>基础设施水平</v>
      </c>
      <c r="R21" s="704" t="s">
        <v>14</v>
      </c>
      <c r="S21" s="705">
        <f>F21</f>
        <v>100</v>
      </c>
      <c r="T21" s="704" t="s">
        <v>14</v>
      </c>
      <c r="U21" s="705">
        <f>H21</f>
        <v>100</v>
      </c>
      <c r="V21" s="704" t="s">
        <v>14</v>
      </c>
      <c r="W21" s="705">
        <f>J21</f>
        <v>100</v>
      </c>
      <c r="X21" s="1354"/>
      <c r="Y21" s="3781"/>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79"/>
      <c r="Q22" s="1351"/>
      <c r="R22" s="704"/>
      <c r="S22" s="705"/>
      <c r="T22" s="704"/>
      <c r="U22" s="705"/>
      <c r="V22" s="704"/>
      <c r="W22" s="705"/>
      <c r="X22" s="1354"/>
      <c r="Y22" s="3781"/>
      <c r="Z22" s="1355"/>
      <c r="AA22" s="1352">
        <v>1</v>
      </c>
      <c r="AB22" s="1352">
        <v>1</v>
      </c>
      <c r="AC22" s="1961">
        <v>1</v>
      </c>
    </row>
    <row r="23" spans="1:29" ht="42.75">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79"/>
      <c r="Q23" s="1351" t="str">
        <f>B23</f>
        <v>环境质量</v>
      </c>
      <c r="R23" s="704" t="s">
        <v>14</v>
      </c>
      <c r="S23" s="705">
        <f>F23</f>
        <v>100</v>
      </c>
      <c r="T23" s="704" t="s">
        <v>14</v>
      </c>
      <c r="U23" s="705">
        <f>H23</f>
        <v>100</v>
      </c>
      <c r="V23" s="704" t="s">
        <v>14</v>
      </c>
      <c r="W23" s="705">
        <f>J23</f>
        <v>100</v>
      </c>
      <c r="X23" s="1354"/>
      <c r="Y23" s="3781"/>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79"/>
      <c r="Q24" s="1351"/>
      <c r="R24" s="704"/>
      <c r="S24" s="705"/>
      <c r="T24" s="704"/>
      <c r="U24" s="705"/>
      <c r="V24" s="704"/>
      <c r="W24" s="705"/>
      <c r="X24" s="1354"/>
      <c r="Y24" s="3781"/>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79"/>
      <c r="Q25" s="1351" t="str">
        <f>B25</f>
        <v>毗邻道路的类型与等级</v>
      </c>
      <c r="R25" s="704" t="s">
        <v>14</v>
      </c>
      <c r="S25" s="705">
        <f>F25</f>
        <v>100</v>
      </c>
      <c r="T25" s="704" t="s">
        <v>14</v>
      </c>
      <c r="U25" s="705">
        <f>H25</f>
        <v>100</v>
      </c>
      <c r="V25" s="704" t="s">
        <v>14</v>
      </c>
      <c r="W25" s="705">
        <f>J25</f>
        <v>100</v>
      </c>
      <c r="X25" s="1354"/>
      <c r="Y25" s="3781"/>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79"/>
      <c r="Q26" s="1351"/>
      <c r="R26" s="704"/>
      <c r="S26" s="705"/>
      <c r="T26" s="704"/>
      <c r="U26" s="705"/>
      <c r="V26" s="704"/>
      <c r="W26" s="705"/>
      <c r="X26" s="1354"/>
      <c r="Y26" s="3781"/>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79"/>
      <c r="Q27" s="1351" t="str">
        <f t="shared" ref="Q27:Q47" si="11">B27</f>
        <v>楼层</v>
      </c>
      <c r="R27" s="704" t="s">
        <v>14</v>
      </c>
      <c r="S27" s="705">
        <f>F27</f>
        <v>100</v>
      </c>
      <c r="T27" s="704" t="s">
        <v>14</v>
      </c>
      <c r="U27" s="705">
        <f>H27</f>
        <v>100</v>
      </c>
      <c r="V27" s="704" t="s">
        <v>14</v>
      </c>
      <c r="W27" s="705">
        <f>J27</f>
        <v>100</v>
      </c>
      <c r="X27" s="1354"/>
      <c r="Y27" s="3781"/>
      <c r="Z27" s="1355" t="str">
        <f>Q27</f>
        <v>楼层</v>
      </c>
      <c r="AA27" s="1352">
        <f t="shared" si="3"/>
        <v>1</v>
      </c>
      <c r="AB27" s="1352">
        <f t="shared" si="4"/>
        <v>1</v>
      </c>
      <c r="AC27" s="1961">
        <f t="shared" si="5"/>
        <v>1</v>
      </c>
    </row>
    <row r="28" spans="1:29" s="107"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79"/>
      <c r="Q28" s="1342" t="str">
        <f t="shared" si="11"/>
        <v>朝向</v>
      </c>
      <c r="R28" s="700" t="s">
        <v>14</v>
      </c>
      <c r="S28" s="701">
        <f>F28</f>
        <v>100</v>
      </c>
      <c r="T28" s="700" t="s">
        <v>14</v>
      </c>
      <c r="U28" s="701">
        <f>H28</f>
        <v>100</v>
      </c>
      <c r="V28" s="700" t="s">
        <v>14</v>
      </c>
      <c r="W28" s="701">
        <f>J28</f>
        <v>100</v>
      </c>
      <c r="X28" s="702"/>
      <c r="Y28" s="3781"/>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79"/>
      <c r="Q29" s="1351">
        <f t="shared" si="11"/>
        <v>111</v>
      </c>
      <c r="R29" s="704" t="s">
        <v>14</v>
      </c>
      <c r="S29" s="705">
        <f t="shared" ref="S29:S47" si="12">F29</f>
        <v>100</v>
      </c>
      <c r="T29" s="704" t="s">
        <v>14</v>
      </c>
      <c r="U29" s="705">
        <f t="shared" ref="U29:U47" si="13">H29</f>
        <v>100</v>
      </c>
      <c r="V29" s="704" t="s">
        <v>14</v>
      </c>
      <c r="W29" s="705">
        <f t="shared" ref="W29:W47" si="14">J29</f>
        <v>100</v>
      </c>
      <c r="X29" s="1354"/>
      <c r="Y29" s="3781"/>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79"/>
      <c r="Q30" s="1351">
        <f t="shared" si="11"/>
        <v>111</v>
      </c>
      <c r="R30" s="704" t="s">
        <v>14</v>
      </c>
      <c r="S30" s="705">
        <f t="shared" si="12"/>
        <v>100</v>
      </c>
      <c r="T30" s="704" t="s">
        <v>14</v>
      </c>
      <c r="U30" s="705">
        <f t="shared" si="13"/>
        <v>100</v>
      </c>
      <c r="V30" s="704" t="s">
        <v>14</v>
      </c>
      <c r="W30" s="705">
        <f t="shared" si="14"/>
        <v>100</v>
      </c>
      <c r="X30" s="1354"/>
      <c r="Y30" s="3781"/>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79"/>
      <c r="Q31" s="1351">
        <f t="shared" si="11"/>
        <v>111</v>
      </c>
      <c r="R31" s="704" t="s">
        <v>14</v>
      </c>
      <c r="S31" s="705">
        <f t="shared" si="12"/>
        <v>100</v>
      </c>
      <c r="T31" s="704" t="s">
        <v>14</v>
      </c>
      <c r="U31" s="705">
        <f t="shared" si="13"/>
        <v>100</v>
      </c>
      <c r="V31" s="704" t="s">
        <v>14</v>
      </c>
      <c r="W31" s="705">
        <f t="shared" si="14"/>
        <v>100</v>
      </c>
      <c r="X31" s="1354"/>
      <c r="Y31" s="3781"/>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79"/>
      <c r="Q32" s="1351">
        <f t="shared" si="11"/>
        <v>111</v>
      </c>
      <c r="R32" s="704" t="s">
        <v>14</v>
      </c>
      <c r="S32" s="705">
        <f t="shared" si="12"/>
        <v>100</v>
      </c>
      <c r="T32" s="704" t="s">
        <v>14</v>
      </c>
      <c r="U32" s="705">
        <f t="shared" si="13"/>
        <v>100</v>
      </c>
      <c r="V32" s="704" t="s">
        <v>14</v>
      </c>
      <c r="W32" s="705">
        <f t="shared" si="14"/>
        <v>100</v>
      </c>
      <c r="X32" s="1354"/>
      <c r="Y32" s="3781"/>
      <c r="Z32" s="1355">
        <f t="shared" si="15"/>
        <v>111</v>
      </c>
      <c r="AA32" s="1352">
        <f t="shared" si="3"/>
        <v>1</v>
      </c>
      <c r="AB32" s="1352">
        <f t="shared" si="4"/>
        <v>1</v>
      </c>
      <c r="AC32" s="1961">
        <f t="shared" si="5"/>
        <v>1</v>
      </c>
    </row>
    <row r="33" spans="1:29" ht="15">
      <c r="A33" s="390" t="s">
        <v>1693</v>
      </c>
      <c r="B33" s="63"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82" t="s">
        <v>1695</v>
      </c>
      <c r="Q33" s="1351" t="str">
        <f t="shared" si="11"/>
        <v>建筑类型</v>
      </c>
      <c r="R33" s="704" t="s">
        <v>14</v>
      </c>
      <c r="S33" s="705">
        <f t="shared" si="12"/>
        <v>100</v>
      </c>
      <c r="T33" s="704" t="s">
        <v>14</v>
      </c>
      <c r="U33" s="705">
        <f t="shared" si="13"/>
        <v>100</v>
      </c>
      <c r="V33" s="704" t="s">
        <v>14</v>
      </c>
      <c r="W33" s="705">
        <f t="shared" si="14"/>
        <v>100</v>
      </c>
      <c r="X33" s="1354"/>
      <c r="Y33" s="3785"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83"/>
      <c r="Q34" s="706" t="str">
        <f t="shared" si="11"/>
        <v>项目建筑规模</v>
      </c>
      <c r="R34" s="707" t="s">
        <v>14</v>
      </c>
      <c r="S34" s="708" t="e">
        <f t="shared" si="12"/>
        <v>#N/A</v>
      </c>
      <c r="T34" s="707" t="s">
        <v>14</v>
      </c>
      <c r="U34" s="708" t="e">
        <f t="shared" si="13"/>
        <v>#N/A</v>
      </c>
      <c r="V34" s="707" t="s">
        <v>14</v>
      </c>
      <c r="W34" s="708" t="e">
        <f t="shared" si="14"/>
        <v>#N/A</v>
      </c>
      <c r="X34" s="709"/>
      <c r="Y34" s="3785"/>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83"/>
      <c r="Q35" s="1351" t="str">
        <f t="shared" si="11"/>
        <v>建筑结构</v>
      </c>
      <c r="R35" s="704" t="s">
        <v>14</v>
      </c>
      <c r="S35" s="705">
        <f t="shared" si="12"/>
        <v>100</v>
      </c>
      <c r="T35" s="704" t="s">
        <v>14</v>
      </c>
      <c r="U35" s="705">
        <f t="shared" si="13"/>
        <v>100</v>
      </c>
      <c r="V35" s="704" t="s">
        <v>14</v>
      </c>
      <c r="W35" s="705">
        <f t="shared" si="14"/>
        <v>100</v>
      </c>
      <c r="X35" s="1354"/>
      <c r="Y35" s="3785"/>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83"/>
      <c r="Q36" s="1351" t="str">
        <f t="shared" si="11"/>
        <v>公共部分装修</v>
      </c>
      <c r="R36" s="704" t="s">
        <v>14</v>
      </c>
      <c r="S36" s="705">
        <f t="shared" si="12"/>
        <v>100</v>
      </c>
      <c r="T36" s="704" t="s">
        <v>14</v>
      </c>
      <c r="U36" s="705">
        <f t="shared" si="13"/>
        <v>100</v>
      </c>
      <c r="V36" s="704" t="s">
        <v>14</v>
      </c>
      <c r="W36" s="705">
        <f t="shared" si="14"/>
        <v>100</v>
      </c>
      <c r="X36" s="1354"/>
      <c r="Y36" s="3785"/>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83"/>
      <c r="Q37" s="1351" t="str">
        <f t="shared" si="11"/>
        <v>成新度</v>
      </c>
      <c r="R37" s="704" t="s">
        <v>14</v>
      </c>
      <c r="S37" s="705" t="e">
        <f t="shared" si="12"/>
        <v>#N/A</v>
      </c>
      <c r="T37" s="704" t="s">
        <v>14</v>
      </c>
      <c r="U37" s="705" t="e">
        <f t="shared" si="13"/>
        <v>#N/A</v>
      </c>
      <c r="V37" s="704" t="s">
        <v>14</v>
      </c>
      <c r="W37" s="705" t="e">
        <f t="shared" si="14"/>
        <v>#N/A</v>
      </c>
      <c r="X37" s="1354"/>
      <c r="Y37" s="3785"/>
      <c r="Z37" s="1355" t="str">
        <f t="shared" si="15"/>
        <v>成新度</v>
      </c>
      <c r="AA37" s="1352" t="e">
        <f t="shared" si="3"/>
        <v>#N/A</v>
      </c>
      <c r="AB37" s="1352" t="e">
        <f t="shared" si="4"/>
        <v>#N/A</v>
      </c>
      <c r="AC37" s="1961" t="e">
        <f t="shared" si="5"/>
        <v>#N/A</v>
      </c>
    </row>
    <row r="38" spans="1:29" s="107"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83"/>
      <c r="Q38" s="1342" t="str">
        <f t="shared" si="11"/>
        <v>写字楼等级</v>
      </c>
      <c r="R38" s="700" t="s">
        <v>14</v>
      </c>
      <c r="S38" s="701">
        <f t="shared" si="12"/>
        <v>100</v>
      </c>
      <c r="T38" s="700" t="s">
        <v>14</v>
      </c>
      <c r="U38" s="701">
        <f t="shared" si="13"/>
        <v>100</v>
      </c>
      <c r="V38" s="700" t="s">
        <v>14</v>
      </c>
      <c r="W38" s="701">
        <f t="shared" si="14"/>
        <v>100</v>
      </c>
      <c r="X38" s="702"/>
      <c r="Y38" s="3785"/>
      <c r="Z38" s="52"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83" t="s">
        <v>1695</v>
      </c>
      <c r="Q39" s="1351" t="str">
        <f t="shared" si="11"/>
        <v>物业管理</v>
      </c>
      <c r="R39" s="704" t="s">
        <v>14</v>
      </c>
      <c r="S39" s="705">
        <f t="shared" si="12"/>
        <v>100</v>
      </c>
      <c r="T39" s="704" t="s">
        <v>14</v>
      </c>
      <c r="U39" s="705">
        <f t="shared" si="13"/>
        <v>100</v>
      </c>
      <c r="V39" s="704" t="s">
        <v>14</v>
      </c>
      <c r="W39" s="705">
        <f t="shared" si="14"/>
        <v>100</v>
      </c>
      <c r="X39" s="1354"/>
      <c r="Y39" s="3785"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83"/>
      <c r="Q40" s="1351" t="str">
        <f t="shared" si="11"/>
        <v>市政基础设施</v>
      </c>
      <c r="R40" s="704" t="s">
        <v>14</v>
      </c>
      <c r="S40" s="705">
        <f t="shared" si="12"/>
        <v>100</v>
      </c>
      <c r="T40" s="704" t="s">
        <v>14</v>
      </c>
      <c r="U40" s="705">
        <f t="shared" si="13"/>
        <v>100</v>
      </c>
      <c r="V40" s="704" t="s">
        <v>14</v>
      </c>
      <c r="W40" s="705">
        <f t="shared" si="14"/>
        <v>100</v>
      </c>
      <c r="X40" s="1354"/>
      <c r="Y40" s="3785"/>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83"/>
      <c r="Q41" s="1351" t="str">
        <f t="shared" si="11"/>
        <v>层高</v>
      </c>
      <c r="R41" s="704" t="s">
        <v>14</v>
      </c>
      <c r="S41" s="705">
        <f t="shared" si="12"/>
        <v>100</v>
      </c>
      <c r="T41" s="704" t="s">
        <v>14</v>
      </c>
      <c r="U41" s="705">
        <f t="shared" si="13"/>
        <v>100</v>
      </c>
      <c r="V41" s="704" t="s">
        <v>14</v>
      </c>
      <c r="W41" s="705">
        <f t="shared" si="14"/>
        <v>100</v>
      </c>
      <c r="X41" s="1354"/>
      <c r="Y41" s="3785"/>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83"/>
      <c r="Q42" s="706" t="str">
        <f t="shared" si="11"/>
        <v>单套建筑面积</v>
      </c>
      <c r="R42" s="707" t="s">
        <v>14</v>
      </c>
      <c r="S42" s="708">
        <f t="shared" si="12"/>
        <v>100</v>
      </c>
      <c r="T42" s="707" t="s">
        <v>14</v>
      </c>
      <c r="U42" s="708">
        <f t="shared" si="13"/>
        <v>100</v>
      </c>
      <c r="V42" s="707" t="s">
        <v>14</v>
      </c>
      <c r="W42" s="708">
        <f t="shared" si="14"/>
        <v>100</v>
      </c>
      <c r="X42" s="709"/>
      <c r="Y42" s="3785"/>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83"/>
      <c r="Q43" s="1351" t="str">
        <f t="shared" si="11"/>
        <v>内部装修</v>
      </c>
      <c r="R43" s="704" t="s">
        <v>14</v>
      </c>
      <c r="S43" s="705">
        <f t="shared" si="12"/>
        <v>100</v>
      </c>
      <c r="T43" s="704" t="s">
        <v>14</v>
      </c>
      <c r="U43" s="705">
        <f t="shared" si="13"/>
        <v>100</v>
      </c>
      <c r="V43" s="704" t="s">
        <v>14</v>
      </c>
      <c r="W43" s="705">
        <f t="shared" si="14"/>
        <v>100</v>
      </c>
      <c r="X43" s="1354"/>
      <c r="Y43" s="3785"/>
      <c r="Z43" s="1355" t="str">
        <f t="shared" si="15"/>
        <v>内部装修</v>
      </c>
      <c r="AA43" s="1352">
        <f t="shared" si="3"/>
        <v>1</v>
      </c>
      <c r="AB43" s="1352">
        <f t="shared" si="4"/>
        <v>1</v>
      </c>
      <c r="AC43" s="1961">
        <f t="shared" si="5"/>
        <v>1</v>
      </c>
    </row>
    <row r="44" spans="1:29" ht="15">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83"/>
      <c r="Q44" s="1351" t="str">
        <f t="shared" si="11"/>
        <v>内部装修维护情况</v>
      </c>
      <c r="R44" s="704" t="s">
        <v>14</v>
      </c>
      <c r="S44" s="705">
        <f t="shared" si="12"/>
        <v>100</v>
      </c>
      <c r="T44" s="704" t="s">
        <v>14</v>
      </c>
      <c r="U44" s="705">
        <f t="shared" si="13"/>
        <v>100</v>
      </c>
      <c r="V44" s="704" t="s">
        <v>14</v>
      </c>
      <c r="W44" s="705">
        <f t="shared" si="14"/>
        <v>100</v>
      </c>
      <c r="X44" s="1354"/>
      <c r="Y44" s="3785"/>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83"/>
      <c r="Q45" s="1342">
        <f t="shared" si="11"/>
        <v>111</v>
      </c>
      <c r="R45" s="700" t="s">
        <v>14</v>
      </c>
      <c r="S45" s="701">
        <f t="shared" si="12"/>
        <v>100</v>
      </c>
      <c r="T45" s="700" t="s">
        <v>14</v>
      </c>
      <c r="U45" s="701">
        <f t="shared" si="13"/>
        <v>100</v>
      </c>
      <c r="V45" s="700" t="s">
        <v>14</v>
      </c>
      <c r="W45" s="701">
        <f t="shared" si="14"/>
        <v>100</v>
      </c>
      <c r="X45" s="702"/>
      <c r="Y45" s="3785"/>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83"/>
      <c r="Q46" s="1351">
        <f t="shared" si="11"/>
        <v>111</v>
      </c>
      <c r="R46" s="704" t="s">
        <v>14</v>
      </c>
      <c r="S46" s="705">
        <f t="shared" si="12"/>
        <v>100</v>
      </c>
      <c r="T46" s="704" t="s">
        <v>14</v>
      </c>
      <c r="U46" s="705">
        <f t="shared" si="13"/>
        <v>100</v>
      </c>
      <c r="V46" s="704" t="s">
        <v>14</v>
      </c>
      <c r="W46" s="705">
        <f t="shared" si="14"/>
        <v>100</v>
      </c>
      <c r="X46" s="1354"/>
      <c r="Y46" s="3785"/>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84"/>
      <c r="Q47" s="1351">
        <f t="shared" si="11"/>
        <v>111</v>
      </c>
      <c r="R47" s="704" t="s">
        <v>14</v>
      </c>
      <c r="S47" s="705">
        <f t="shared" si="12"/>
        <v>100</v>
      </c>
      <c r="T47" s="704" t="s">
        <v>14</v>
      </c>
      <c r="U47" s="705">
        <f t="shared" si="13"/>
        <v>100</v>
      </c>
      <c r="V47" s="704" t="s">
        <v>14</v>
      </c>
      <c r="W47" s="705">
        <f t="shared" si="14"/>
        <v>100</v>
      </c>
      <c r="X47" s="1354"/>
      <c r="Y47" s="3786"/>
      <c r="Z47" s="1355">
        <f t="shared" si="15"/>
        <v>111</v>
      </c>
      <c r="AA47" s="1352">
        <f t="shared" si="3"/>
        <v>1</v>
      </c>
      <c r="AB47" s="1352">
        <f t="shared" si="4"/>
        <v>1</v>
      </c>
      <c r="AC47" s="1961">
        <f t="shared" si="5"/>
        <v>1</v>
      </c>
    </row>
    <row r="48" spans="1:29" ht="15">
      <c r="A48" s="429" t="s">
        <v>1707</v>
      </c>
      <c r="B48" s="430"/>
      <c r="C48" s="1153" t="s">
        <v>0</v>
      </c>
      <c r="D48" s="1154"/>
      <c r="E48" s="1155"/>
      <c r="F48" s="1156"/>
      <c r="G48" s="1157"/>
      <c r="H48" s="1158"/>
      <c r="I48" s="1155"/>
      <c r="J48" s="435"/>
      <c r="K48" s="713"/>
      <c r="L48" s="2723"/>
      <c r="M48" s="2715"/>
      <c r="N48" s="2715"/>
      <c r="O48" s="2715"/>
      <c r="P48" s="3763" t="str">
        <f>A48</f>
        <v>成交单价（元/平方米）</v>
      </c>
      <c r="Q48" s="3787"/>
      <c r="R48" s="3788">
        <f>E48</f>
        <v>0</v>
      </c>
      <c r="S48" s="3788"/>
      <c r="T48" s="3788">
        <f>G48</f>
        <v>0</v>
      </c>
      <c r="U48" s="3788"/>
      <c r="V48" s="3788">
        <f>I48</f>
        <v>0</v>
      </c>
      <c r="W48" s="3788"/>
      <c r="X48" s="396"/>
      <c r="Y48" s="711"/>
      <c r="Z48" s="396"/>
      <c r="AA48" s="396"/>
      <c r="AB48" s="396"/>
      <c r="AC48" s="577"/>
    </row>
    <row r="49" spans="1:29" ht="15.75" thickBot="1">
      <c r="A49" s="436" t="s">
        <v>1792</v>
      </c>
      <c r="B49" s="437"/>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763" t="str">
        <f>A49</f>
        <v>比较价值（元/平方米）</v>
      </c>
      <c r="Q49" s="3787"/>
      <c r="R49" s="3788" t="e">
        <f>IF(F1="售价",ROUND(PRODUCT(R48,AA7:AA47),0),ROUND(PRODUCT(R48,AA7:AA47),1))</f>
        <v>#DIV/0!</v>
      </c>
      <c r="S49" s="3788"/>
      <c r="T49" s="3788" t="e">
        <f>IF(F1="售价",ROUND(PRODUCT(T48,AB7:AB47),0),ROUND(PRODUCT(T48,AB7:AB47),1))</f>
        <v>#DIV/0!</v>
      </c>
      <c r="U49" s="3788"/>
      <c r="V49" s="3788" t="e">
        <f>IF(F1="售价",ROUND(PRODUCT(V48,AC7:AC47),0),ROUND(PRODUCT(V48,AC7:AC47),1))</f>
        <v>#DIV/0!</v>
      </c>
      <c r="W49" s="3788"/>
      <c r="X49" s="396"/>
      <c r="Y49" s="396"/>
      <c r="Z49" s="396"/>
      <c r="AA49" s="396"/>
      <c r="AB49" s="396"/>
      <c r="AC49" s="577"/>
    </row>
    <row r="50" spans="1:29" ht="15.75" thickBot="1">
      <c r="A50" s="440" t="s">
        <v>1793</v>
      </c>
      <c r="B50" s="441"/>
      <c r="C50" s="1162" t="e">
        <f>R50</f>
        <v>#DIV/0!</v>
      </c>
      <c r="D50" s="1162"/>
      <c r="E50" s="1162"/>
      <c r="F50" s="1162"/>
      <c r="G50" s="1162"/>
      <c r="H50" s="1162"/>
      <c r="I50" s="1162"/>
      <c r="J50" s="442"/>
      <c r="K50" s="714"/>
      <c r="L50" s="2723"/>
      <c r="M50" s="2715"/>
      <c r="N50" s="2715"/>
      <c r="O50" s="2715"/>
      <c r="P50" s="3831" t="str">
        <f>A50</f>
        <v>估价对象XX用房的比较价值（楼面单价，元/平方米）</v>
      </c>
      <c r="Q50" s="3832"/>
      <c r="R50" s="3833" t="e">
        <f>IF(F1="售价",ROUND(IF(D49="简单平均",AVERAGE(R49:V49),R49*F49+T49*H49+V49*J49),0),ROUND(IF(D49="简单平均",AVERAGE(R49:V49),R49*F49+T49*H49+V49*J49),1))</f>
        <v>#DIV/0!</v>
      </c>
      <c r="S50" s="3833"/>
      <c r="T50" s="3833"/>
      <c r="U50" s="3833"/>
      <c r="V50" s="3833"/>
      <c r="W50" s="383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4"/>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4"/>
      <c r="Q52" s="2724"/>
      <c r="R52" s="2724"/>
      <c r="S52" s="2724"/>
      <c r="T52" s="2724"/>
      <c r="U52" s="2724"/>
      <c r="V52" s="2724"/>
      <c r="W52" s="2724"/>
      <c r="X52" s="2724"/>
      <c r="Y52" s="2724"/>
      <c r="Z52" s="2724"/>
      <c r="AA52" s="2724"/>
      <c r="AB52" s="2724"/>
      <c r="AC52" s="2724"/>
    </row>
    <row r="53" spans="1:29" ht="13.5" customHeight="1">
      <c r="A53" s="2724"/>
      <c r="B53" s="2724"/>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4"/>
      <c r="Q53" s="2724"/>
      <c r="R53" s="2724"/>
      <c r="S53" s="2724"/>
      <c r="T53" s="2724"/>
      <c r="U53" s="2724"/>
      <c r="V53" s="2724"/>
      <c r="W53" s="2724"/>
      <c r="X53" s="2724"/>
      <c r="Y53" s="2724"/>
      <c r="Z53" s="2724"/>
      <c r="AA53" s="2724"/>
      <c r="AB53" s="2724"/>
      <c r="AC53" s="2724"/>
    </row>
    <row r="54" spans="1:29" ht="13.5" customHeight="1">
      <c r="A54" s="2724"/>
      <c r="B54" s="2724"/>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4"/>
      <c r="Q54" s="2724"/>
      <c r="R54" s="2724"/>
      <c r="S54" s="2724"/>
      <c r="T54" s="2724"/>
      <c r="U54" s="2724"/>
      <c r="V54" s="2724"/>
      <c r="W54" s="2724"/>
      <c r="X54" s="2724"/>
      <c r="Y54" s="2724"/>
      <c r="Z54" s="2724"/>
      <c r="AA54" s="2724"/>
      <c r="AB54" s="2724"/>
      <c r="AC54" s="2724"/>
    </row>
    <row r="55" spans="1:29" s="450" customFormat="1" ht="13.5" customHeight="1">
      <c r="A55" s="2727"/>
      <c r="B55" s="2727"/>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5"/>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5"/>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4"/>
      <c r="Q57" s="2724"/>
      <c r="R57" s="2724"/>
      <c r="S57" s="2724"/>
      <c r="T57" s="2724"/>
      <c r="U57" s="2724"/>
      <c r="V57" s="2724"/>
      <c r="W57" s="2724"/>
      <c r="X57" s="2724"/>
      <c r="Y57" s="2724"/>
      <c r="Z57" s="2724"/>
      <c r="AA57" s="2724"/>
      <c r="AB57" s="2724"/>
      <c r="AC57" s="2724"/>
    </row>
    <row r="58" spans="1:29" ht="21.75" thickBot="1">
      <c r="A58" s="693" t="s">
        <v>1797</v>
      </c>
      <c r="B58" s="689"/>
      <c r="C58" s="694"/>
      <c r="D58" s="694"/>
      <c r="E58" s="694"/>
      <c r="F58" s="695"/>
      <c r="G58" s="695"/>
      <c r="H58" s="694"/>
      <c r="I58" s="694"/>
      <c r="J58" s="694"/>
      <c r="K58" s="696"/>
      <c r="L58" s="941"/>
      <c r="M58" s="939"/>
      <c r="N58" s="2767"/>
      <c r="O58" s="2767"/>
      <c r="P58" s="2756"/>
      <c r="Q58" s="2738"/>
      <c r="R58" s="2724"/>
      <c r="S58" s="2724"/>
      <c r="T58" s="2724"/>
      <c r="U58" s="2724"/>
      <c r="V58" s="2724"/>
      <c r="W58" s="2724"/>
      <c r="X58" s="2724"/>
      <c r="Y58" s="2724"/>
      <c r="Z58" s="2724"/>
      <c r="AA58" s="2724"/>
      <c r="AB58" s="2724"/>
      <c r="AC58" s="2724"/>
    </row>
    <row r="59" spans="1:29" s="456" customFormat="1" ht="15">
      <c r="A59" s="453" t="s">
        <v>1678</v>
      </c>
      <c r="B59" s="454"/>
      <c r="C59" s="1183" t="str">
        <f>YEAR(C7)&amp;"-"&amp;MONTH(C7)</f>
        <v>2023-6</v>
      </c>
      <c r="D59" s="1184">
        <f>EDATE(C59,-1)</f>
        <v>45047</v>
      </c>
      <c r="E59" s="1184">
        <f>EDATE(D59,-1)</f>
        <v>45017</v>
      </c>
      <c r="F59" s="1184">
        <f t="shared" ref="F59:O59" si="16">EDATE(E59,-1)</f>
        <v>44986</v>
      </c>
      <c r="G59" s="1184">
        <f t="shared" si="16"/>
        <v>44958</v>
      </c>
      <c r="H59" s="1184">
        <f t="shared" si="16"/>
        <v>44927</v>
      </c>
      <c r="I59" s="1184">
        <f t="shared" si="16"/>
        <v>44896</v>
      </c>
      <c r="J59" s="1184">
        <f t="shared" si="16"/>
        <v>44866</v>
      </c>
      <c r="K59" s="1184">
        <f t="shared" si="16"/>
        <v>44835</v>
      </c>
      <c r="L59" s="1184">
        <f t="shared" si="16"/>
        <v>44805</v>
      </c>
      <c r="M59" s="1184">
        <f t="shared" si="16"/>
        <v>44774</v>
      </c>
      <c r="N59" s="1184">
        <f t="shared" si="16"/>
        <v>44743</v>
      </c>
      <c r="O59" s="1184">
        <f t="shared" si="16"/>
        <v>44713</v>
      </c>
      <c r="P59" s="2757"/>
      <c r="Q59" s="2739"/>
      <c r="R59" s="2739"/>
      <c r="S59" s="2739"/>
      <c r="T59" s="2739"/>
      <c r="U59" s="2739"/>
      <c r="V59" s="2739"/>
      <c r="W59" s="2739"/>
      <c r="X59" s="2739"/>
      <c r="Y59" s="2739"/>
      <c r="Z59" s="2739"/>
      <c r="AA59" s="2739"/>
      <c r="AB59" s="2739"/>
      <c r="AC59" s="2739"/>
    </row>
    <row r="60" spans="1:29" s="107" customFormat="1" ht="15">
      <c r="A60" s="457"/>
      <c r="B60" s="458"/>
      <c r="C60" s="1182">
        <v>100</v>
      </c>
      <c r="D60" s="460"/>
      <c r="E60" s="460"/>
      <c r="F60" s="460"/>
      <c r="G60" s="460"/>
      <c r="H60" s="460"/>
      <c r="I60" s="460"/>
      <c r="J60" s="460"/>
      <c r="K60" s="460"/>
      <c r="L60" s="460"/>
      <c r="M60" s="461"/>
      <c r="N60" s="460"/>
      <c r="O60" s="461"/>
      <c r="P60" s="2758"/>
      <c r="Q60" s="2660"/>
      <c r="R60" s="2660"/>
      <c r="S60" s="2660"/>
      <c r="T60" s="2660"/>
      <c r="U60" s="2660"/>
      <c r="V60" s="2660"/>
      <c r="W60" s="2660"/>
      <c r="X60" s="2660"/>
      <c r="Y60" s="2660"/>
      <c r="Z60" s="2660"/>
      <c r="AA60" s="2660"/>
      <c r="AB60" s="2660"/>
      <c r="AC60" s="2660"/>
    </row>
    <row r="61" spans="1:29" s="107" customFormat="1" ht="15.75" thickBot="1">
      <c r="A61" s="463" t="s">
        <v>1715</v>
      </c>
      <c r="B61" s="464"/>
      <c r="C61" s="465"/>
      <c r="D61" s="466"/>
      <c r="E61" s="466"/>
      <c r="F61" s="466"/>
      <c r="G61" s="466"/>
      <c r="H61" s="466"/>
      <c r="I61" s="466"/>
      <c r="J61" s="466"/>
      <c r="K61" s="466"/>
      <c r="L61" s="466"/>
      <c r="M61" s="467"/>
      <c r="N61" s="466"/>
      <c r="O61" s="467"/>
      <c r="P61" s="2758"/>
      <c r="Q61" s="2738"/>
      <c r="R61" s="2660"/>
      <c r="S61" s="2660"/>
      <c r="T61" s="2660"/>
      <c r="U61" s="2660"/>
      <c r="V61" s="2660"/>
      <c r="W61" s="2660"/>
      <c r="X61" s="2660"/>
      <c r="Y61" s="2660"/>
      <c r="Z61" s="2660"/>
      <c r="AA61" s="2660"/>
      <c r="AB61" s="2660"/>
      <c r="AC61" s="2660"/>
    </row>
    <row r="62" spans="1:29" s="107" customFormat="1" ht="15">
      <c r="A62" s="469" t="s">
        <v>1680</v>
      </c>
      <c r="B62" s="458"/>
      <c r="C62" s="470" t="s">
        <v>1775</v>
      </c>
      <c r="D62" s="471"/>
      <c r="E62" s="471"/>
      <c r="F62" s="471"/>
      <c r="G62" s="471"/>
      <c r="H62" s="471"/>
      <c r="I62" s="471"/>
      <c r="J62" s="471"/>
      <c r="K62" s="471"/>
      <c r="L62" s="472"/>
      <c r="M62" s="473"/>
      <c r="N62" s="2750"/>
      <c r="O62" s="2750"/>
      <c r="P62" s="2759"/>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0"/>
      <c r="O63" s="2750"/>
      <c r="P63" s="2758"/>
      <c r="Q63" s="2738"/>
      <c r="R63" s="2660"/>
      <c r="S63" s="2660"/>
      <c r="T63" s="2660"/>
      <c r="U63" s="2660"/>
      <c r="V63" s="2660"/>
      <c r="W63" s="2660"/>
      <c r="X63" s="2660"/>
      <c r="Y63" s="2660"/>
      <c r="Z63" s="2660"/>
      <c r="AA63" s="2660"/>
      <c r="AB63" s="2660"/>
      <c r="AC63" s="2660"/>
    </row>
    <row r="64" spans="1:29">
      <c r="A64" s="475" t="s">
        <v>1718</v>
      </c>
      <c r="B64" s="476" t="s">
        <v>1684</v>
      </c>
      <c r="C64" s="477">
        <f>C9</f>
        <v>0</v>
      </c>
      <c r="D64" s="478"/>
      <c r="E64" s="478"/>
      <c r="F64" s="478"/>
      <c r="G64" s="478"/>
      <c r="H64" s="478"/>
      <c r="I64" s="478"/>
      <c r="J64" s="478"/>
      <c r="K64" s="479"/>
      <c r="L64" s="480"/>
      <c r="M64" s="481"/>
      <c r="N64" s="2751"/>
      <c r="O64" s="2751"/>
      <c r="P64" s="2760"/>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2"/>
      <c r="O65" s="2752"/>
      <c r="P65" s="2760"/>
      <c r="Q65" s="2738"/>
      <c r="R65" s="2724"/>
      <c r="S65" s="2724"/>
      <c r="T65" s="2724"/>
      <c r="U65" s="2724"/>
      <c r="V65" s="2724"/>
      <c r="W65" s="2724"/>
      <c r="X65" s="2724"/>
      <c r="Y65" s="2724"/>
      <c r="Z65" s="2724"/>
      <c r="AA65" s="2724"/>
      <c r="AB65" s="2724"/>
      <c r="AC65" s="2724"/>
    </row>
    <row r="66" spans="1:29" ht="27.75" thickTop="1">
      <c r="A66" s="482"/>
      <c r="B66" s="486" t="s">
        <v>1687</v>
      </c>
      <c r="C66" s="531"/>
      <c r="D66" s="531"/>
      <c r="E66" s="531"/>
      <c r="F66" s="531"/>
      <c r="G66" s="531"/>
      <c r="H66" s="531"/>
      <c r="I66" s="531"/>
      <c r="J66" s="531"/>
      <c r="K66" s="532"/>
      <c r="L66" s="533"/>
      <c r="M66" s="534"/>
      <c r="N66" s="2751"/>
      <c r="O66" s="2751"/>
      <c r="P66" s="2760"/>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2"/>
      <c r="O67" s="2752"/>
      <c r="P67" s="2760"/>
      <c r="Q67" s="2738"/>
      <c r="R67" s="2724"/>
      <c r="S67" s="2724"/>
      <c r="T67" s="2724"/>
      <c r="U67" s="2724"/>
      <c r="V67" s="2724"/>
      <c r="W67" s="2724"/>
      <c r="X67" s="2724"/>
      <c r="Y67" s="2724"/>
      <c r="Z67" s="2724"/>
      <c r="AA67" s="2724"/>
      <c r="AB67" s="2724"/>
      <c r="AC67" s="2724"/>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2"/>
      <c r="O68" s="2752"/>
      <c r="P68" s="2760"/>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1"/>
      <c r="O69" s="2751"/>
      <c r="P69" s="2760"/>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2"/>
      <c r="O70" s="2752"/>
      <c r="P70" s="2760"/>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3"/>
      <c r="O71" s="2753"/>
      <c r="P71" s="2761"/>
      <c r="Q71" s="2744"/>
      <c r="R71" s="2745"/>
      <c r="S71" s="2745"/>
      <c r="T71" s="2745"/>
      <c r="U71" s="2745"/>
      <c r="V71" s="2745"/>
      <c r="W71" s="2745"/>
      <c r="X71" s="2745"/>
      <c r="Y71" s="2745"/>
      <c r="Z71" s="2745"/>
      <c r="AA71" s="2745"/>
      <c r="AB71" s="2745"/>
      <c r="AC71" s="2745"/>
    </row>
    <row r="72" spans="1:29" s="421" customFormat="1" ht="15.75" thickBot="1">
      <c r="A72" s="501"/>
      <c r="B72" s="491"/>
      <c r="C72" s="508"/>
      <c r="D72" s="484"/>
      <c r="E72" s="484"/>
      <c r="F72" s="484"/>
      <c r="G72" s="484"/>
      <c r="H72" s="484"/>
      <c r="I72" s="484"/>
      <c r="J72" s="484"/>
      <c r="K72" s="484"/>
      <c r="L72" s="484"/>
      <c r="M72" s="485"/>
      <c r="N72" s="2752"/>
      <c r="O72" s="2752"/>
      <c r="P72" s="2761"/>
      <c r="Q72" s="2744"/>
      <c r="R72" s="2745"/>
      <c r="S72" s="2745"/>
      <c r="T72" s="2745"/>
      <c r="U72" s="2745"/>
      <c r="V72" s="2745"/>
      <c r="W72" s="2745"/>
      <c r="X72" s="2745"/>
      <c r="Y72" s="2745"/>
      <c r="Z72" s="2745"/>
      <c r="AA72" s="2745"/>
      <c r="AB72" s="2745"/>
      <c r="AC72" s="2745"/>
    </row>
    <row r="73" spans="1:29" s="421" customFormat="1" ht="15.75" thickTop="1">
      <c r="A73" s="501"/>
      <c r="B73" s="486">
        <f>B13</f>
        <v>111</v>
      </c>
      <c r="C73" s="502"/>
      <c r="D73" s="502"/>
      <c r="E73" s="502"/>
      <c r="F73" s="502"/>
      <c r="G73" s="502"/>
      <c r="H73" s="503"/>
      <c r="I73" s="503"/>
      <c r="J73" s="503"/>
      <c r="K73" s="503"/>
      <c r="L73" s="504"/>
      <c r="M73" s="505"/>
      <c r="N73" s="2753"/>
      <c r="O73" s="2753"/>
      <c r="P73" s="2762"/>
      <c r="Q73" s="2747"/>
      <c r="R73" s="2745"/>
      <c r="S73" s="2745"/>
      <c r="T73" s="2745"/>
      <c r="U73" s="2745"/>
      <c r="V73" s="2745"/>
      <c r="W73" s="2745"/>
      <c r="X73" s="2745"/>
      <c r="Y73" s="2745"/>
      <c r="Z73" s="2745"/>
      <c r="AA73" s="2745"/>
      <c r="AB73" s="2745"/>
      <c r="AC73" s="2745"/>
    </row>
    <row r="74" spans="1:29" s="421" customFormat="1" ht="15.75" thickBot="1">
      <c r="A74" s="501"/>
      <c r="B74" s="491"/>
      <c r="C74" s="508"/>
      <c r="D74" s="508"/>
      <c r="E74" s="508"/>
      <c r="F74" s="508"/>
      <c r="G74" s="508"/>
      <c r="H74" s="510"/>
      <c r="I74" s="510"/>
      <c r="J74" s="510"/>
      <c r="K74" s="510"/>
      <c r="L74" s="510"/>
      <c r="M74" s="511"/>
      <c r="N74" s="2753"/>
      <c r="O74" s="2753"/>
      <c r="P74" s="2761"/>
      <c r="Q74" s="2744"/>
      <c r="R74" s="2745"/>
      <c r="S74" s="2745"/>
      <c r="T74" s="2745"/>
      <c r="U74" s="2745"/>
      <c r="V74" s="2745"/>
      <c r="W74" s="2745"/>
      <c r="X74" s="2745"/>
      <c r="Y74" s="2745"/>
      <c r="Z74" s="2745"/>
      <c r="AA74" s="2745"/>
      <c r="AB74" s="2745"/>
      <c r="AC74" s="2745"/>
    </row>
    <row r="75" spans="1:29" s="421" customFormat="1" ht="15.75" thickTop="1">
      <c r="A75" s="501"/>
      <c r="B75" s="494">
        <f>B14</f>
        <v>111</v>
      </c>
      <c r="C75" s="471"/>
      <c r="D75" s="471"/>
      <c r="E75" s="471"/>
      <c r="F75" s="471"/>
      <c r="G75" s="471"/>
      <c r="H75" s="512"/>
      <c r="I75" s="512"/>
      <c r="J75" s="512"/>
      <c r="K75" s="512"/>
      <c r="L75" s="513"/>
      <c r="M75" s="514"/>
      <c r="N75" s="2753"/>
      <c r="O75" s="2753"/>
      <c r="P75" s="2763"/>
      <c r="Q75" s="2744"/>
      <c r="R75" s="2745"/>
      <c r="S75" s="2745"/>
      <c r="T75" s="2745"/>
      <c r="U75" s="2745"/>
      <c r="V75" s="2745"/>
      <c r="W75" s="2745"/>
      <c r="X75" s="2745"/>
      <c r="Y75" s="2745"/>
      <c r="Z75" s="2745"/>
      <c r="AA75" s="2745"/>
      <c r="AB75" s="2745"/>
      <c r="AC75" s="2745"/>
    </row>
    <row r="76" spans="1:29" s="421" customFormat="1" ht="15.75" thickBot="1">
      <c r="A76" s="516"/>
      <c r="B76" s="517"/>
      <c r="C76" s="518"/>
      <c r="D76" s="518"/>
      <c r="E76" s="518"/>
      <c r="F76" s="518"/>
      <c r="G76" s="518"/>
      <c r="H76" s="519"/>
      <c r="I76" s="519"/>
      <c r="J76" s="519"/>
      <c r="K76" s="519"/>
      <c r="L76" s="519"/>
      <c r="M76" s="520"/>
      <c r="N76" s="2753"/>
      <c r="O76" s="2753"/>
      <c r="P76" s="2761"/>
      <c r="Q76" s="2744"/>
      <c r="R76" s="2745"/>
      <c r="S76" s="2745"/>
      <c r="T76" s="2745"/>
      <c r="U76" s="2745"/>
      <c r="V76" s="2745"/>
      <c r="W76" s="2745"/>
      <c r="X76" s="2745"/>
      <c r="Y76" s="2745"/>
      <c r="Z76" s="2745"/>
      <c r="AA76" s="2745"/>
      <c r="AB76" s="2745"/>
      <c r="AC76" s="2745"/>
    </row>
    <row r="77" spans="1:29">
      <c r="A77" s="475" t="s">
        <v>1689</v>
      </c>
      <c r="B77" s="476" t="s">
        <v>1820</v>
      </c>
      <c r="C77" s="521" t="s">
        <v>1720</v>
      </c>
      <c r="D77" s="521" t="s">
        <v>1721</v>
      </c>
      <c r="E77" s="521" t="s">
        <v>1722</v>
      </c>
      <c r="F77" s="521" t="s">
        <v>1723</v>
      </c>
      <c r="G77" s="521" t="s">
        <v>1724</v>
      </c>
      <c r="H77" s="477"/>
      <c r="I77" s="477"/>
      <c r="J77" s="477"/>
      <c r="K77" s="522"/>
      <c r="L77" s="523"/>
      <c r="M77" s="524"/>
      <c r="N77" s="2751"/>
      <c r="O77" s="2751"/>
      <c r="P77" s="2764"/>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2"/>
      <c r="O78" s="2752"/>
      <c r="P78" s="2760"/>
      <c r="Q78" s="2738"/>
      <c r="R78" s="2724"/>
      <c r="S78" s="2724"/>
      <c r="T78" s="2724"/>
      <c r="U78" s="2724"/>
      <c r="V78" s="2724"/>
      <c r="W78" s="2724"/>
      <c r="X78" s="2724"/>
      <c r="Y78" s="2724"/>
      <c r="Z78" s="2724"/>
      <c r="AA78" s="2724"/>
      <c r="AB78" s="2724"/>
      <c r="AC78" s="2724"/>
    </row>
    <row r="79" spans="1:29" ht="15.75" thickTop="1">
      <c r="A79" s="482"/>
      <c r="B79" s="486" t="s">
        <v>1725</v>
      </c>
      <c r="C79" s="526" t="s">
        <v>1720</v>
      </c>
      <c r="D79" s="526" t="s">
        <v>1721</v>
      </c>
      <c r="E79" s="526" t="s">
        <v>1722</v>
      </c>
      <c r="F79" s="526" t="s">
        <v>1723</v>
      </c>
      <c r="G79" s="526" t="s">
        <v>1724</v>
      </c>
      <c r="H79" s="487"/>
      <c r="I79" s="487"/>
      <c r="J79" s="487"/>
      <c r="K79" s="488"/>
      <c r="L79" s="489"/>
      <c r="M79" s="490"/>
      <c r="N79" s="2751"/>
      <c r="O79" s="2751"/>
      <c r="P79" s="2760"/>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2"/>
      <c r="O80" s="2752"/>
      <c r="P80" s="2760"/>
      <c r="Q80" s="2738"/>
      <c r="R80" s="2724"/>
      <c r="S80" s="2724"/>
      <c r="T80" s="2724"/>
      <c r="U80" s="2724"/>
      <c r="V80" s="2724"/>
      <c r="W80" s="2724"/>
      <c r="X80" s="2724"/>
      <c r="Y80" s="2724"/>
      <c r="Z80" s="2724"/>
      <c r="AA80" s="2724"/>
      <c r="AB80" s="2724"/>
      <c r="AC80" s="2724"/>
    </row>
    <row r="81" spans="1:29" ht="15.75" thickTop="1">
      <c r="A81" s="482"/>
      <c r="B81" s="486" t="s">
        <v>1726</v>
      </c>
      <c r="C81" s="526" t="s">
        <v>1720</v>
      </c>
      <c r="D81" s="526" t="s">
        <v>1721</v>
      </c>
      <c r="E81" s="526" t="s">
        <v>1722</v>
      </c>
      <c r="F81" s="526" t="s">
        <v>1723</v>
      </c>
      <c r="G81" s="526" t="s">
        <v>1724</v>
      </c>
      <c r="H81" s="487"/>
      <c r="I81" s="487"/>
      <c r="J81" s="487"/>
      <c r="K81" s="488"/>
      <c r="L81" s="489"/>
      <c r="M81" s="490"/>
      <c r="N81" s="2751"/>
      <c r="O81" s="2751"/>
      <c r="P81" s="2760"/>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2"/>
      <c r="O82" s="2752"/>
      <c r="P82" s="2760"/>
      <c r="Q82" s="2738"/>
      <c r="R82" s="2724"/>
      <c r="S82" s="2724"/>
      <c r="T82" s="2724"/>
      <c r="U82" s="2724"/>
      <c r="V82" s="2724"/>
      <c r="W82" s="2724"/>
      <c r="X82" s="2724"/>
      <c r="Y82" s="2724"/>
      <c r="Z82" s="2724"/>
      <c r="AA82" s="2724"/>
      <c r="AB82" s="2724"/>
      <c r="AC82" s="2724"/>
    </row>
    <row r="83" spans="1:29" ht="15.75" thickTop="1">
      <c r="A83" s="482"/>
      <c r="B83" s="494" t="s">
        <v>1812</v>
      </c>
      <c r="C83" s="607" t="s">
        <v>1798</v>
      </c>
      <c r="D83" s="607" t="s">
        <v>1799</v>
      </c>
      <c r="E83" s="607" t="s">
        <v>1800</v>
      </c>
      <c r="F83" s="607" t="s">
        <v>1801</v>
      </c>
      <c r="G83" s="607" t="s">
        <v>1802</v>
      </c>
      <c r="H83" s="487"/>
      <c r="I83" s="487"/>
      <c r="J83" s="487"/>
      <c r="K83" s="487"/>
      <c r="L83" s="487"/>
      <c r="M83" s="1128"/>
      <c r="N83" s="2752"/>
      <c r="O83" s="2752"/>
      <c r="P83" s="2760"/>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2"/>
      <c r="O84" s="2752"/>
      <c r="P84" s="2760"/>
      <c r="Q84" s="2738"/>
      <c r="R84" s="2724"/>
      <c r="S84" s="2724"/>
      <c r="T84" s="2724"/>
      <c r="U84" s="2724"/>
      <c r="V84" s="2724"/>
      <c r="W84" s="2724"/>
      <c r="X84" s="2724"/>
      <c r="Y84" s="2724"/>
      <c r="Z84" s="2724"/>
      <c r="AA84" s="2724"/>
      <c r="AB84" s="2724"/>
      <c r="AC84" s="2724"/>
    </row>
    <row r="85" spans="1:29" ht="15.75" thickTop="1">
      <c r="A85" s="482"/>
      <c r="B85" s="486" t="s">
        <v>1821</v>
      </c>
      <c r="C85" s="526" t="s">
        <v>1720</v>
      </c>
      <c r="D85" s="526" t="s">
        <v>1721</v>
      </c>
      <c r="E85" s="526" t="s">
        <v>1722</v>
      </c>
      <c r="F85" s="526" t="s">
        <v>1723</v>
      </c>
      <c r="G85" s="526" t="s">
        <v>1724</v>
      </c>
      <c r="H85" s="487"/>
      <c r="I85" s="487"/>
      <c r="J85" s="487"/>
      <c r="K85" s="488"/>
      <c r="L85" s="489"/>
      <c r="M85" s="490"/>
      <c r="N85" s="2751"/>
      <c r="O85" s="2751"/>
      <c r="P85" s="2760"/>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2"/>
      <c r="O86" s="2752"/>
      <c r="P86" s="2760"/>
      <c r="Q86" s="2738"/>
      <c r="R86" s="2724"/>
      <c r="S86" s="2724"/>
      <c r="T86" s="2724"/>
      <c r="U86" s="2724"/>
      <c r="V86" s="2724"/>
      <c r="W86" s="2724"/>
      <c r="X86" s="2724"/>
      <c r="Y86" s="2724"/>
      <c r="Z86" s="2724"/>
      <c r="AA86" s="2724"/>
      <c r="AB86" s="2724"/>
      <c r="AC86" s="2724"/>
    </row>
    <row r="87" spans="1:29" s="107" customFormat="1" ht="27.75" thickTop="1">
      <c r="A87" s="527"/>
      <c r="B87" s="486" t="s">
        <v>1822</v>
      </c>
      <c r="C87" s="502"/>
      <c r="D87" s="502"/>
      <c r="E87" s="502"/>
      <c r="F87" s="502"/>
      <c r="G87" s="502"/>
      <c r="H87" s="502"/>
      <c r="I87" s="502"/>
      <c r="J87" s="502"/>
      <c r="K87" s="502"/>
      <c r="L87" s="528"/>
      <c r="M87" s="529"/>
      <c r="N87" s="2750"/>
      <c r="O87" s="2750"/>
      <c r="P87" s="2760"/>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2"/>
      <c r="O88" s="2752"/>
      <c r="P88" s="2760"/>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0"/>
      <c r="O89" s="2750"/>
      <c r="P89" s="2760"/>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2"/>
      <c r="O90" s="2752"/>
      <c r="P90" s="2760"/>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2"/>
      <c r="B93" s="486">
        <f>B29</f>
        <v>111</v>
      </c>
      <c r="C93" s="502"/>
      <c r="D93" s="502"/>
      <c r="E93" s="502"/>
      <c r="F93" s="502"/>
      <c r="G93" s="502"/>
      <c r="H93" s="502"/>
      <c r="I93" s="502"/>
      <c r="J93" s="502"/>
      <c r="K93" s="502"/>
      <c r="L93" s="528"/>
      <c r="M93" s="529"/>
      <c r="N93" s="2751"/>
      <c r="O93" s="2751"/>
      <c r="P93" s="2760"/>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2"/>
      <c r="O94" s="2752"/>
      <c r="P94" s="2760"/>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1"/>
      <c r="O95" s="2751"/>
      <c r="P95" s="2760"/>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2"/>
      <c r="O96" s="2752"/>
      <c r="P96" s="2760"/>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1"/>
      <c r="O97" s="2751"/>
      <c r="P97" s="2760"/>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2"/>
      <c r="O98" s="2752"/>
      <c r="P98" s="2760"/>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1"/>
      <c r="O99" s="2751"/>
      <c r="P99" s="2760"/>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2"/>
      <c r="O100" s="2752"/>
      <c r="P100" s="2760"/>
      <c r="Q100" s="2738"/>
      <c r="R100" s="2724"/>
      <c r="S100" s="2724"/>
      <c r="T100" s="2724"/>
      <c r="U100" s="2724"/>
      <c r="V100" s="2724"/>
      <c r="W100" s="2724"/>
      <c r="X100" s="2724"/>
      <c r="Y100" s="2724"/>
      <c r="Z100" s="2724"/>
      <c r="AA100" s="2724"/>
      <c r="AB100" s="2724"/>
      <c r="AC100" s="2724"/>
    </row>
    <row r="101" spans="1:29">
      <c r="A101" s="475" t="s">
        <v>1693</v>
      </c>
      <c r="B101" s="476" t="s">
        <v>1735</v>
      </c>
      <c r="C101" s="478"/>
      <c r="D101" s="478"/>
      <c r="E101" s="478"/>
      <c r="F101" s="478"/>
      <c r="G101" s="478"/>
      <c r="H101" s="478"/>
      <c r="I101" s="478"/>
      <c r="J101" s="478"/>
      <c r="K101" s="479"/>
      <c r="L101" s="480"/>
      <c r="M101" s="481"/>
      <c r="N101" s="2751"/>
      <c r="O101" s="2751"/>
      <c r="P101" s="2760"/>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2"/>
      <c r="O102" s="2752"/>
      <c r="P102" s="2760"/>
      <c r="Q102" s="2738"/>
      <c r="R102" s="2724"/>
      <c r="S102" s="2724"/>
      <c r="T102" s="2724"/>
      <c r="U102" s="2724"/>
      <c r="V102" s="2724"/>
      <c r="W102" s="2724"/>
      <c r="X102" s="2724"/>
      <c r="Y102" s="2724"/>
      <c r="Z102" s="2724"/>
      <c r="AA102" s="2724"/>
      <c r="AB102" s="2724"/>
      <c r="AC102" s="2724"/>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0"/>
      <c r="O103" s="2750"/>
      <c r="P103" s="2760"/>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3"/>
      <c r="O104" s="2753"/>
      <c r="P104" s="2761"/>
      <c r="Q104" s="2744"/>
      <c r="R104" s="2745"/>
      <c r="S104" s="2745"/>
      <c r="T104" s="2745"/>
      <c r="U104" s="2745"/>
      <c r="V104" s="2745"/>
      <c r="W104" s="2745"/>
      <c r="X104" s="2745"/>
      <c r="Y104" s="2745"/>
      <c r="Z104" s="2745"/>
      <c r="AA104" s="2745"/>
      <c r="AB104" s="2745"/>
      <c r="AC104" s="2745"/>
    </row>
    <row r="105" spans="1:29" s="421" customFormat="1" ht="15.75" thickBot="1">
      <c r="A105" s="501"/>
      <c r="B105" s="491"/>
      <c r="C105" s="508"/>
      <c r="D105" s="484"/>
      <c r="E105" s="484"/>
      <c r="F105" s="484"/>
      <c r="G105" s="484"/>
      <c r="H105" s="484"/>
      <c r="I105" s="484"/>
      <c r="J105" s="484"/>
      <c r="K105" s="484"/>
      <c r="L105" s="484"/>
      <c r="M105" s="485"/>
      <c r="N105" s="2752"/>
      <c r="O105" s="2752"/>
      <c r="P105" s="2761"/>
      <c r="Q105" s="2744"/>
      <c r="R105" s="2745"/>
      <c r="S105" s="2745"/>
      <c r="T105" s="2745"/>
      <c r="U105" s="2745"/>
      <c r="V105" s="2745"/>
      <c r="W105" s="2745"/>
      <c r="X105" s="2745"/>
      <c r="Y105" s="2745"/>
      <c r="Z105" s="2745"/>
      <c r="AA105" s="2745"/>
      <c r="AB105" s="2745"/>
      <c r="AC105" s="2745"/>
    </row>
    <row r="106" spans="1:29" ht="15" thickTop="1">
      <c r="A106" s="547"/>
      <c r="B106" s="486" t="s">
        <v>1737</v>
      </c>
      <c r="C106" s="502"/>
      <c r="D106" s="502"/>
      <c r="E106" s="531"/>
      <c r="F106" s="531"/>
      <c r="G106" s="531"/>
      <c r="H106" s="531"/>
      <c r="I106" s="531"/>
      <c r="J106" s="531"/>
      <c r="K106" s="532"/>
      <c r="L106" s="533"/>
      <c r="M106" s="534"/>
      <c r="N106" s="2751"/>
      <c r="O106" s="2751"/>
      <c r="P106" s="2760"/>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2"/>
      <c r="O107" s="2752"/>
      <c r="P107" s="2760"/>
      <c r="Q107" s="2738"/>
      <c r="R107" s="2724"/>
      <c r="S107" s="2724"/>
      <c r="T107" s="2724"/>
      <c r="U107" s="2724"/>
      <c r="V107" s="2724"/>
      <c r="W107" s="2724"/>
      <c r="X107" s="2724"/>
      <c r="Y107" s="2724"/>
      <c r="Z107" s="2724"/>
      <c r="AA107" s="2724"/>
      <c r="AB107" s="2724"/>
      <c r="AC107" s="2724"/>
    </row>
    <row r="108" spans="1:29" ht="15" thickTop="1">
      <c r="A108" s="547"/>
      <c r="B108" s="486" t="s">
        <v>1739</v>
      </c>
      <c r="C108" s="502"/>
      <c r="D108" s="502"/>
      <c r="E108" s="502"/>
      <c r="F108" s="531"/>
      <c r="G108" s="531"/>
      <c r="H108" s="531"/>
      <c r="I108" s="531"/>
      <c r="J108" s="531"/>
      <c r="K108" s="532"/>
      <c r="L108" s="533"/>
      <c r="M108" s="534"/>
      <c r="N108" s="2751"/>
      <c r="O108" s="2751"/>
      <c r="P108" s="2760"/>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2"/>
      <c r="O109" s="2752"/>
      <c r="P109" s="2760"/>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1"/>
      <c r="O110" s="2751"/>
      <c r="P110" s="2760"/>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1"/>
      <c r="O111" s="2751"/>
      <c r="P111" s="2760"/>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2"/>
      <c r="O112" s="2752"/>
      <c r="P112" s="2760"/>
      <c r="Q112" s="2738"/>
      <c r="R112" s="2724"/>
      <c r="S112" s="2724"/>
      <c r="T112" s="2724"/>
      <c r="U112" s="2724"/>
      <c r="V112" s="2724"/>
      <c r="W112" s="2724"/>
      <c r="X112" s="2724"/>
      <c r="Y112" s="2724"/>
      <c r="Z112" s="2724"/>
      <c r="AA112" s="2724"/>
      <c r="AB112" s="2724"/>
      <c r="AC112" s="2724"/>
    </row>
    <row r="113" spans="1:29" s="421" customFormat="1" ht="15" thickTop="1">
      <c r="A113" s="541"/>
      <c r="B113" s="486" t="s">
        <v>1823</v>
      </c>
      <c r="C113" s="502"/>
      <c r="D113" s="502"/>
      <c r="E113" s="502"/>
      <c r="F113" s="502"/>
      <c r="G113" s="502"/>
      <c r="H113" s="531"/>
      <c r="I113" s="531"/>
      <c r="J113" s="531"/>
      <c r="K113" s="532"/>
      <c r="L113" s="533"/>
      <c r="M113" s="534"/>
      <c r="N113" s="2753"/>
      <c r="O113" s="2753"/>
      <c r="P113" s="2761"/>
      <c r="Q113" s="2744"/>
      <c r="R113" s="2745"/>
      <c r="S113" s="2745"/>
      <c r="T113" s="2745"/>
      <c r="U113" s="2745"/>
      <c r="V113" s="2745"/>
      <c r="W113" s="2745"/>
      <c r="X113" s="2745"/>
      <c r="Y113" s="2745"/>
      <c r="Z113" s="2745"/>
      <c r="AA113" s="2745"/>
      <c r="AB113" s="2745"/>
      <c r="AC113" s="2745"/>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7"/>
      <c r="B115" s="486" t="s">
        <v>1740</v>
      </c>
      <c r="C115" s="502"/>
      <c r="D115" s="502"/>
      <c r="E115" s="531"/>
      <c r="F115" s="531"/>
      <c r="G115" s="531"/>
      <c r="H115" s="531"/>
      <c r="I115" s="531"/>
      <c r="J115" s="531"/>
      <c r="K115" s="532"/>
      <c r="L115" s="533"/>
      <c r="M115" s="534"/>
      <c r="N115" s="2751"/>
      <c r="O115" s="2751"/>
      <c r="P115" s="2760"/>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2"/>
      <c r="O116" s="2752"/>
      <c r="P116" s="2760"/>
      <c r="Q116" s="2738"/>
      <c r="R116" s="2724"/>
      <c r="S116" s="2724"/>
      <c r="T116" s="2724"/>
      <c r="U116" s="2724"/>
      <c r="V116" s="2724"/>
      <c r="W116" s="2724"/>
      <c r="X116" s="2724"/>
      <c r="Y116" s="2724"/>
      <c r="Z116" s="2724"/>
      <c r="AA116" s="2724"/>
      <c r="AB116" s="2724"/>
      <c r="AC116" s="2724"/>
    </row>
    <row r="117" spans="1:29" ht="15" thickTop="1">
      <c r="A117" s="547"/>
      <c r="B117" s="486" t="s">
        <v>1741</v>
      </c>
      <c r="C117" s="502"/>
      <c r="D117" s="502"/>
      <c r="E117" s="502"/>
      <c r="F117" s="502"/>
      <c r="G117" s="502"/>
      <c r="H117" s="531"/>
      <c r="I117" s="531"/>
      <c r="J117" s="531"/>
      <c r="K117" s="532"/>
      <c r="L117" s="533"/>
      <c r="M117" s="534"/>
      <c r="N117" s="2751"/>
      <c r="O117" s="2751"/>
      <c r="P117" s="2760"/>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2"/>
      <c r="O118" s="2752"/>
      <c r="P118" s="2760"/>
      <c r="Q118" s="2738"/>
      <c r="R118" s="2724"/>
      <c r="S118" s="2724"/>
      <c r="T118" s="2724"/>
      <c r="U118" s="2724"/>
      <c r="V118" s="2724"/>
      <c r="W118" s="2724"/>
      <c r="X118" s="2724"/>
      <c r="Y118" s="2724"/>
      <c r="Z118" s="2724"/>
      <c r="AA118" s="2724"/>
      <c r="AB118" s="2724"/>
      <c r="AC118" s="2724"/>
    </row>
    <row r="119" spans="1:29" ht="15" thickTop="1">
      <c r="A119" s="547"/>
      <c r="B119" s="583" t="s">
        <v>1824</v>
      </c>
      <c r="C119" s="531"/>
      <c r="D119" s="531"/>
      <c r="E119" s="531"/>
      <c r="F119" s="531"/>
      <c r="G119" s="531"/>
      <c r="H119" s="531"/>
      <c r="I119" s="531"/>
      <c r="J119" s="531"/>
      <c r="K119" s="531"/>
      <c r="L119" s="1967"/>
      <c r="M119" s="1968"/>
      <c r="N119" s="2752"/>
      <c r="O119" s="2752"/>
      <c r="P119" s="2765"/>
      <c r="Q119" s="2766"/>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2"/>
      <c r="O120" s="2752"/>
      <c r="P120" s="2760"/>
      <c r="Q120" s="2738"/>
      <c r="R120" s="2724"/>
      <c r="S120" s="2724"/>
      <c r="T120" s="2724"/>
      <c r="U120" s="2724"/>
      <c r="V120" s="2724"/>
      <c r="W120" s="2724"/>
      <c r="X120" s="2724"/>
      <c r="Y120" s="2724"/>
      <c r="Z120" s="2724"/>
      <c r="AA120" s="2724"/>
      <c r="AB120" s="2724"/>
      <c r="AC120" s="2724"/>
    </row>
    <row r="121" spans="1:29" s="421" customFormat="1" ht="15" thickTop="1">
      <c r="A121" s="541"/>
      <c r="B121" s="486" t="s">
        <v>1807</v>
      </c>
      <c r="C121" s="502"/>
      <c r="D121" s="502"/>
      <c r="E121" s="502"/>
      <c r="F121" s="531"/>
      <c r="G121" s="503"/>
      <c r="H121" s="503"/>
      <c r="I121" s="503"/>
      <c r="J121" s="503"/>
      <c r="K121" s="503"/>
      <c r="L121" s="504"/>
      <c r="M121" s="505"/>
      <c r="N121" s="2753"/>
      <c r="O121" s="2753"/>
      <c r="P121" s="2761"/>
      <c r="Q121" s="2744"/>
      <c r="R121" s="2745"/>
      <c r="S121" s="2745"/>
      <c r="T121" s="2745"/>
      <c r="U121" s="2745"/>
      <c r="V121" s="2745"/>
      <c r="W121" s="2745"/>
      <c r="X121" s="2745"/>
      <c r="Y121" s="2745"/>
      <c r="Z121" s="2745"/>
      <c r="AA121" s="2745"/>
      <c r="AB121" s="2745"/>
      <c r="AC121" s="2745"/>
    </row>
    <row r="122" spans="1:29" s="421" customFormat="1" ht="15.75" thickBot="1">
      <c r="A122" s="501"/>
      <c r="B122" s="483"/>
      <c r="C122" s="508"/>
      <c r="D122" s="508"/>
      <c r="E122" s="508"/>
      <c r="F122" s="508"/>
      <c r="G122" s="508"/>
      <c r="H122" s="508"/>
      <c r="I122" s="508"/>
      <c r="J122" s="508"/>
      <c r="K122" s="508"/>
      <c r="L122" s="508"/>
      <c r="M122" s="508"/>
      <c r="N122" s="2753"/>
      <c r="O122" s="2753"/>
      <c r="P122" s="2761"/>
      <c r="Q122" s="2744"/>
      <c r="R122" s="2745"/>
      <c r="S122" s="2745"/>
      <c r="T122" s="2745"/>
      <c r="U122" s="2745"/>
      <c r="V122" s="2745"/>
      <c r="W122" s="2745"/>
      <c r="X122" s="2745"/>
      <c r="Y122" s="2745"/>
      <c r="Z122" s="2745"/>
      <c r="AA122" s="2745"/>
      <c r="AB122" s="2745"/>
      <c r="AC122" s="2745"/>
    </row>
    <row r="123" spans="1:29" ht="15" thickTop="1">
      <c r="A123" s="547"/>
      <c r="B123" s="486" t="s">
        <v>1743</v>
      </c>
      <c r="C123" s="502"/>
      <c r="D123" s="502"/>
      <c r="E123" s="502"/>
      <c r="F123" s="531"/>
      <c r="G123" s="531"/>
      <c r="H123" s="531"/>
      <c r="I123" s="531"/>
      <c r="J123" s="531"/>
      <c r="K123" s="532"/>
      <c r="L123" s="533"/>
      <c r="M123" s="534"/>
      <c r="N123" s="2751"/>
      <c r="O123" s="2751"/>
      <c r="P123" s="2760"/>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2"/>
      <c r="O124" s="2752"/>
      <c r="P124" s="2760"/>
      <c r="Q124" s="2738"/>
      <c r="R124" s="2724"/>
      <c r="S124" s="2724"/>
      <c r="T124" s="2724"/>
      <c r="U124" s="2724"/>
      <c r="V124" s="2724"/>
      <c r="W124" s="2724"/>
      <c r="X124" s="2724"/>
      <c r="Y124" s="2724"/>
      <c r="Z124" s="2724"/>
      <c r="AA124" s="2724"/>
      <c r="AB124" s="2724"/>
      <c r="AC124" s="2724"/>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51"/>
      <c r="O125" s="2751"/>
      <c r="P125" s="2761"/>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2"/>
      <c r="O126" s="2752"/>
      <c r="P126" s="2760"/>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3"/>
      <c r="O127" s="2753"/>
      <c r="P127" s="2761"/>
      <c r="Q127" s="2744"/>
      <c r="R127" s="2745"/>
      <c r="S127" s="2745"/>
      <c r="T127" s="2745"/>
      <c r="U127" s="2745"/>
      <c r="V127" s="2745"/>
      <c r="W127" s="2745"/>
      <c r="X127" s="2745"/>
      <c r="Y127" s="2745"/>
      <c r="Z127" s="2745"/>
      <c r="AA127" s="2745"/>
      <c r="AB127" s="2745"/>
      <c r="AC127" s="2745"/>
    </row>
    <row r="128" spans="1:29" s="421" customFormat="1" ht="15.75" thickBot="1">
      <c r="A128" s="501"/>
      <c r="B128" s="491"/>
      <c r="C128" s="508"/>
      <c r="D128" s="484"/>
      <c r="E128" s="484"/>
      <c r="F128" s="484"/>
      <c r="G128" s="508"/>
      <c r="H128" s="510"/>
      <c r="I128" s="510"/>
      <c r="J128" s="510"/>
      <c r="K128" s="510"/>
      <c r="L128" s="510"/>
      <c r="M128" s="511"/>
      <c r="N128" s="2753"/>
      <c r="O128" s="2753"/>
      <c r="P128" s="2761"/>
      <c r="Q128" s="2744"/>
      <c r="R128" s="2745"/>
      <c r="S128" s="2745"/>
      <c r="T128" s="2745"/>
      <c r="U128" s="2745"/>
      <c r="V128" s="2745"/>
      <c r="W128" s="2745"/>
      <c r="X128" s="2745"/>
      <c r="Y128" s="2745"/>
      <c r="Z128" s="2745"/>
      <c r="AA128" s="2745"/>
      <c r="AB128" s="2745"/>
      <c r="AC128" s="2745"/>
    </row>
    <row r="129" spans="1:29" ht="15" thickTop="1">
      <c r="A129" s="547"/>
      <c r="B129" s="486">
        <f>B46</f>
        <v>111</v>
      </c>
      <c r="C129" s="502"/>
      <c r="D129" s="502"/>
      <c r="E129" s="502"/>
      <c r="F129" s="502"/>
      <c r="G129" s="531"/>
      <c r="H129" s="531"/>
      <c r="I129" s="531"/>
      <c r="J129" s="531"/>
      <c r="K129" s="532"/>
      <c r="L129" s="533"/>
      <c r="M129" s="534"/>
      <c r="N129" s="2751"/>
      <c r="O129" s="2751"/>
      <c r="P129" s="2760"/>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2"/>
      <c r="O130" s="2752"/>
      <c r="P130" s="2760"/>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1"/>
      <c r="O131" s="2751"/>
      <c r="P131" s="2760"/>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2"/>
      <c r="O132" s="2752"/>
      <c r="P132" s="2760"/>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58348.11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764" t="s">
        <v>1769</v>
      </c>
      <c r="D4" s="3765"/>
      <c r="E4" s="3766" t="s">
        <v>1770</v>
      </c>
      <c r="F4" s="3767"/>
      <c r="G4" s="3764" t="s">
        <v>1771</v>
      </c>
      <c r="H4" s="3765"/>
      <c r="I4" s="3764" t="s">
        <v>1772</v>
      </c>
      <c r="J4" s="3765"/>
      <c r="K4" s="558" t="s">
        <v>1773</v>
      </c>
      <c r="L4" s="912"/>
      <c r="M4" s="913"/>
      <c r="N4" s="913"/>
      <c r="O4" s="913"/>
      <c r="P4" s="3768" t="s">
        <v>1774</v>
      </c>
      <c r="Q4" s="3769"/>
      <c r="R4" s="3751" t="s">
        <v>1770</v>
      </c>
      <c r="S4" s="3752"/>
      <c r="T4" s="3751" t="s">
        <v>1771</v>
      </c>
      <c r="U4" s="3752"/>
      <c r="V4" s="3748" t="s">
        <v>1772</v>
      </c>
      <c r="W4" s="3748"/>
      <c r="X4" s="1354"/>
      <c r="Y4" s="3751" t="s">
        <v>1774</v>
      </c>
      <c r="Z4" s="3752"/>
      <c r="AA4" s="3745" t="s">
        <v>1770</v>
      </c>
      <c r="AB4" s="3746" t="s">
        <v>1771</v>
      </c>
      <c r="AC4" s="3745" t="s">
        <v>1772</v>
      </c>
    </row>
    <row r="5" spans="1:29" ht="15">
      <c r="A5" s="357"/>
      <c r="B5" s="358"/>
      <c r="C5" s="3757" t="s">
        <v>1672</v>
      </c>
      <c r="D5" s="3758"/>
      <c r="E5" s="3818" t="s">
        <v>1673</v>
      </c>
      <c r="F5" s="3756"/>
      <c r="G5" s="3757" t="s">
        <v>1674</v>
      </c>
      <c r="H5" s="3758"/>
      <c r="I5" s="3757" t="s">
        <v>1675</v>
      </c>
      <c r="J5" s="3758"/>
      <c r="K5" s="558"/>
      <c r="L5" s="912"/>
      <c r="M5" s="913"/>
      <c r="N5" s="913"/>
      <c r="O5" s="913"/>
      <c r="P5" s="3770"/>
      <c r="Q5" s="3771"/>
      <c r="R5" s="3753"/>
      <c r="S5" s="3754"/>
      <c r="T5" s="3753"/>
      <c r="U5" s="3754"/>
      <c r="V5" s="3748"/>
      <c r="W5" s="3748"/>
      <c r="X5" s="1354"/>
      <c r="Y5" s="3753"/>
      <c r="Z5" s="3754"/>
      <c r="AA5" s="3746"/>
      <c r="AB5" s="3746"/>
      <c r="AC5" s="3746"/>
    </row>
    <row r="6" spans="1:29" ht="15.75" thickBot="1">
      <c r="A6" s="359"/>
      <c r="B6" s="360"/>
      <c r="C6" s="3759" t="s">
        <v>1676</v>
      </c>
      <c r="D6" s="3760"/>
      <c r="E6" s="3761" t="s">
        <v>1676</v>
      </c>
      <c r="F6" s="3762"/>
      <c r="G6" s="3759" t="s">
        <v>1676</v>
      </c>
      <c r="H6" s="3760"/>
      <c r="I6" s="3759" t="s">
        <v>1676</v>
      </c>
      <c r="J6" s="3760"/>
      <c r="K6" s="558" t="s">
        <v>1677</v>
      </c>
      <c r="L6" s="912"/>
      <c r="M6" s="913"/>
      <c r="N6" s="913"/>
      <c r="O6" s="913"/>
      <c r="P6" s="3772"/>
      <c r="Q6" s="3773"/>
      <c r="R6" s="3753"/>
      <c r="S6" s="3754"/>
      <c r="T6" s="3774"/>
      <c r="U6" s="3775"/>
      <c r="V6" s="3748"/>
      <c r="W6" s="3748"/>
      <c r="X6" s="1354"/>
      <c r="Y6" s="3774"/>
      <c r="Z6" s="3775"/>
      <c r="AA6" s="3747"/>
      <c r="AB6" s="3747"/>
      <c r="AC6" s="3747"/>
    </row>
    <row r="7" spans="1:29" s="107" customFormat="1" ht="15.75" thickBot="1">
      <c r="A7" s="361" t="s">
        <v>1678</v>
      </c>
      <c r="B7" s="362"/>
      <c r="C7" s="363">
        <f>'数据-取费表'!B2</f>
        <v>45105</v>
      </c>
      <c r="D7" s="364">
        <v>100</v>
      </c>
      <c r="E7" s="365"/>
      <c r="F7" s="366">
        <f>SUMIF(52:52,YEAR(E7)&amp;"-"&amp;MONTH(E7),53:53)</f>
        <v>0</v>
      </c>
      <c r="G7" s="365"/>
      <c r="H7" s="364">
        <f>SUMIF(52:52,YEAR(G7)&amp;"-"&amp;MONTH(G7),53:53)</f>
        <v>0</v>
      </c>
      <c r="I7" s="365"/>
      <c r="J7" s="364">
        <f>SUMIF(52:52,YEAR(I7)&amp;"-"&amp;MONTH(I7),53:53)</f>
        <v>0</v>
      </c>
      <c r="K7" s="559"/>
      <c r="L7" s="914"/>
      <c r="M7" s="915"/>
      <c r="N7" s="915"/>
      <c r="O7" s="915"/>
      <c r="P7" s="3749" t="s">
        <v>1679</v>
      </c>
      <c r="Q7" s="3777"/>
      <c r="R7" s="700" t="s">
        <v>14</v>
      </c>
      <c r="S7" s="701">
        <f t="shared" ref="S7:S15" si="0">F7</f>
        <v>0</v>
      </c>
      <c r="T7" s="700" t="s">
        <v>14</v>
      </c>
      <c r="U7" s="701">
        <f t="shared" ref="U7:U15" si="1">H7</f>
        <v>0</v>
      </c>
      <c r="V7" s="700" t="s">
        <v>14</v>
      </c>
      <c r="W7" s="701">
        <f t="shared" ref="W7:W15" si="2">J7</f>
        <v>0</v>
      </c>
      <c r="X7" s="702"/>
      <c r="Y7" s="3749" t="s">
        <v>1679</v>
      </c>
      <c r="Z7" s="3750"/>
      <c r="AA7" s="703" t="e">
        <f>D7/F7</f>
        <v>#DIV/0!</v>
      </c>
      <c r="AB7" s="703" t="e">
        <f>D7/H7</f>
        <v>#DIV/0!</v>
      </c>
      <c r="AC7" s="703" t="e">
        <f>D7/J7</f>
        <v>#DIV/0!</v>
      </c>
    </row>
    <row r="8" spans="1:29" s="107"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49" t="s">
        <v>1682</v>
      </c>
      <c r="Q8" s="3750"/>
      <c r="R8" s="700" t="s">
        <v>14</v>
      </c>
      <c r="S8" s="701">
        <f t="shared" si="0"/>
        <v>100</v>
      </c>
      <c r="T8" s="700" t="s">
        <v>14</v>
      </c>
      <c r="U8" s="701">
        <f t="shared" si="1"/>
        <v>100</v>
      </c>
      <c r="V8" s="700" t="s">
        <v>14</v>
      </c>
      <c r="W8" s="701">
        <f t="shared" si="2"/>
        <v>100</v>
      </c>
      <c r="X8" s="702"/>
      <c r="Y8" s="3749" t="s">
        <v>1682</v>
      </c>
      <c r="Z8" s="3750"/>
      <c r="AA8" s="703">
        <f t="shared" ref="AA8:AA40" si="3">D8/F8</f>
        <v>1</v>
      </c>
      <c r="AB8" s="703">
        <f t="shared" ref="AB8:AB40" si="4">D8/H8</f>
        <v>1</v>
      </c>
      <c r="AC8" s="703">
        <f t="shared" ref="AC8:AC40" si="5">D8/J8</f>
        <v>1</v>
      </c>
    </row>
    <row r="9" spans="1:29" s="107" customFormat="1">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87" t="s">
        <v>1685</v>
      </c>
      <c r="Q9" s="1342" t="str">
        <f t="shared" ref="Q9:Q15" si="6">B9</f>
        <v>用途</v>
      </c>
      <c r="R9" s="700" t="s">
        <v>14</v>
      </c>
      <c r="S9" s="701">
        <f t="shared" si="0"/>
        <v>100</v>
      </c>
      <c r="T9" s="700" t="s">
        <v>14</v>
      </c>
      <c r="U9" s="701">
        <f t="shared" si="1"/>
        <v>100</v>
      </c>
      <c r="V9" s="700" t="s">
        <v>14</v>
      </c>
      <c r="W9" s="701">
        <f t="shared" si="2"/>
        <v>100</v>
      </c>
      <c r="X9" s="702"/>
      <c r="Y9" s="3718" t="s">
        <v>1686</v>
      </c>
      <c r="Z9" s="52" t="str">
        <f t="shared" ref="Z9:Z15" si="7">Q9</f>
        <v>用途</v>
      </c>
      <c r="AA9" s="703">
        <f t="shared" si="3"/>
        <v>1</v>
      </c>
      <c r="AB9" s="703">
        <f t="shared" si="4"/>
        <v>1</v>
      </c>
      <c r="AC9" s="703">
        <f t="shared" si="5"/>
        <v>1</v>
      </c>
    </row>
    <row r="10" spans="1:29" s="377" customFormat="1" ht="27">
      <c r="A10" s="373"/>
      <c r="B10" s="374" t="s">
        <v>1687</v>
      </c>
      <c r="C10" s="3432"/>
      <c r="D10" s="126">
        <v>100</v>
      </c>
      <c r="E10" s="3432"/>
      <c r="F10" s="126">
        <f>SUMIF(59:59,E10,60:60)-SUMIF(59:59,C10,60:60)+100</f>
        <v>100</v>
      </c>
      <c r="G10" s="3433"/>
      <c r="H10" s="126">
        <f>SUMIF(59:59,G10,60:60)-SUMIF(59:59,C10,60:60)+100</f>
        <v>100</v>
      </c>
      <c r="I10" s="3432"/>
      <c r="J10" s="126">
        <f>SUMIF(59:59,I10,60:60)-SUMIF(59:59,C10,60:60)+100</f>
        <v>100</v>
      </c>
      <c r="K10" s="559"/>
      <c r="L10" s="917"/>
      <c r="M10" s="918"/>
      <c r="N10" s="918"/>
      <c r="O10" s="919"/>
      <c r="P10" s="3787"/>
      <c r="Q10" s="1342"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87"/>
      <c r="Q11" s="1342" t="str">
        <f t="shared" si="6"/>
        <v>容积率</v>
      </c>
      <c r="R11" s="700" t="s">
        <v>14</v>
      </c>
      <c r="S11" s="701">
        <f t="shared" si="0"/>
        <v>100</v>
      </c>
      <c r="T11" s="700" t="s">
        <v>14</v>
      </c>
      <c r="U11" s="701">
        <f t="shared" si="1"/>
        <v>100</v>
      </c>
      <c r="V11" s="700" t="s">
        <v>14</v>
      </c>
      <c r="W11" s="701">
        <f t="shared" si="2"/>
        <v>100</v>
      </c>
      <c r="X11" s="702"/>
      <c r="Y11" s="3718"/>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87"/>
      <c r="Q12" s="1342">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87"/>
      <c r="Q13" s="1342">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87"/>
      <c r="Q14" s="1342">
        <f t="shared" si="6"/>
        <v>111</v>
      </c>
      <c r="R14" s="700" t="s">
        <v>14</v>
      </c>
      <c r="S14" s="701">
        <f t="shared" si="0"/>
        <v>100</v>
      </c>
      <c r="T14" s="700" t="s">
        <v>14</v>
      </c>
      <c r="U14" s="701">
        <f t="shared" si="1"/>
        <v>100</v>
      </c>
      <c r="V14" s="700" t="s">
        <v>14</v>
      </c>
      <c r="W14" s="701">
        <f t="shared" si="2"/>
        <v>100</v>
      </c>
      <c r="X14" s="702"/>
      <c r="Y14" s="3718"/>
      <c r="Z14" s="52">
        <f t="shared" si="7"/>
        <v>111</v>
      </c>
      <c r="AA14" s="703">
        <f t="shared" si="3"/>
        <v>1</v>
      </c>
      <c r="AB14" s="703">
        <f t="shared" si="4"/>
        <v>1</v>
      </c>
      <c r="AC14" s="703">
        <f t="shared" si="5"/>
        <v>1</v>
      </c>
    </row>
    <row r="15" spans="1:29" ht="57">
      <c r="A15" s="390" t="s">
        <v>1689</v>
      </c>
      <c r="B15" s="61"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80" t="s">
        <v>1690</v>
      </c>
      <c r="Q15" s="1351" t="str">
        <f t="shared" si="6"/>
        <v>产业集聚程度</v>
      </c>
      <c r="R15" s="704" t="s">
        <v>14</v>
      </c>
      <c r="S15" s="705">
        <f t="shared" si="0"/>
        <v>100</v>
      </c>
      <c r="T15" s="704" t="s">
        <v>14</v>
      </c>
      <c r="U15" s="705">
        <f t="shared" si="1"/>
        <v>100</v>
      </c>
      <c r="V15" s="704" t="s">
        <v>14</v>
      </c>
      <c r="W15" s="705">
        <f t="shared" si="2"/>
        <v>100</v>
      </c>
      <c r="X15" s="1354"/>
      <c r="Y15" s="3780"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81"/>
      <c r="Q16" s="1351"/>
      <c r="R16" s="704"/>
      <c r="S16" s="705"/>
      <c r="T16" s="704"/>
      <c r="U16" s="705"/>
      <c r="V16" s="704"/>
      <c r="W16" s="705"/>
      <c r="X16" s="1354"/>
      <c r="Y16" s="3781"/>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81"/>
      <c r="Q17" s="1351" t="str">
        <f>B17</f>
        <v>交通便捷度</v>
      </c>
      <c r="R17" s="704" t="s">
        <v>14</v>
      </c>
      <c r="S17" s="705">
        <f>F17</f>
        <v>100</v>
      </c>
      <c r="T17" s="704" t="s">
        <v>14</v>
      </c>
      <c r="U17" s="705">
        <f>H17</f>
        <v>100</v>
      </c>
      <c r="V17" s="704" t="s">
        <v>14</v>
      </c>
      <c r="W17" s="705">
        <f>J17</f>
        <v>100</v>
      </c>
      <c r="X17" s="1354"/>
      <c r="Y17" s="3781"/>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81"/>
      <c r="Q18" s="1351"/>
      <c r="R18" s="704"/>
      <c r="S18" s="705"/>
      <c r="T18" s="704"/>
      <c r="U18" s="705"/>
      <c r="V18" s="704"/>
      <c r="W18" s="705"/>
      <c r="X18" s="1354"/>
      <c r="Y18" s="3781"/>
      <c r="Z18" s="1355"/>
      <c r="AA18" s="1352">
        <v>1</v>
      </c>
      <c r="AB18" s="1352">
        <v>1</v>
      </c>
      <c r="AC18" s="1352">
        <v>1</v>
      </c>
    </row>
    <row r="19" spans="1:29" ht="42.75">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81"/>
      <c r="Q19" s="1351" t="str">
        <f>B19</f>
        <v>公共配套设施</v>
      </c>
      <c r="R19" s="704" t="s">
        <v>14</v>
      </c>
      <c r="S19" s="705">
        <f>F19</f>
        <v>100</v>
      </c>
      <c r="T19" s="704" t="s">
        <v>14</v>
      </c>
      <c r="U19" s="705">
        <f>H19</f>
        <v>100</v>
      </c>
      <c r="V19" s="704" t="s">
        <v>14</v>
      </c>
      <c r="W19" s="705">
        <f>J19</f>
        <v>100</v>
      </c>
      <c r="X19" s="1354"/>
      <c r="Y19" s="3781"/>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81"/>
      <c r="Q20" s="1351"/>
      <c r="R20" s="704"/>
      <c r="S20" s="705"/>
      <c r="T20" s="704"/>
      <c r="U20" s="705"/>
      <c r="V20" s="704"/>
      <c r="W20" s="705"/>
      <c r="X20" s="1354"/>
      <c r="Y20" s="3781"/>
      <c r="Z20" s="1355"/>
      <c r="AA20" s="1352">
        <v>1</v>
      </c>
      <c r="AB20" s="1352">
        <v>1</v>
      </c>
      <c r="AC20" s="1352">
        <v>1</v>
      </c>
    </row>
    <row r="21" spans="1:29" ht="28.5">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81"/>
      <c r="Q21" s="1351" t="str">
        <f>B21</f>
        <v>基础设施水平</v>
      </c>
      <c r="R21" s="704" t="s">
        <v>14</v>
      </c>
      <c r="S21" s="705">
        <f>F21</f>
        <v>100</v>
      </c>
      <c r="T21" s="704" t="s">
        <v>14</v>
      </c>
      <c r="U21" s="705">
        <f>H21</f>
        <v>100</v>
      </c>
      <c r="V21" s="704" t="s">
        <v>14</v>
      </c>
      <c r="W21" s="705">
        <f>J21</f>
        <v>100</v>
      </c>
      <c r="X21" s="1354"/>
      <c r="Y21" s="378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81"/>
      <c r="Q22" s="1351"/>
      <c r="R22" s="704"/>
      <c r="S22" s="705"/>
      <c r="T22" s="704"/>
      <c r="U22" s="705"/>
      <c r="V22" s="704"/>
      <c r="W22" s="705"/>
      <c r="X22" s="1354"/>
      <c r="Y22" s="3781"/>
      <c r="Z22" s="1355"/>
      <c r="AA22" s="1352">
        <v>1</v>
      </c>
      <c r="AB22" s="1352">
        <v>1</v>
      </c>
      <c r="AC22" s="1352">
        <v>1</v>
      </c>
    </row>
    <row r="23" spans="1:29" ht="71.25">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81"/>
      <c r="Q23" s="1351" t="str">
        <f>B23</f>
        <v>环境质量</v>
      </c>
      <c r="R23" s="704" t="s">
        <v>14</v>
      </c>
      <c r="S23" s="705">
        <f>F23</f>
        <v>100</v>
      </c>
      <c r="T23" s="704" t="s">
        <v>14</v>
      </c>
      <c r="U23" s="705">
        <f>H23</f>
        <v>100</v>
      </c>
      <c r="V23" s="704" t="s">
        <v>14</v>
      </c>
      <c r="W23" s="705">
        <f>J23</f>
        <v>100</v>
      </c>
      <c r="X23" s="1354"/>
      <c r="Y23" s="3781"/>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81"/>
      <c r="Q24" s="1351"/>
      <c r="R24" s="704"/>
      <c r="S24" s="705"/>
      <c r="T24" s="704"/>
      <c r="U24" s="705"/>
      <c r="V24" s="704"/>
      <c r="W24" s="705"/>
      <c r="X24" s="1354"/>
      <c r="Y24" s="3781"/>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81"/>
      <c r="Q25" s="1351">
        <f>B25</f>
        <v>111</v>
      </c>
      <c r="R25" s="704" t="s">
        <v>14</v>
      </c>
      <c r="S25" s="705">
        <f>F25</f>
        <v>100</v>
      </c>
      <c r="T25" s="704" t="s">
        <v>14</v>
      </c>
      <c r="U25" s="705">
        <f>H25</f>
        <v>100</v>
      </c>
      <c r="V25" s="704" t="s">
        <v>14</v>
      </c>
      <c r="W25" s="705">
        <f>J25</f>
        <v>100</v>
      </c>
      <c r="X25" s="1354"/>
      <c r="Y25" s="3781"/>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81"/>
      <c r="Q26" s="1351">
        <f t="shared" ref="Q26:Q40" si="11">B26</f>
        <v>111</v>
      </c>
      <c r="R26" s="704" t="s">
        <v>14</v>
      </c>
      <c r="S26" s="705">
        <f>F26</f>
        <v>100</v>
      </c>
      <c r="T26" s="704" t="s">
        <v>14</v>
      </c>
      <c r="U26" s="705">
        <f>H26</f>
        <v>100</v>
      </c>
      <c r="V26" s="704" t="s">
        <v>14</v>
      </c>
      <c r="W26" s="705">
        <f>J26</f>
        <v>100</v>
      </c>
      <c r="X26" s="1354"/>
      <c r="Y26" s="3781"/>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81"/>
      <c r="Q27" s="1342">
        <f t="shared" si="11"/>
        <v>111</v>
      </c>
      <c r="R27" s="700" t="s">
        <v>14</v>
      </c>
      <c r="S27" s="701">
        <f>F27</f>
        <v>100</v>
      </c>
      <c r="T27" s="700" t="s">
        <v>14</v>
      </c>
      <c r="U27" s="701">
        <f>H27</f>
        <v>100</v>
      </c>
      <c r="V27" s="700" t="s">
        <v>14</v>
      </c>
      <c r="W27" s="701">
        <f>J27</f>
        <v>100</v>
      </c>
      <c r="X27" s="702"/>
      <c r="Y27" s="3781"/>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81"/>
      <c r="Q28" s="1351">
        <f t="shared" si="11"/>
        <v>111</v>
      </c>
      <c r="R28" s="704" t="s">
        <v>14</v>
      </c>
      <c r="S28" s="705">
        <f t="shared" ref="S28:S40" si="12">F28</f>
        <v>100</v>
      </c>
      <c r="T28" s="704" t="s">
        <v>14</v>
      </c>
      <c r="U28" s="705">
        <f t="shared" ref="U28:U40" si="13">H28</f>
        <v>100</v>
      </c>
      <c r="V28" s="704" t="s">
        <v>14</v>
      </c>
      <c r="W28" s="705">
        <f t="shared" ref="W28:W40" si="14">J28</f>
        <v>100</v>
      </c>
      <c r="X28" s="1354"/>
      <c r="Y28" s="3781"/>
      <c r="Z28" s="1355">
        <f t="shared" ref="Z28:Z40" si="15">Q28</f>
        <v>111</v>
      </c>
      <c r="AA28" s="1352">
        <f t="shared" si="3"/>
        <v>1</v>
      </c>
      <c r="AB28" s="1352">
        <f t="shared" si="4"/>
        <v>1</v>
      </c>
      <c r="AC28" s="1352">
        <f t="shared" si="5"/>
        <v>1</v>
      </c>
    </row>
    <row r="29" spans="1:29" ht="28.5">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834" t="s">
        <v>1695</v>
      </c>
      <c r="Q29" s="1351" t="str">
        <f t="shared" si="11"/>
        <v>建筑类型</v>
      </c>
      <c r="R29" s="704" t="s">
        <v>14</v>
      </c>
      <c r="S29" s="705">
        <f t="shared" si="12"/>
        <v>100</v>
      </c>
      <c r="T29" s="704" t="s">
        <v>14</v>
      </c>
      <c r="U29" s="705">
        <f t="shared" si="13"/>
        <v>100</v>
      </c>
      <c r="V29" s="704" t="s">
        <v>14</v>
      </c>
      <c r="W29" s="705">
        <f t="shared" si="14"/>
        <v>100</v>
      </c>
      <c r="X29" s="1354"/>
      <c r="Y29" s="3785"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85"/>
      <c r="Q30" s="706" t="str">
        <f t="shared" si="11"/>
        <v>项目建筑规模</v>
      </c>
      <c r="R30" s="707" t="s">
        <v>14</v>
      </c>
      <c r="S30" s="708" t="e">
        <f t="shared" si="12"/>
        <v>#N/A</v>
      </c>
      <c r="T30" s="707" t="s">
        <v>14</v>
      </c>
      <c r="U30" s="708" t="e">
        <f t="shared" si="13"/>
        <v>#N/A</v>
      </c>
      <c r="V30" s="707" t="s">
        <v>14</v>
      </c>
      <c r="W30" s="708" t="e">
        <f t="shared" si="14"/>
        <v>#N/A</v>
      </c>
      <c r="X30" s="709"/>
      <c r="Y30" s="3785"/>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85"/>
      <c r="Q31" s="1351" t="str">
        <f t="shared" si="11"/>
        <v>建筑结构</v>
      </c>
      <c r="R31" s="704" t="s">
        <v>14</v>
      </c>
      <c r="S31" s="705">
        <f t="shared" si="12"/>
        <v>100</v>
      </c>
      <c r="T31" s="704" t="s">
        <v>14</v>
      </c>
      <c r="U31" s="705">
        <f t="shared" si="13"/>
        <v>100</v>
      </c>
      <c r="V31" s="704" t="s">
        <v>14</v>
      </c>
      <c r="W31" s="705">
        <f t="shared" si="14"/>
        <v>100</v>
      </c>
      <c r="X31" s="1354"/>
      <c r="Y31" s="3785"/>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85"/>
      <c r="Q32" s="1351" t="str">
        <f t="shared" si="11"/>
        <v>公共部分装修</v>
      </c>
      <c r="R32" s="704" t="s">
        <v>14</v>
      </c>
      <c r="S32" s="705">
        <f t="shared" si="12"/>
        <v>100</v>
      </c>
      <c r="T32" s="704" t="s">
        <v>14</v>
      </c>
      <c r="U32" s="705">
        <f t="shared" si="13"/>
        <v>100</v>
      </c>
      <c r="V32" s="704" t="s">
        <v>14</v>
      </c>
      <c r="W32" s="705">
        <f t="shared" si="14"/>
        <v>100</v>
      </c>
      <c r="X32" s="1354"/>
      <c r="Y32" s="3785"/>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85"/>
      <c r="Q33" s="1351" t="str">
        <f t="shared" si="11"/>
        <v>成新度</v>
      </c>
      <c r="R33" s="704" t="s">
        <v>14</v>
      </c>
      <c r="S33" s="705" t="e">
        <f t="shared" si="12"/>
        <v>#N/A</v>
      </c>
      <c r="T33" s="704" t="s">
        <v>14</v>
      </c>
      <c r="U33" s="705" t="e">
        <f t="shared" si="13"/>
        <v>#N/A</v>
      </c>
      <c r="V33" s="704" t="s">
        <v>14</v>
      </c>
      <c r="W33" s="705" t="e">
        <f t="shared" si="14"/>
        <v>#N/A</v>
      </c>
      <c r="X33" s="1354"/>
      <c r="Y33" s="3785"/>
      <c r="Z33" s="1355" t="str">
        <f t="shared" si="15"/>
        <v>成新度</v>
      </c>
      <c r="AA33" s="1352" t="e">
        <f t="shared" si="3"/>
        <v>#N/A</v>
      </c>
      <c r="AB33" s="1352" t="e">
        <f t="shared" si="4"/>
        <v>#N/A</v>
      </c>
      <c r="AC33" s="1352" t="e">
        <f t="shared" si="5"/>
        <v>#N/A</v>
      </c>
    </row>
    <row r="34" spans="1:29" s="107"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85"/>
      <c r="Q34" s="1342" t="str">
        <f t="shared" si="11"/>
        <v>物业管理</v>
      </c>
      <c r="R34" s="700" t="s">
        <v>14</v>
      </c>
      <c r="S34" s="701">
        <f t="shared" si="12"/>
        <v>100</v>
      </c>
      <c r="T34" s="700" t="s">
        <v>14</v>
      </c>
      <c r="U34" s="701">
        <f t="shared" si="13"/>
        <v>100</v>
      </c>
      <c r="V34" s="700" t="s">
        <v>14</v>
      </c>
      <c r="W34" s="701">
        <f t="shared" si="14"/>
        <v>100</v>
      </c>
      <c r="X34" s="702"/>
      <c r="Y34" s="3785"/>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85" t="s">
        <v>1695</v>
      </c>
      <c r="Q35" s="1351" t="str">
        <f t="shared" si="11"/>
        <v>市政基础设施</v>
      </c>
      <c r="R35" s="704" t="s">
        <v>14</v>
      </c>
      <c r="S35" s="705">
        <f t="shared" si="12"/>
        <v>100</v>
      </c>
      <c r="T35" s="704" t="s">
        <v>14</v>
      </c>
      <c r="U35" s="705">
        <f t="shared" si="13"/>
        <v>100</v>
      </c>
      <c r="V35" s="704" t="s">
        <v>14</v>
      </c>
      <c r="W35" s="705">
        <f t="shared" si="14"/>
        <v>100</v>
      </c>
      <c r="X35" s="1354"/>
      <c r="Y35" s="3785"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85"/>
      <c r="Q36" s="1351" t="str">
        <f t="shared" si="11"/>
        <v>内部装修</v>
      </c>
      <c r="R36" s="704" t="s">
        <v>14</v>
      </c>
      <c r="S36" s="705">
        <f t="shared" si="12"/>
        <v>100</v>
      </c>
      <c r="T36" s="704" t="s">
        <v>14</v>
      </c>
      <c r="U36" s="705">
        <f t="shared" si="13"/>
        <v>100</v>
      </c>
      <c r="V36" s="704" t="s">
        <v>14</v>
      </c>
      <c r="W36" s="705">
        <f t="shared" si="14"/>
        <v>100</v>
      </c>
      <c r="X36" s="1354"/>
      <c r="Y36" s="3785"/>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85"/>
      <c r="Q37" s="1351" t="str">
        <f t="shared" si="11"/>
        <v>内部装修状况</v>
      </c>
      <c r="R37" s="704" t="s">
        <v>14</v>
      </c>
      <c r="S37" s="705">
        <f t="shared" si="12"/>
        <v>100</v>
      </c>
      <c r="T37" s="704" t="s">
        <v>14</v>
      </c>
      <c r="U37" s="705">
        <f t="shared" si="13"/>
        <v>100</v>
      </c>
      <c r="V37" s="704" t="s">
        <v>14</v>
      </c>
      <c r="W37" s="705">
        <f t="shared" si="14"/>
        <v>100</v>
      </c>
      <c r="X37" s="1354"/>
      <c r="Y37" s="3785"/>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85"/>
      <c r="Q38" s="706">
        <f t="shared" si="11"/>
        <v>111</v>
      </c>
      <c r="R38" s="707" t="s">
        <v>14</v>
      </c>
      <c r="S38" s="708">
        <f t="shared" si="12"/>
        <v>100</v>
      </c>
      <c r="T38" s="707" t="s">
        <v>14</v>
      </c>
      <c r="U38" s="708">
        <f t="shared" si="13"/>
        <v>100</v>
      </c>
      <c r="V38" s="707" t="s">
        <v>14</v>
      </c>
      <c r="W38" s="708">
        <f t="shared" si="14"/>
        <v>100</v>
      </c>
      <c r="X38" s="709"/>
      <c r="Y38" s="3785"/>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85"/>
      <c r="Q39" s="1351">
        <f t="shared" si="11"/>
        <v>111</v>
      </c>
      <c r="R39" s="704" t="s">
        <v>14</v>
      </c>
      <c r="S39" s="705">
        <f t="shared" si="12"/>
        <v>100</v>
      </c>
      <c r="T39" s="704" t="s">
        <v>14</v>
      </c>
      <c r="U39" s="705">
        <f t="shared" si="13"/>
        <v>100</v>
      </c>
      <c r="V39" s="704" t="s">
        <v>14</v>
      </c>
      <c r="W39" s="705">
        <f t="shared" si="14"/>
        <v>100</v>
      </c>
      <c r="X39" s="1354"/>
      <c r="Y39" s="3785"/>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86"/>
      <c r="Q40" s="1351">
        <f t="shared" si="11"/>
        <v>111</v>
      </c>
      <c r="R40" s="704" t="s">
        <v>14</v>
      </c>
      <c r="S40" s="705">
        <f t="shared" si="12"/>
        <v>100</v>
      </c>
      <c r="T40" s="704" t="s">
        <v>14</v>
      </c>
      <c r="U40" s="705">
        <f t="shared" si="13"/>
        <v>100</v>
      </c>
      <c r="V40" s="704" t="s">
        <v>14</v>
      </c>
      <c r="W40" s="705">
        <f t="shared" si="14"/>
        <v>100</v>
      </c>
      <c r="X40" s="1354"/>
      <c r="Y40" s="3786"/>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787" t="str">
        <f>A41</f>
        <v>成交单价（元/平方米）</v>
      </c>
      <c r="Q41" s="3787"/>
      <c r="R41" s="3788">
        <f>E41</f>
        <v>0</v>
      </c>
      <c r="S41" s="3788"/>
      <c r="T41" s="3788">
        <f>G41</f>
        <v>0</v>
      </c>
      <c r="U41" s="3788"/>
      <c r="V41" s="3788">
        <f>I41</f>
        <v>0</v>
      </c>
      <c r="W41" s="3788"/>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87" t="str">
        <f>A42</f>
        <v>比较价值（元/平方米）</v>
      </c>
      <c r="Q42" s="3787"/>
      <c r="R42" s="3788" t="e">
        <f>IF(F1="售价",ROUND(PRODUCT(R41,AA7:AA40),0),ROUND(PRODUCT(R41,AA7:AA40),1))</f>
        <v>#DIV/0!</v>
      </c>
      <c r="S42" s="3788"/>
      <c r="T42" s="3788" t="e">
        <f>IF(F1="售价",ROUND(PRODUCT(T41,AB7:AB40),0),ROUND(PRODUCT(T41,AB7:AB40),1))</f>
        <v>#DIV/0!</v>
      </c>
      <c r="U42" s="3788"/>
      <c r="V42" s="3788" t="e">
        <f>IF(F1="售价",ROUND(PRODUCT(V41,AC7:AC40),0),ROUND(PRODUCT(V41,AC7:AC40),1))</f>
        <v>#DIV/0!</v>
      </c>
      <c r="W42" s="3788"/>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789" t="str">
        <f>A43</f>
        <v>估价对象XX用房的比较价值（楼面单价，元/平方米）</v>
      </c>
      <c r="Q43" s="3790"/>
      <c r="R43" s="3791" t="e">
        <f>IF(F1="售价",ROUND(IF(D42="简单平均",AVERAGE(R42:V42),R42*F42+T42*H42+V42*J42),0),ROUND(IF(D42="简单平均",AVERAGE(R42:V42),R42*F42+T42*H42+V42*J42),1))</f>
        <v>#DIV/0!</v>
      </c>
      <c r="S43" s="3791"/>
      <c r="T43" s="3791"/>
      <c r="U43" s="3791"/>
      <c r="V43" s="3791"/>
      <c r="W43" s="379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2023-6</v>
      </c>
      <c r="D52" s="1184">
        <f>EDATE(C52,-1)</f>
        <v>45047</v>
      </c>
      <c r="E52" s="1184">
        <f t="shared" ref="E52:O52" si="16">EDATE(D52,-1)</f>
        <v>45017</v>
      </c>
      <c r="F52" s="1184">
        <f t="shared" si="16"/>
        <v>44986</v>
      </c>
      <c r="G52" s="1184">
        <f t="shared" si="16"/>
        <v>44958</v>
      </c>
      <c r="H52" s="1184">
        <f t="shared" si="16"/>
        <v>44927</v>
      </c>
      <c r="I52" s="1184">
        <f t="shared" si="16"/>
        <v>44896</v>
      </c>
      <c r="J52" s="1184">
        <f t="shared" si="16"/>
        <v>44866</v>
      </c>
      <c r="K52" s="1184">
        <f t="shared" si="16"/>
        <v>44835</v>
      </c>
      <c r="L52" s="1184">
        <f t="shared" si="16"/>
        <v>44805</v>
      </c>
      <c r="M52" s="1184">
        <f t="shared" si="16"/>
        <v>44774</v>
      </c>
      <c r="N52" s="1184">
        <f t="shared" si="16"/>
        <v>44743</v>
      </c>
      <c r="O52" s="1184">
        <f t="shared" si="16"/>
        <v>44713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1715</v>
      </c>
      <c r="B54" s="464"/>
      <c r="C54" s="465"/>
      <c r="D54" s="466"/>
      <c r="E54" s="466"/>
      <c r="F54" s="466"/>
      <c r="G54" s="466"/>
      <c r="H54" s="466"/>
      <c r="I54" s="466"/>
      <c r="J54" s="466"/>
      <c r="K54" s="466"/>
      <c r="L54" s="466"/>
      <c r="M54" s="467"/>
      <c r="N54" s="2768"/>
      <c r="O54" s="2769"/>
      <c r="P54" s="452"/>
      <c r="Q54" s="452"/>
    </row>
    <row r="55" spans="1:17" s="107" customFormat="1" ht="15">
      <c r="A55" s="469" t="s">
        <v>1680</v>
      </c>
      <c r="B55" s="458"/>
      <c r="C55" s="470" t="s">
        <v>1775</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受贵公司委托，我公司对北京市南口路南口段1号院一区1至14号商业用房房地产抵押价值进行了预评估。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估价对象为北京市南口路南口段1号院一区1至14号商业用房房地产，为所有。根据《国有土地使用证》[]，估价对象（分摊）出让国有建设用地使用权面积为0平方米，建筑面积为58348.11平方米。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南口路南口段1号院一区1至14号商业用房房地产,为开发建设的商业项目，该项目尚在开发建设中。根据《国有土地使用证》[]，估价对象（分摊）出让国有建设用地使用权面积为0平方米，规划建筑面积为58348.11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南口路南口段1号院一区1至14号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2023年6月28日（评估专业人员实地查勘之日）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3338</v>
      </c>
      <c r="C1" s="1223" t="s">
        <v>1661</v>
      </c>
      <c r="D1" s="1224"/>
      <c r="E1" s="3431"/>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1768</v>
      </c>
      <c r="B4" s="355"/>
      <c r="C4" s="3764" t="s">
        <v>1769</v>
      </c>
      <c r="D4" s="3765"/>
      <c r="E4" s="3766" t="s">
        <v>1770</v>
      </c>
      <c r="F4" s="3767"/>
      <c r="G4" s="3764" t="s">
        <v>1771</v>
      </c>
      <c r="H4" s="3765"/>
      <c r="I4" s="3764" t="s">
        <v>1772</v>
      </c>
      <c r="J4" s="3765"/>
      <c r="K4" s="558" t="s">
        <v>1773</v>
      </c>
      <c r="L4" s="2714"/>
      <c r="M4" s="2715"/>
      <c r="N4" s="2715"/>
      <c r="O4" s="2715"/>
      <c r="P4" s="3768" t="s">
        <v>1774</v>
      </c>
      <c r="Q4" s="3769"/>
      <c r="R4" s="3751" t="s">
        <v>1770</v>
      </c>
      <c r="S4" s="3752"/>
      <c r="T4" s="3751" t="s">
        <v>1771</v>
      </c>
      <c r="U4" s="3752"/>
      <c r="V4" s="3748" t="s">
        <v>1772</v>
      </c>
      <c r="W4" s="3748"/>
      <c r="X4" s="1354"/>
      <c r="Y4" s="3751" t="s">
        <v>1774</v>
      </c>
      <c r="Z4" s="3752"/>
      <c r="AA4" s="3745" t="s">
        <v>1770</v>
      </c>
      <c r="AB4" s="3746" t="s">
        <v>1771</v>
      </c>
      <c r="AC4" s="3745" t="s">
        <v>1772</v>
      </c>
    </row>
    <row r="5" spans="1:29" ht="15">
      <c r="A5" s="357"/>
      <c r="B5" s="358"/>
      <c r="C5" s="3757" t="s">
        <v>1672</v>
      </c>
      <c r="D5" s="3758"/>
      <c r="E5" s="3818" t="s">
        <v>1673</v>
      </c>
      <c r="F5" s="3756"/>
      <c r="G5" s="3757" t="s">
        <v>1674</v>
      </c>
      <c r="H5" s="3758"/>
      <c r="I5" s="3757" t="s">
        <v>1675</v>
      </c>
      <c r="J5" s="3758"/>
      <c r="K5" s="558"/>
      <c r="L5" s="2714"/>
      <c r="M5" s="2715"/>
      <c r="N5" s="2715"/>
      <c r="O5" s="2715"/>
      <c r="P5" s="3770"/>
      <c r="Q5" s="3771"/>
      <c r="R5" s="3753"/>
      <c r="S5" s="3754"/>
      <c r="T5" s="3753"/>
      <c r="U5" s="3754"/>
      <c r="V5" s="3748"/>
      <c r="W5" s="3748"/>
      <c r="X5" s="1354"/>
      <c r="Y5" s="3753"/>
      <c r="Z5" s="3754"/>
      <c r="AA5" s="3746"/>
      <c r="AB5" s="3746"/>
      <c r="AC5" s="3746"/>
    </row>
    <row r="6" spans="1:29" ht="15.75" thickBot="1">
      <c r="A6" s="359"/>
      <c r="B6" s="360"/>
      <c r="C6" s="3759" t="s">
        <v>1676</v>
      </c>
      <c r="D6" s="3760"/>
      <c r="E6" s="3761" t="s">
        <v>1676</v>
      </c>
      <c r="F6" s="3762"/>
      <c r="G6" s="3759" t="s">
        <v>1676</v>
      </c>
      <c r="H6" s="3760"/>
      <c r="I6" s="3759" t="s">
        <v>1676</v>
      </c>
      <c r="J6" s="3760"/>
      <c r="K6" s="558" t="s">
        <v>1677</v>
      </c>
      <c r="L6" s="2714"/>
      <c r="M6" s="2715"/>
      <c r="N6" s="2715"/>
      <c r="O6" s="2715"/>
      <c r="P6" s="3772"/>
      <c r="Q6" s="3773"/>
      <c r="R6" s="3753"/>
      <c r="S6" s="3754"/>
      <c r="T6" s="3774"/>
      <c r="U6" s="3775"/>
      <c r="V6" s="3748"/>
      <c r="W6" s="3748"/>
      <c r="X6" s="1354"/>
      <c r="Y6" s="3774"/>
      <c r="Z6" s="3775"/>
      <c r="AA6" s="3747"/>
      <c r="AB6" s="3747"/>
      <c r="AC6" s="3747"/>
    </row>
    <row r="7" spans="1:29" s="107" customFormat="1" ht="15.75" thickBot="1">
      <c r="A7" s="361" t="s">
        <v>1678</v>
      </c>
      <c r="B7" s="362"/>
      <c r="C7" s="363">
        <f>'数据-取费表'!B2</f>
        <v>45105</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49" t="s">
        <v>1679</v>
      </c>
      <c r="Q7" s="3777"/>
      <c r="R7" s="700" t="s">
        <v>14</v>
      </c>
      <c r="S7" s="701">
        <f t="shared" ref="S7:S14" si="0">F7</f>
        <v>0</v>
      </c>
      <c r="T7" s="700" t="s">
        <v>14</v>
      </c>
      <c r="U7" s="701">
        <f t="shared" ref="U7:U14" si="1">H7</f>
        <v>0</v>
      </c>
      <c r="V7" s="700" t="s">
        <v>14</v>
      </c>
      <c r="W7" s="701">
        <f t="shared" ref="W7:W14" si="2">J7</f>
        <v>0</v>
      </c>
      <c r="X7" s="702"/>
      <c r="Y7" s="3749" t="s">
        <v>1679</v>
      </c>
      <c r="Z7" s="3750"/>
      <c r="AA7" s="703" t="e">
        <f>D7/F7</f>
        <v>#DIV/0!</v>
      </c>
      <c r="AB7" s="703" t="e">
        <f>D7/H7</f>
        <v>#DIV/0!</v>
      </c>
      <c r="AC7" s="703" t="e">
        <f>D7/J7</f>
        <v>#DIV/0!</v>
      </c>
    </row>
    <row r="8" spans="1:29" s="107"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49" t="s">
        <v>1682</v>
      </c>
      <c r="Q8" s="3750"/>
      <c r="R8" s="700" t="s">
        <v>14</v>
      </c>
      <c r="S8" s="701">
        <f t="shared" si="0"/>
        <v>100</v>
      </c>
      <c r="T8" s="700" t="s">
        <v>14</v>
      </c>
      <c r="U8" s="701">
        <f t="shared" si="1"/>
        <v>100</v>
      </c>
      <c r="V8" s="700" t="s">
        <v>14</v>
      </c>
      <c r="W8" s="701">
        <f t="shared" si="2"/>
        <v>100</v>
      </c>
      <c r="X8" s="702"/>
      <c r="Y8" s="3749" t="s">
        <v>1682</v>
      </c>
      <c r="Z8" s="3750"/>
      <c r="AA8" s="703">
        <f t="shared" ref="AA8:AA36" si="3">D8/F8</f>
        <v>1</v>
      </c>
      <c r="AB8" s="703">
        <f t="shared" ref="AB8:AB36" si="4">D8/H8</f>
        <v>1</v>
      </c>
      <c r="AC8" s="703">
        <f t="shared" ref="AC8:AC36" si="5">D8/J8</f>
        <v>1</v>
      </c>
    </row>
    <row r="9" spans="1:29" s="107" customFormat="1">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87" t="s">
        <v>1685</v>
      </c>
      <c r="Q9" s="1342" t="str">
        <f t="shared" ref="Q9:Q14" si="6">B9</f>
        <v>用途</v>
      </c>
      <c r="R9" s="700" t="s">
        <v>14</v>
      </c>
      <c r="S9" s="701">
        <f t="shared" si="0"/>
        <v>100</v>
      </c>
      <c r="T9" s="700" t="s">
        <v>14</v>
      </c>
      <c r="U9" s="701">
        <f t="shared" si="1"/>
        <v>100</v>
      </c>
      <c r="V9" s="700" t="s">
        <v>14</v>
      </c>
      <c r="W9" s="701">
        <f t="shared" si="2"/>
        <v>100</v>
      </c>
      <c r="X9" s="702"/>
      <c r="Y9" s="3718" t="s">
        <v>1686</v>
      </c>
      <c r="Z9" s="52" t="str">
        <f t="shared" ref="Z9:Z14" si="7">Q9</f>
        <v>用途</v>
      </c>
      <c r="AA9" s="703">
        <f t="shared" si="3"/>
        <v>1</v>
      </c>
      <c r="AB9" s="703">
        <f t="shared" si="4"/>
        <v>1</v>
      </c>
      <c r="AC9" s="703">
        <f t="shared" si="5"/>
        <v>1</v>
      </c>
    </row>
    <row r="10" spans="1:29" s="377" customFormat="1" ht="27">
      <c r="A10" s="588"/>
      <c r="B10" s="589" t="s">
        <v>1687</v>
      </c>
      <c r="C10" s="3432"/>
      <c r="D10" s="126">
        <v>100</v>
      </c>
      <c r="E10" s="3432"/>
      <c r="F10" s="126">
        <f>SUMIF(55:55,E10,56:56)-SUMIF(55:55,C10,56:56)+100</f>
        <v>100</v>
      </c>
      <c r="G10" s="3433"/>
      <c r="H10" s="126">
        <f>SUMIF(55:55,G10,56:56)-SUMIF(55:55,C10,56:56)+100</f>
        <v>100</v>
      </c>
      <c r="I10" s="3432"/>
      <c r="J10" s="126">
        <f>SUMIF(55:55,I10,56:56)-SUMIF(55:55,C10,56:56)+100</f>
        <v>100</v>
      </c>
      <c r="K10" s="559"/>
      <c r="L10" s="2718"/>
      <c r="M10" s="2719"/>
      <c r="N10" s="2719"/>
      <c r="O10" s="2719"/>
      <c r="P10" s="3787"/>
      <c r="Q10" s="1342"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87"/>
      <c r="Q11" s="1342">
        <f t="shared" si="6"/>
        <v>111</v>
      </c>
      <c r="R11" s="700" t="s">
        <v>14</v>
      </c>
      <c r="S11" s="701">
        <f t="shared" si="0"/>
        <v>100</v>
      </c>
      <c r="T11" s="700" t="s">
        <v>14</v>
      </c>
      <c r="U11" s="701">
        <f t="shared" si="1"/>
        <v>100</v>
      </c>
      <c r="V11" s="700" t="s">
        <v>14</v>
      </c>
      <c r="W11" s="701">
        <f t="shared" si="2"/>
        <v>100</v>
      </c>
      <c r="X11" s="702"/>
      <c r="Y11" s="3718"/>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87"/>
      <c r="Q12" s="1342">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87"/>
      <c r="Q13" s="1342">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85.5">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80" t="s">
        <v>1690</v>
      </c>
      <c r="Q14" s="1351" t="str">
        <f t="shared" si="6"/>
        <v>交通便捷度</v>
      </c>
      <c r="R14" s="704" t="s">
        <v>14</v>
      </c>
      <c r="S14" s="705">
        <f t="shared" si="0"/>
        <v>100</v>
      </c>
      <c r="T14" s="704" t="s">
        <v>14</v>
      </c>
      <c r="U14" s="705">
        <f t="shared" si="1"/>
        <v>100</v>
      </c>
      <c r="V14" s="704" t="s">
        <v>14</v>
      </c>
      <c r="W14" s="705">
        <f t="shared" si="2"/>
        <v>100</v>
      </c>
      <c r="X14" s="1354"/>
      <c r="Y14" s="3780"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81"/>
      <c r="Q15" s="1351"/>
      <c r="R15" s="704"/>
      <c r="S15" s="705"/>
      <c r="T15" s="704"/>
      <c r="U15" s="705"/>
      <c r="V15" s="704"/>
      <c r="W15" s="705"/>
      <c r="X15" s="1354"/>
      <c r="Y15" s="3781"/>
      <c r="Z15" s="1355"/>
      <c r="AA15" s="1352">
        <v>1</v>
      </c>
      <c r="AB15" s="1352">
        <v>1</v>
      </c>
      <c r="AC15" s="1352">
        <v>1</v>
      </c>
    </row>
    <row r="16" spans="1:29" ht="42.75">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81"/>
      <c r="Q16" s="1351" t="str">
        <f>B16</f>
        <v>公共配套设施</v>
      </c>
      <c r="R16" s="704" t="s">
        <v>14</v>
      </c>
      <c r="S16" s="705">
        <f>F16</f>
        <v>100</v>
      </c>
      <c r="T16" s="704" t="s">
        <v>14</v>
      </c>
      <c r="U16" s="705">
        <f>H16</f>
        <v>100</v>
      </c>
      <c r="V16" s="704" t="s">
        <v>14</v>
      </c>
      <c r="W16" s="705">
        <f>J16</f>
        <v>100</v>
      </c>
      <c r="X16" s="1354"/>
      <c r="Y16" s="3781"/>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81"/>
      <c r="Q17" s="1351"/>
      <c r="R17" s="704"/>
      <c r="S17" s="705"/>
      <c r="T17" s="704"/>
      <c r="U17" s="705"/>
      <c r="V17" s="704"/>
      <c r="W17" s="705"/>
      <c r="X17" s="1354"/>
      <c r="Y17" s="3781"/>
      <c r="Z17" s="1355"/>
      <c r="AA17" s="1352">
        <v>1</v>
      </c>
      <c r="AB17" s="1352">
        <v>1</v>
      </c>
      <c r="AC17" s="1352">
        <v>1</v>
      </c>
    </row>
    <row r="18" spans="1:29" ht="28.5">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81"/>
      <c r="Q18" s="1351" t="str">
        <f>B18</f>
        <v>基础设施水平</v>
      </c>
      <c r="R18" s="704" t="s">
        <v>14</v>
      </c>
      <c r="S18" s="705">
        <f>F18</f>
        <v>100</v>
      </c>
      <c r="T18" s="704" t="s">
        <v>14</v>
      </c>
      <c r="U18" s="705">
        <f>H18</f>
        <v>100</v>
      </c>
      <c r="V18" s="704" t="s">
        <v>14</v>
      </c>
      <c r="W18" s="705">
        <f>J18</f>
        <v>100</v>
      </c>
      <c r="X18" s="1354"/>
      <c r="Y18" s="3781"/>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81"/>
      <c r="Q19" s="1351"/>
      <c r="R19" s="704"/>
      <c r="S19" s="705"/>
      <c r="T19" s="704"/>
      <c r="U19" s="705"/>
      <c r="V19" s="704"/>
      <c r="W19" s="705"/>
      <c r="X19" s="1354"/>
      <c r="Y19" s="3781"/>
      <c r="Z19" s="1355"/>
      <c r="AA19" s="1352">
        <v>1</v>
      </c>
      <c r="AB19" s="1352">
        <v>1</v>
      </c>
      <c r="AC19" s="1352">
        <v>1</v>
      </c>
    </row>
    <row r="20" spans="1:29" ht="57">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81"/>
      <c r="Q20" s="1351" t="str">
        <f>B20</f>
        <v>自然及人文环境</v>
      </c>
      <c r="R20" s="704" t="s">
        <v>14</v>
      </c>
      <c r="S20" s="705">
        <f>F20</f>
        <v>100</v>
      </c>
      <c r="T20" s="704" t="s">
        <v>14</v>
      </c>
      <c r="U20" s="705">
        <f>H20</f>
        <v>100</v>
      </c>
      <c r="V20" s="704" t="s">
        <v>14</v>
      </c>
      <c r="W20" s="705">
        <f>J20</f>
        <v>100</v>
      </c>
      <c r="X20" s="1354"/>
      <c r="Y20" s="3781"/>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81"/>
      <c r="Q21" s="1351"/>
      <c r="R21" s="704"/>
      <c r="S21" s="705"/>
      <c r="T21" s="704"/>
      <c r="U21" s="705"/>
      <c r="V21" s="704"/>
      <c r="W21" s="705"/>
      <c r="X21" s="1354"/>
      <c r="Y21" s="3781"/>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81"/>
      <c r="Q22" s="1351" t="str">
        <f>B22</f>
        <v>楼层</v>
      </c>
      <c r="R22" s="704" t="s">
        <v>14</v>
      </c>
      <c r="S22" s="705">
        <f>F22</f>
        <v>100</v>
      </c>
      <c r="T22" s="704" t="s">
        <v>14</v>
      </c>
      <c r="U22" s="705">
        <f>H22</f>
        <v>100</v>
      </c>
      <c r="V22" s="704" t="s">
        <v>14</v>
      </c>
      <c r="W22" s="705">
        <f>J22</f>
        <v>100</v>
      </c>
      <c r="X22" s="1354"/>
      <c r="Y22" s="3781"/>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81"/>
      <c r="Q23" s="1351">
        <f>B23</f>
        <v>111</v>
      </c>
      <c r="R23" s="704" t="s">
        <v>14</v>
      </c>
      <c r="S23" s="705">
        <f>F23</f>
        <v>100</v>
      </c>
      <c r="T23" s="704" t="s">
        <v>14</v>
      </c>
      <c r="U23" s="705">
        <f>H23</f>
        <v>100</v>
      </c>
      <c r="V23" s="704" t="s">
        <v>14</v>
      </c>
      <c r="W23" s="705">
        <f>J23</f>
        <v>100</v>
      </c>
      <c r="X23" s="1354"/>
      <c r="Y23" s="3781"/>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81"/>
      <c r="Q24" s="1351">
        <f t="shared" ref="Q24:Q36" si="11">B24</f>
        <v>111</v>
      </c>
      <c r="R24" s="704" t="s">
        <v>14</v>
      </c>
      <c r="S24" s="705">
        <f>F24</f>
        <v>100</v>
      </c>
      <c r="T24" s="704" t="s">
        <v>14</v>
      </c>
      <c r="U24" s="705">
        <f>H24</f>
        <v>100</v>
      </c>
      <c r="V24" s="704" t="s">
        <v>14</v>
      </c>
      <c r="W24" s="705">
        <f>J24</f>
        <v>100</v>
      </c>
      <c r="X24" s="1354"/>
      <c r="Y24" s="3781"/>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81"/>
      <c r="Q25" s="1342">
        <f t="shared" si="11"/>
        <v>111</v>
      </c>
      <c r="R25" s="700" t="s">
        <v>14</v>
      </c>
      <c r="S25" s="701">
        <f>F25</f>
        <v>100</v>
      </c>
      <c r="T25" s="700" t="s">
        <v>14</v>
      </c>
      <c r="U25" s="701">
        <f>H25</f>
        <v>100</v>
      </c>
      <c r="V25" s="700" t="s">
        <v>14</v>
      </c>
      <c r="W25" s="701">
        <f>J25</f>
        <v>100</v>
      </c>
      <c r="X25" s="702"/>
      <c r="Y25" s="3781"/>
      <c r="Z25" s="52">
        <f>Q25</f>
        <v>111</v>
      </c>
      <c r="AA25" s="1352">
        <f>D25/F25</f>
        <v>1</v>
      </c>
      <c r="AB25" s="1352">
        <f>D25/H25</f>
        <v>1</v>
      </c>
      <c r="AC25" s="1352">
        <f>D25/J25</f>
        <v>1</v>
      </c>
    </row>
    <row r="26" spans="1:29" ht="28.5">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834"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85"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85"/>
      <c r="Q27" s="706" t="str">
        <f t="shared" si="11"/>
        <v>项目停车位配比</v>
      </c>
      <c r="R27" s="707" t="s">
        <v>14</v>
      </c>
      <c r="S27" s="708">
        <f t="shared" si="12"/>
        <v>100</v>
      </c>
      <c r="T27" s="707" t="s">
        <v>14</v>
      </c>
      <c r="U27" s="708">
        <f t="shared" si="13"/>
        <v>100</v>
      </c>
      <c r="V27" s="707" t="s">
        <v>14</v>
      </c>
      <c r="W27" s="708">
        <f t="shared" si="14"/>
        <v>100</v>
      </c>
      <c r="X27" s="709"/>
      <c r="Y27" s="3785"/>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85"/>
      <c r="Q28" s="1351" t="str">
        <f t="shared" si="11"/>
        <v>公共部分装修</v>
      </c>
      <c r="R28" s="704" t="s">
        <v>14</v>
      </c>
      <c r="S28" s="705">
        <f t="shared" si="12"/>
        <v>100</v>
      </c>
      <c r="T28" s="704" t="s">
        <v>14</v>
      </c>
      <c r="U28" s="705">
        <f t="shared" si="13"/>
        <v>100</v>
      </c>
      <c r="V28" s="704" t="s">
        <v>14</v>
      </c>
      <c r="W28" s="705">
        <f t="shared" si="14"/>
        <v>100</v>
      </c>
      <c r="X28" s="1354"/>
      <c r="Y28" s="3785"/>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85"/>
      <c r="Q29" s="1351" t="str">
        <f t="shared" si="11"/>
        <v>成新率</v>
      </c>
      <c r="R29" s="704" t="s">
        <v>14</v>
      </c>
      <c r="S29" s="705" t="e">
        <f t="shared" si="12"/>
        <v>#N/A</v>
      </c>
      <c r="T29" s="704" t="s">
        <v>14</v>
      </c>
      <c r="U29" s="705" t="e">
        <f t="shared" si="13"/>
        <v>#N/A</v>
      </c>
      <c r="V29" s="704" t="s">
        <v>14</v>
      </c>
      <c r="W29" s="705" t="e">
        <f t="shared" si="14"/>
        <v>#N/A</v>
      </c>
      <c r="X29" s="1354"/>
      <c r="Y29" s="3785"/>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85"/>
      <c r="Q30" s="1351" t="str">
        <f t="shared" si="11"/>
        <v>物业等级</v>
      </c>
      <c r="R30" s="704" t="s">
        <v>14</v>
      </c>
      <c r="S30" s="705">
        <f t="shared" si="12"/>
        <v>100</v>
      </c>
      <c r="T30" s="704" t="s">
        <v>14</v>
      </c>
      <c r="U30" s="705">
        <f t="shared" si="13"/>
        <v>100</v>
      </c>
      <c r="V30" s="704" t="s">
        <v>14</v>
      </c>
      <c r="W30" s="705">
        <f t="shared" si="14"/>
        <v>100</v>
      </c>
      <c r="X30" s="1354"/>
      <c r="Y30" s="3785"/>
      <c r="Z30" s="1355" t="str">
        <f t="shared" si="15"/>
        <v>物业等级</v>
      </c>
      <c r="AA30" s="1352">
        <f t="shared" si="3"/>
        <v>1</v>
      </c>
      <c r="AB30" s="1352">
        <f t="shared" si="4"/>
        <v>1</v>
      </c>
      <c r="AC30" s="1352">
        <f t="shared" si="5"/>
        <v>1</v>
      </c>
    </row>
    <row r="31" spans="1:29" s="107"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85"/>
      <c r="Q31" s="1342" t="str">
        <f t="shared" si="11"/>
        <v>停车位面积</v>
      </c>
      <c r="R31" s="700" t="s">
        <v>14</v>
      </c>
      <c r="S31" s="701" t="e">
        <f t="shared" si="12"/>
        <v>#N/A</v>
      </c>
      <c r="T31" s="700" t="s">
        <v>14</v>
      </c>
      <c r="U31" s="701" t="e">
        <f t="shared" si="13"/>
        <v>#N/A</v>
      </c>
      <c r="V31" s="700" t="s">
        <v>14</v>
      </c>
      <c r="W31" s="701" t="e">
        <f t="shared" si="14"/>
        <v>#N/A</v>
      </c>
      <c r="X31" s="702"/>
      <c r="Y31" s="3785"/>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85" t="s">
        <v>1695</v>
      </c>
      <c r="Q32" s="1351" t="str">
        <f t="shared" si="11"/>
        <v>车位类型</v>
      </c>
      <c r="R32" s="704" t="s">
        <v>14</v>
      </c>
      <c r="S32" s="705">
        <f t="shared" si="12"/>
        <v>100</v>
      </c>
      <c r="T32" s="704" t="s">
        <v>14</v>
      </c>
      <c r="U32" s="705">
        <f t="shared" si="13"/>
        <v>100</v>
      </c>
      <c r="V32" s="704" t="s">
        <v>14</v>
      </c>
      <c r="W32" s="705">
        <f t="shared" si="14"/>
        <v>100</v>
      </c>
      <c r="X32" s="1354"/>
      <c r="Y32" s="3785"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85"/>
      <c r="Q33" s="1351" t="str">
        <f t="shared" si="11"/>
        <v>是否直接入户</v>
      </c>
      <c r="R33" s="704" t="s">
        <v>14</v>
      </c>
      <c r="S33" s="705">
        <f t="shared" si="12"/>
        <v>100</v>
      </c>
      <c r="T33" s="704" t="s">
        <v>14</v>
      </c>
      <c r="U33" s="705">
        <f t="shared" si="13"/>
        <v>100</v>
      </c>
      <c r="V33" s="704" t="s">
        <v>14</v>
      </c>
      <c r="W33" s="705">
        <f t="shared" si="14"/>
        <v>100</v>
      </c>
      <c r="X33" s="1354"/>
      <c r="Y33" s="3785"/>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85"/>
      <c r="Q34" s="1351">
        <f t="shared" si="11"/>
        <v>111</v>
      </c>
      <c r="R34" s="704" t="s">
        <v>14</v>
      </c>
      <c r="S34" s="705">
        <f t="shared" si="12"/>
        <v>100</v>
      </c>
      <c r="T34" s="704" t="s">
        <v>14</v>
      </c>
      <c r="U34" s="705">
        <f t="shared" si="13"/>
        <v>100</v>
      </c>
      <c r="V34" s="704" t="s">
        <v>14</v>
      </c>
      <c r="W34" s="705">
        <f t="shared" si="14"/>
        <v>100</v>
      </c>
      <c r="X34" s="1354"/>
      <c r="Y34" s="3785"/>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85"/>
      <c r="Q35" s="706">
        <f t="shared" si="11"/>
        <v>111</v>
      </c>
      <c r="R35" s="707" t="s">
        <v>14</v>
      </c>
      <c r="S35" s="708">
        <f t="shared" si="12"/>
        <v>100</v>
      </c>
      <c r="T35" s="707" t="s">
        <v>14</v>
      </c>
      <c r="U35" s="708">
        <f t="shared" si="13"/>
        <v>100</v>
      </c>
      <c r="V35" s="707" t="s">
        <v>14</v>
      </c>
      <c r="W35" s="708">
        <f t="shared" si="14"/>
        <v>100</v>
      </c>
      <c r="X35" s="709"/>
      <c r="Y35" s="3785"/>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85"/>
      <c r="Q36" s="1351">
        <f t="shared" si="11"/>
        <v>111</v>
      </c>
      <c r="R36" s="704" t="s">
        <v>14</v>
      </c>
      <c r="S36" s="705">
        <f t="shared" si="12"/>
        <v>100</v>
      </c>
      <c r="T36" s="704" t="s">
        <v>14</v>
      </c>
      <c r="U36" s="705">
        <f t="shared" si="13"/>
        <v>100</v>
      </c>
      <c r="V36" s="704" t="s">
        <v>14</v>
      </c>
      <c r="W36" s="705">
        <f t="shared" si="14"/>
        <v>100</v>
      </c>
      <c r="X36" s="1354"/>
      <c r="Y36" s="3785"/>
      <c r="Z36" s="1355">
        <f t="shared" si="15"/>
        <v>111</v>
      </c>
      <c r="AA36" s="1352">
        <f t="shared" si="3"/>
        <v>1</v>
      </c>
      <c r="AB36" s="1352">
        <f t="shared" si="4"/>
        <v>1</v>
      </c>
      <c r="AC36" s="1352">
        <f t="shared" si="5"/>
        <v>1</v>
      </c>
    </row>
    <row r="37" spans="1:29" ht="15">
      <c r="A37" s="429" t="s">
        <v>1843</v>
      </c>
      <c r="B37" s="1972" t="s">
        <v>3359</v>
      </c>
      <c r="C37" s="1153" t="s">
        <v>0</v>
      </c>
      <c r="D37" s="1154"/>
      <c r="E37" s="1155"/>
      <c r="F37" s="1156"/>
      <c r="G37" s="1157"/>
      <c r="H37" s="1158"/>
      <c r="I37" s="1155"/>
      <c r="J37" s="1158"/>
      <c r="K37" s="567"/>
      <c r="L37" s="2723"/>
      <c r="M37" s="2724"/>
      <c r="N37" s="2715"/>
      <c r="O37" s="2724"/>
      <c r="P37" s="3787" t="str">
        <f>A37</f>
        <v>成交单价</v>
      </c>
      <c r="Q37" s="3787"/>
      <c r="R37" s="3788">
        <f>E37</f>
        <v>0</v>
      </c>
      <c r="S37" s="3788"/>
      <c r="T37" s="3788">
        <f>G37</f>
        <v>0</v>
      </c>
      <c r="U37" s="3788"/>
      <c r="V37" s="3788">
        <f>I37</f>
        <v>0</v>
      </c>
      <c r="W37" s="3788"/>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87" t="str">
        <f>A38</f>
        <v>比较价值（元/平方米）</v>
      </c>
      <c r="Q38" s="3787"/>
      <c r="R38" s="3788" t="e">
        <f>IF(F1="售价",ROUND(PRODUCT(R37,AA7:AA36),0),ROUND(PRODUCT(R37,AA7:AA36),1))</f>
        <v>#DIV/0!</v>
      </c>
      <c r="S38" s="3788"/>
      <c r="T38" s="3788" t="e">
        <f>IF(F1="售价",ROUND(PRODUCT(T37,AB7:AB36),0),ROUND(PRODUCT(T37,AB7:AB36),1))</f>
        <v>#DIV/0!</v>
      </c>
      <c r="U38" s="3788"/>
      <c r="V38" s="3788" t="e">
        <f>IF(F1="售价",ROUND(PRODUCT(V37,AC7:AC36),0),ROUND(PRODUCT(V37,AC7:AC36),1))</f>
        <v>#DIV/0!</v>
      </c>
      <c r="W38" s="3788"/>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3"/>
      <c r="M39" s="2724"/>
      <c r="N39" s="2724"/>
      <c r="O39" s="2724"/>
      <c r="P39" s="3789" t="str">
        <f>A39</f>
        <v>估价对象XX用房的比较价值（楼面单价，元/平方米）</v>
      </c>
      <c r="Q39" s="3790"/>
      <c r="R39" s="3835" t="e">
        <f>IF(F1="售价",ROUND(IF(D38="简单平均",AVERAGE(R38:W38),R38*F38+T38*H38+V38*J38),0),ROUND(IF(D38="简单平均",AVERAGE(R38:V38),R38*F38+T38*H38+V38*J38),1))</f>
        <v>#DIV/0!</v>
      </c>
      <c r="S39" s="3835"/>
      <c r="T39" s="3835"/>
      <c r="U39" s="3835"/>
      <c r="V39" s="3835"/>
      <c r="W39" s="38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4"/>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4"/>
      <c r="Q41" s="2724"/>
      <c r="R41" s="2724"/>
      <c r="S41" s="2724"/>
      <c r="T41" s="2724"/>
      <c r="U41" s="2724"/>
      <c r="V41" s="2724"/>
      <c r="W41" s="2724"/>
      <c r="X41" s="2724"/>
      <c r="Y41" s="2724"/>
      <c r="Z41" s="2724"/>
      <c r="AA41" s="2724"/>
      <c r="AB41" s="2724"/>
      <c r="AC41" s="2724"/>
    </row>
    <row r="42" spans="1:29" ht="13.5" customHeight="1">
      <c r="A42" s="2724"/>
      <c r="B42" s="2724"/>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4"/>
      <c r="Q42" s="2724"/>
      <c r="R42" s="2724"/>
      <c r="S42" s="2724"/>
      <c r="T42" s="2724"/>
      <c r="U42" s="2724"/>
      <c r="V42" s="2724"/>
      <c r="W42" s="2724"/>
      <c r="X42" s="2724"/>
      <c r="Y42" s="2724"/>
      <c r="Z42" s="2724"/>
      <c r="AA42" s="2724"/>
      <c r="AB42" s="2724"/>
      <c r="AC42" s="2724"/>
    </row>
    <row r="43" spans="1:29" ht="13.5" customHeight="1">
      <c r="A43" s="2724"/>
      <c r="B43" s="2724"/>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4"/>
      <c r="Q43" s="2724"/>
      <c r="R43" s="2724"/>
      <c r="S43" s="2724"/>
      <c r="T43" s="2724"/>
      <c r="U43" s="2724"/>
      <c r="V43" s="2724"/>
      <c r="W43" s="2724"/>
      <c r="X43" s="2724"/>
      <c r="Y43" s="2724"/>
      <c r="Z43" s="2724"/>
      <c r="AA43" s="2724"/>
      <c r="AB43" s="2724"/>
      <c r="AC43" s="2724"/>
    </row>
    <row r="44" spans="1:29" s="450" customFormat="1" ht="13.5" customHeight="1">
      <c r="A44" s="2727"/>
      <c r="B44" s="2727"/>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5"/>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5"/>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4"/>
      <c r="Q46" s="2724"/>
      <c r="R46" s="2724"/>
      <c r="S46" s="2724"/>
      <c r="T46" s="2724"/>
      <c r="U46" s="2724"/>
      <c r="V46" s="2724"/>
      <c r="W46" s="2724"/>
      <c r="X46" s="2724"/>
      <c r="Y46" s="2724"/>
      <c r="Z46" s="2724"/>
      <c r="AA46" s="2724"/>
      <c r="AB46" s="2724"/>
      <c r="AC46" s="2724"/>
    </row>
    <row r="47" spans="1:29" ht="21.75" thickBot="1">
      <c r="A47" s="1165" t="s">
        <v>1849</v>
      </c>
      <c r="B47" s="926"/>
      <c r="C47" s="939"/>
      <c r="D47" s="939"/>
      <c r="E47" s="939"/>
      <c r="F47" s="1166"/>
      <c r="G47" s="1166"/>
      <c r="H47" s="939"/>
      <c r="I47" s="939"/>
      <c r="J47" s="939"/>
      <c r="K47" s="940"/>
      <c r="L47" s="941"/>
      <c r="M47" s="939"/>
      <c r="N47" s="2767"/>
      <c r="O47" s="2767"/>
      <c r="P47" s="2756"/>
      <c r="Q47" s="2738"/>
      <c r="R47" s="2724"/>
      <c r="S47" s="2724"/>
      <c r="T47" s="2724"/>
      <c r="U47" s="2724"/>
      <c r="V47" s="2724"/>
      <c r="W47" s="2724"/>
      <c r="X47" s="2724"/>
      <c r="Y47" s="2724"/>
      <c r="Z47" s="2724"/>
      <c r="AA47" s="2724"/>
      <c r="AB47" s="2724"/>
      <c r="AC47" s="2724"/>
    </row>
    <row r="48" spans="1:29" s="456" customFormat="1" ht="15">
      <c r="A48" s="453" t="s">
        <v>1850</v>
      </c>
      <c r="B48" s="454"/>
      <c r="C48" s="1183" t="str">
        <f>YEAR(C7)&amp;"-"&amp;MONTH(C7)</f>
        <v>2023-6</v>
      </c>
      <c r="D48" s="1184">
        <f>EDATE(C48,-1)</f>
        <v>45047</v>
      </c>
      <c r="E48" s="1184">
        <f t="shared" ref="E48:O48" si="16">EDATE(D48,-1)</f>
        <v>45017</v>
      </c>
      <c r="F48" s="1184">
        <f t="shared" si="16"/>
        <v>44986</v>
      </c>
      <c r="G48" s="1184">
        <f t="shared" si="16"/>
        <v>44958</v>
      </c>
      <c r="H48" s="1184">
        <f t="shared" si="16"/>
        <v>44927</v>
      </c>
      <c r="I48" s="1184">
        <f t="shared" si="16"/>
        <v>44896</v>
      </c>
      <c r="J48" s="1184">
        <f t="shared" si="16"/>
        <v>44866</v>
      </c>
      <c r="K48" s="1184">
        <f t="shared" si="16"/>
        <v>44835</v>
      </c>
      <c r="L48" s="1184">
        <f t="shared" si="16"/>
        <v>44805</v>
      </c>
      <c r="M48" s="1184">
        <f t="shared" si="16"/>
        <v>44774</v>
      </c>
      <c r="N48" s="1184">
        <f t="shared" si="16"/>
        <v>44743</v>
      </c>
      <c r="O48" s="1184">
        <f t="shared" si="16"/>
        <v>44713</v>
      </c>
      <c r="P48" s="2757"/>
      <c r="Q48" s="2739"/>
      <c r="R48" s="2739"/>
      <c r="S48" s="2739"/>
      <c r="T48" s="2739"/>
      <c r="U48" s="2739"/>
      <c r="V48" s="2739"/>
      <c r="W48" s="2739"/>
      <c r="X48" s="2739"/>
      <c r="Y48" s="2739"/>
      <c r="Z48" s="2739"/>
      <c r="AA48" s="2739"/>
      <c r="AB48" s="2739"/>
      <c r="AC48" s="2739"/>
    </row>
    <row r="49" spans="1:29" s="107" customFormat="1" ht="15">
      <c r="A49" s="457"/>
      <c r="B49" s="458"/>
      <c r="C49" s="1176">
        <v>100</v>
      </c>
      <c r="D49" s="460"/>
      <c r="E49" s="460"/>
      <c r="F49" s="460"/>
      <c r="G49" s="460"/>
      <c r="H49" s="460"/>
      <c r="I49" s="460"/>
      <c r="J49" s="460"/>
      <c r="K49" s="460"/>
      <c r="L49" s="460"/>
      <c r="M49" s="461"/>
      <c r="N49" s="460"/>
      <c r="O49" s="461"/>
      <c r="P49" s="2758"/>
      <c r="Q49" s="2660"/>
      <c r="R49" s="2660"/>
      <c r="S49" s="2660"/>
      <c r="T49" s="2660"/>
      <c r="U49" s="2660"/>
      <c r="V49" s="2660"/>
      <c r="W49" s="2660"/>
      <c r="X49" s="2660"/>
      <c r="Y49" s="2660"/>
      <c r="Z49" s="2660"/>
      <c r="AA49" s="2660"/>
      <c r="AB49" s="2660"/>
      <c r="AC49" s="2660"/>
    </row>
    <row r="50" spans="1:29" s="107" customFormat="1" ht="15.75" thickBot="1">
      <c r="A50" s="463" t="s">
        <v>1715</v>
      </c>
      <c r="B50" s="464"/>
      <c r="C50" s="465"/>
      <c r="D50" s="466"/>
      <c r="E50" s="466"/>
      <c r="F50" s="466"/>
      <c r="G50" s="466"/>
      <c r="H50" s="466"/>
      <c r="I50" s="466"/>
      <c r="J50" s="466"/>
      <c r="K50" s="466"/>
      <c r="L50" s="466"/>
      <c r="M50" s="467"/>
      <c r="N50" s="466"/>
      <c r="O50" s="467"/>
      <c r="P50" s="2758"/>
      <c r="Q50" s="2738"/>
      <c r="R50" s="2660"/>
      <c r="S50" s="2660"/>
      <c r="T50" s="2660"/>
      <c r="U50" s="2660"/>
      <c r="V50" s="2660"/>
      <c r="W50" s="2660"/>
      <c r="X50" s="2660"/>
      <c r="Y50" s="2660"/>
      <c r="Z50" s="2660"/>
      <c r="AA50" s="2660"/>
      <c r="AB50" s="2660"/>
      <c r="AC50" s="2660"/>
    </row>
    <row r="51" spans="1:29" s="107" customFormat="1" ht="15">
      <c r="A51" s="469" t="s">
        <v>1680</v>
      </c>
      <c r="B51" s="458"/>
      <c r="C51" s="470" t="s">
        <v>1775</v>
      </c>
      <c r="D51" s="471"/>
      <c r="E51" s="471"/>
      <c r="F51" s="471"/>
      <c r="G51" s="471"/>
      <c r="H51" s="471"/>
      <c r="I51" s="471"/>
      <c r="J51" s="471"/>
      <c r="K51" s="471"/>
      <c r="L51" s="472"/>
      <c r="M51" s="473"/>
      <c r="N51" s="2750"/>
      <c r="O51" s="2750"/>
      <c r="P51" s="2759"/>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0"/>
      <c r="O52" s="2750"/>
      <c r="P52" s="2758"/>
      <c r="Q52" s="2738"/>
      <c r="R52" s="2660"/>
      <c r="S52" s="2660"/>
      <c r="T52" s="2660"/>
      <c r="U52" s="2660"/>
      <c r="V52" s="2660"/>
      <c r="W52" s="2660"/>
      <c r="X52" s="2660"/>
      <c r="Y52" s="2660"/>
      <c r="Z52" s="2660"/>
      <c r="AA52" s="2660"/>
      <c r="AB52" s="2660"/>
      <c r="AC52" s="2660"/>
    </row>
    <row r="53" spans="1:29">
      <c r="A53" s="475" t="s">
        <v>1718</v>
      </c>
      <c r="B53" s="476" t="s">
        <v>1684</v>
      </c>
      <c r="C53" s="477">
        <f>C9</f>
        <v>0</v>
      </c>
      <c r="D53" s="478"/>
      <c r="E53" s="478"/>
      <c r="F53" s="478"/>
      <c r="G53" s="478"/>
      <c r="H53" s="478"/>
      <c r="I53" s="478"/>
      <c r="J53" s="478"/>
      <c r="K53" s="479"/>
      <c r="L53" s="480"/>
      <c r="M53" s="481"/>
      <c r="N53" s="2751"/>
      <c r="O53" s="2751"/>
      <c r="P53" s="2760"/>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2"/>
      <c r="O54" s="2752"/>
      <c r="P54" s="2760"/>
      <c r="Q54" s="2738"/>
      <c r="R54" s="2724"/>
      <c r="S54" s="2724"/>
      <c r="T54" s="2724"/>
      <c r="U54" s="2724"/>
      <c r="V54" s="2724"/>
      <c r="W54" s="2724"/>
      <c r="X54" s="2724"/>
      <c r="Y54" s="2724"/>
      <c r="Z54" s="2724"/>
      <c r="AA54" s="2724"/>
      <c r="AB54" s="2724"/>
      <c r="AC54" s="2724"/>
    </row>
    <row r="55" spans="1:29" ht="27.75" thickTop="1">
      <c r="A55" s="482"/>
      <c r="B55" s="486" t="s">
        <v>1687</v>
      </c>
      <c r="C55" s="531"/>
      <c r="D55" s="531"/>
      <c r="E55" s="531"/>
      <c r="F55" s="531"/>
      <c r="G55" s="531"/>
      <c r="H55" s="531"/>
      <c r="I55" s="531"/>
      <c r="J55" s="531"/>
      <c r="K55" s="532"/>
      <c r="L55" s="533"/>
      <c r="M55" s="534"/>
      <c r="N55" s="2751"/>
      <c r="O55" s="2751"/>
      <c r="P55" s="2760"/>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2"/>
      <c r="O56" s="2752"/>
      <c r="P56" s="2760"/>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1"/>
      <c r="O57" s="2751"/>
      <c r="P57" s="2760"/>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2"/>
      <c r="O58" s="2752"/>
      <c r="P58" s="2760"/>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3"/>
      <c r="O59" s="2753"/>
      <c r="P59" s="2761"/>
      <c r="Q59" s="2744"/>
      <c r="R59" s="2745"/>
      <c r="S59" s="2745"/>
      <c r="T59" s="2745"/>
      <c r="U59" s="2745"/>
      <c r="V59" s="2745"/>
      <c r="W59" s="2745"/>
      <c r="X59" s="2745"/>
      <c r="Y59" s="2745"/>
      <c r="Z59" s="2745"/>
      <c r="AA59" s="2745"/>
      <c r="AB59" s="2745"/>
      <c r="AC59" s="2745"/>
    </row>
    <row r="60" spans="1:29" s="421" customFormat="1" ht="15.75" thickBot="1">
      <c r="A60" s="501"/>
      <c r="B60" s="491"/>
      <c r="C60" s="508"/>
      <c r="D60" s="484"/>
      <c r="E60" s="484"/>
      <c r="F60" s="484"/>
      <c r="G60" s="484"/>
      <c r="H60" s="484"/>
      <c r="I60" s="484"/>
      <c r="J60" s="484"/>
      <c r="K60" s="484"/>
      <c r="L60" s="484"/>
      <c r="M60" s="485"/>
      <c r="N60" s="2752"/>
      <c r="O60" s="2752"/>
      <c r="P60" s="2761"/>
      <c r="Q60" s="2744"/>
      <c r="R60" s="2745"/>
      <c r="S60" s="2745"/>
      <c r="T60" s="2745"/>
      <c r="U60" s="2745"/>
      <c r="V60" s="2745"/>
      <c r="W60" s="2745"/>
      <c r="X60" s="2745"/>
      <c r="Y60" s="2745"/>
      <c r="Z60" s="2745"/>
      <c r="AA60" s="2745"/>
      <c r="AB60" s="2745"/>
      <c r="AC60" s="2745"/>
    </row>
    <row r="61" spans="1:29" s="421" customFormat="1" ht="15.75" thickTop="1">
      <c r="A61" s="501"/>
      <c r="B61" s="486">
        <f>B13</f>
        <v>111</v>
      </c>
      <c r="C61" s="502"/>
      <c r="D61" s="502"/>
      <c r="E61" s="502"/>
      <c r="F61" s="502"/>
      <c r="G61" s="502"/>
      <c r="H61" s="503"/>
      <c r="I61" s="503"/>
      <c r="J61" s="503"/>
      <c r="K61" s="503"/>
      <c r="L61" s="504"/>
      <c r="M61" s="505"/>
      <c r="N61" s="2753"/>
      <c r="O61" s="2753"/>
      <c r="P61" s="2762"/>
      <c r="Q61" s="2747"/>
      <c r="R61" s="2745"/>
      <c r="S61" s="2745"/>
      <c r="T61" s="2745"/>
      <c r="U61" s="2745"/>
      <c r="V61" s="2745"/>
      <c r="W61" s="2745"/>
      <c r="X61" s="2745"/>
      <c r="Y61" s="2745"/>
      <c r="Z61" s="2745"/>
      <c r="AA61" s="2745"/>
      <c r="AB61" s="2745"/>
      <c r="AC61" s="2745"/>
    </row>
    <row r="62" spans="1:29" s="421" customFormat="1" ht="15.75" thickBot="1">
      <c r="A62" s="501"/>
      <c r="B62" s="491"/>
      <c r="C62" s="508"/>
      <c r="D62" s="508"/>
      <c r="E62" s="508"/>
      <c r="F62" s="508"/>
      <c r="G62" s="508"/>
      <c r="H62" s="510"/>
      <c r="I62" s="510"/>
      <c r="J62" s="510"/>
      <c r="K62" s="510"/>
      <c r="L62" s="510"/>
      <c r="M62" s="511"/>
      <c r="N62" s="2753"/>
      <c r="O62" s="2753"/>
      <c r="P62" s="2761"/>
      <c r="Q62" s="2744"/>
      <c r="R62" s="2745"/>
      <c r="S62" s="2745"/>
      <c r="T62" s="2745"/>
      <c r="U62" s="2745"/>
      <c r="V62" s="2745"/>
      <c r="W62" s="2745"/>
      <c r="X62" s="2745"/>
      <c r="Y62" s="2745"/>
      <c r="Z62" s="2745"/>
      <c r="AA62" s="2745"/>
      <c r="AB62" s="2745"/>
      <c r="AC62" s="2745"/>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51"/>
      <c r="O63" s="2751"/>
      <c r="P63" s="2764"/>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2"/>
      <c r="O64" s="2752"/>
      <c r="P64" s="2760"/>
      <c r="Q64" s="2738"/>
      <c r="R64" s="2724"/>
      <c r="S64" s="2724"/>
      <c r="T64" s="2724"/>
      <c r="U64" s="2724"/>
      <c r="V64" s="2724"/>
      <c r="W64" s="2724"/>
      <c r="X64" s="2724"/>
      <c r="Y64" s="2724"/>
      <c r="Z64" s="2724"/>
      <c r="AA64" s="2724"/>
      <c r="AB64" s="2724"/>
      <c r="AC64" s="2724"/>
    </row>
    <row r="65" spans="1:29" ht="15.75" thickTop="1">
      <c r="A65" s="482"/>
      <c r="B65" s="486" t="s">
        <v>1726</v>
      </c>
      <c r="C65" s="526" t="s">
        <v>1720</v>
      </c>
      <c r="D65" s="526" t="s">
        <v>1721</v>
      </c>
      <c r="E65" s="526" t="s">
        <v>1722</v>
      </c>
      <c r="F65" s="526" t="s">
        <v>1723</v>
      </c>
      <c r="G65" s="526" t="s">
        <v>1724</v>
      </c>
      <c r="H65" s="487"/>
      <c r="I65" s="487"/>
      <c r="J65" s="487"/>
      <c r="K65" s="488"/>
      <c r="L65" s="489"/>
      <c r="M65" s="490"/>
      <c r="N65" s="2751"/>
      <c r="O65" s="2751"/>
      <c r="P65" s="2760"/>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2"/>
      <c r="O66" s="2752"/>
      <c r="P66" s="2760"/>
      <c r="Q66" s="2738"/>
      <c r="R66" s="2724"/>
      <c r="S66" s="2724"/>
      <c r="T66" s="2724"/>
      <c r="U66" s="2724"/>
      <c r="V66" s="2724"/>
      <c r="W66" s="2724"/>
      <c r="X66" s="2724"/>
      <c r="Y66" s="2724"/>
      <c r="Z66" s="2724"/>
      <c r="AA66" s="2724"/>
      <c r="AB66" s="2724"/>
      <c r="AC66" s="2724"/>
    </row>
    <row r="67" spans="1:29" ht="15.75" thickTop="1">
      <c r="A67" s="482"/>
      <c r="B67" s="494" t="s">
        <v>1812</v>
      </c>
      <c r="C67" s="607" t="s">
        <v>1798</v>
      </c>
      <c r="D67" s="607" t="s">
        <v>1799</v>
      </c>
      <c r="E67" s="607" t="s">
        <v>1800</v>
      </c>
      <c r="F67" s="607" t="s">
        <v>1801</v>
      </c>
      <c r="G67" s="607" t="s">
        <v>1802</v>
      </c>
      <c r="H67" s="487"/>
      <c r="I67" s="487"/>
      <c r="J67" s="487"/>
      <c r="K67" s="487"/>
      <c r="L67" s="487"/>
      <c r="M67" s="1128"/>
      <c r="N67" s="2752"/>
      <c r="O67" s="2752"/>
      <c r="P67" s="2760"/>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2"/>
      <c r="O68" s="2752"/>
      <c r="P68" s="2760"/>
      <c r="Q68" s="2738"/>
      <c r="R68" s="2724"/>
      <c r="S68" s="2724"/>
      <c r="T68" s="2724"/>
      <c r="U68" s="2724"/>
      <c r="V68" s="2724"/>
      <c r="W68" s="2724"/>
      <c r="X68" s="2724"/>
      <c r="Y68" s="2724"/>
      <c r="Z68" s="2724"/>
      <c r="AA68" s="2724"/>
      <c r="AB68" s="2724"/>
      <c r="AC68" s="2724"/>
    </row>
    <row r="69" spans="1:29" ht="15.75" thickTop="1">
      <c r="A69" s="482"/>
      <c r="B69" s="486" t="s">
        <v>1732</v>
      </c>
      <c r="C69" s="526" t="s">
        <v>1720</v>
      </c>
      <c r="D69" s="526" t="s">
        <v>1721</v>
      </c>
      <c r="E69" s="526" t="s">
        <v>1722</v>
      </c>
      <c r="F69" s="526" t="s">
        <v>1723</v>
      </c>
      <c r="G69" s="526" t="s">
        <v>1724</v>
      </c>
      <c r="H69" s="487"/>
      <c r="I69" s="487"/>
      <c r="J69" s="487"/>
      <c r="K69" s="488"/>
      <c r="L69" s="489"/>
      <c r="M69" s="490"/>
      <c r="N69" s="2751"/>
      <c r="O69" s="2751"/>
      <c r="P69" s="2760"/>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2"/>
      <c r="O70" s="2752"/>
      <c r="P70" s="2760"/>
      <c r="Q70" s="2738"/>
      <c r="R70" s="2724"/>
      <c r="S70" s="2724"/>
      <c r="T70" s="2724"/>
      <c r="U70" s="2724"/>
      <c r="V70" s="2724"/>
      <c r="W70" s="2724"/>
      <c r="X70" s="2724"/>
      <c r="Y70" s="2724"/>
      <c r="Z70" s="2724"/>
      <c r="AA70" s="2724"/>
      <c r="AB70" s="2724"/>
      <c r="AC70" s="2724"/>
    </row>
    <row r="71" spans="1:29" ht="15.75" thickTop="1">
      <c r="A71" s="482"/>
      <c r="B71" s="486" t="s">
        <v>1851</v>
      </c>
      <c r="C71" s="502"/>
      <c r="D71" s="502"/>
      <c r="E71" s="502"/>
      <c r="F71" s="502"/>
      <c r="G71" s="502"/>
      <c r="H71" s="531"/>
      <c r="I71" s="531"/>
      <c r="J71" s="531"/>
      <c r="K71" s="532"/>
      <c r="L71" s="533"/>
      <c r="M71" s="534"/>
      <c r="N71" s="2751"/>
      <c r="O71" s="2751"/>
      <c r="P71" s="2760"/>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2"/>
      <c r="O72" s="2752"/>
      <c r="P72" s="2760"/>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0"/>
      <c r="O73" s="2750"/>
      <c r="P73" s="2760"/>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2"/>
      <c r="O74" s="2752"/>
      <c r="P74" s="2760"/>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0"/>
      <c r="O75" s="2750"/>
      <c r="P75" s="2760"/>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2"/>
      <c r="O76" s="2752"/>
      <c r="P76" s="2760"/>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3"/>
      <c r="O77" s="2753"/>
      <c r="P77" s="2761"/>
      <c r="Q77" s="2744"/>
      <c r="R77" s="2745"/>
      <c r="S77" s="2745"/>
      <c r="T77" s="2745"/>
      <c r="U77" s="2745"/>
      <c r="V77" s="2745"/>
      <c r="W77" s="2745"/>
      <c r="X77" s="2745"/>
      <c r="Y77" s="2745"/>
      <c r="Z77" s="2745"/>
      <c r="AA77" s="2745"/>
      <c r="AB77" s="2745"/>
      <c r="AC77" s="2745"/>
    </row>
    <row r="78" spans="1:29" s="421" customFormat="1" ht="15.75" thickBot="1">
      <c r="A78" s="501"/>
      <c r="B78" s="491"/>
      <c r="C78" s="508"/>
      <c r="D78" s="508"/>
      <c r="E78" s="508"/>
      <c r="F78" s="508"/>
      <c r="G78" s="484"/>
      <c r="H78" s="484"/>
      <c r="I78" s="484"/>
      <c r="J78" s="484"/>
      <c r="K78" s="484"/>
      <c r="L78" s="484"/>
      <c r="M78" s="485"/>
      <c r="N78" s="2753"/>
      <c r="O78" s="2753"/>
      <c r="P78" s="2761"/>
      <c r="Q78" s="2744"/>
      <c r="R78" s="2745"/>
      <c r="S78" s="2745"/>
      <c r="T78" s="2745"/>
      <c r="U78" s="2745"/>
      <c r="V78" s="2745"/>
      <c r="W78" s="2745"/>
      <c r="X78" s="2745"/>
      <c r="Y78" s="2745"/>
      <c r="Z78" s="2745"/>
      <c r="AA78" s="2745"/>
      <c r="AB78" s="2745"/>
      <c r="AC78" s="2745"/>
    </row>
    <row r="79" spans="1:29" ht="27.75" thickTop="1">
      <c r="A79" s="475" t="s">
        <v>1693</v>
      </c>
      <c r="B79" s="476" t="s">
        <v>1852</v>
      </c>
      <c r="C79" s="477" t="str">
        <f>C26</f>
        <v>车库</v>
      </c>
      <c r="D79" s="478"/>
      <c r="E79" s="478"/>
      <c r="F79" s="478"/>
      <c r="G79" s="478"/>
      <c r="H79" s="478"/>
      <c r="I79" s="478"/>
      <c r="J79" s="478"/>
      <c r="K79" s="479"/>
      <c r="L79" s="480"/>
      <c r="M79" s="481"/>
      <c r="N79" s="2751"/>
      <c r="O79" s="2751"/>
      <c r="P79" s="2760"/>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2"/>
      <c r="O80" s="2752"/>
      <c r="P80" s="2760"/>
      <c r="Q80" s="2738"/>
      <c r="R80" s="2724"/>
      <c r="S80" s="2724"/>
      <c r="T80" s="2724"/>
      <c r="U80" s="2724"/>
      <c r="V80" s="2724"/>
      <c r="W80" s="2724"/>
      <c r="X80" s="2724"/>
      <c r="Y80" s="2724"/>
      <c r="Z80" s="2724"/>
      <c r="AA80" s="2724"/>
      <c r="AB80" s="2724"/>
      <c r="AC80" s="2724"/>
    </row>
    <row r="81" spans="1:29" ht="15.75" thickTop="1">
      <c r="A81" s="482"/>
      <c r="B81" s="486" t="s">
        <v>1853</v>
      </c>
      <c r="C81" s="608"/>
      <c r="D81" s="608"/>
      <c r="E81" s="608"/>
      <c r="F81" s="608"/>
      <c r="G81" s="608"/>
      <c r="H81" s="608"/>
      <c r="I81" s="608"/>
      <c r="J81" s="608"/>
      <c r="K81" s="609"/>
      <c r="L81" s="610"/>
      <c r="M81" s="611"/>
      <c r="N81" s="2750"/>
      <c r="O81" s="2750"/>
      <c r="P81" s="2760"/>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2"/>
      <c r="O82" s="2752"/>
      <c r="P82" s="2761"/>
      <c r="Q82" s="2744"/>
      <c r="R82" s="2745"/>
      <c r="S82" s="2745"/>
      <c r="T82" s="2745"/>
      <c r="U82" s="2745"/>
      <c r="V82" s="2745"/>
      <c r="W82" s="2745"/>
      <c r="X82" s="2745"/>
      <c r="Y82" s="2745"/>
      <c r="Z82" s="2745"/>
      <c r="AA82" s="2745"/>
      <c r="AB82" s="2745"/>
      <c r="AC82" s="2745"/>
    </row>
    <row r="83" spans="1:29" ht="15" thickTop="1">
      <c r="A83" s="547"/>
      <c r="B83" s="486" t="s">
        <v>1739</v>
      </c>
      <c r="C83" s="502"/>
      <c r="D83" s="502"/>
      <c r="E83" s="531"/>
      <c r="F83" s="531"/>
      <c r="G83" s="531"/>
      <c r="H83" s="531"/>
      <c r="I83" s="531"/>
      <c r="J83" s="531"/>
      <c r="K83" s="532"/>
      <c r="L83" s="533"/>
      <c r="M83" s="534"/>
      <c r="N83" s="2751"/>
      <c r="O83" s="2751"/>
      <c r="P83" s="2760"/>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2"/>
      <c r="O84" s="2752"/>
      <c r="P84" s="2760"/>
      <c r="Q84" s="2738"/>
      <c r="R84" s="2724"/>
      <c r="S84" s="2724"/>
      <c r="T84" s="2724"/>
      <c r="U84" s="2724"/>
      <c r="V84" s="2724"/>
      <c r="W84" s="2724"/>
      <c r="X84" s="2724"/>
      <c r="Y84" s="2724"/>
      <c r="Z84" s="2724"/>
      <c r="AA84" s="2724"/>
      <c r="AB84" s="2724"/>
      <c r="AC84" s="2724"/>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1"/>
      <c r="O85" s="2751"/>
      <c r="P85" s="2760"/>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1"/>
      <c r="O86" s="2751"/>
      <c r="P86" s="2760"/>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2"/>
      <c r="O87" s="2752"/>
      <c r="P87" s="2760"/>
      <c r="Q87" s="2738"/>
      <c r="R87" s="2724"/>
      <c r="S87" s="2724"/>
      <c r="T87" s="2724"/>
      <c r="U87" s="2724"/>
      <c r="V87" s="2724"/>
      <c r="W87" s="2724"/>
      <c r="X87" s="2724"/>
      <c r="Y87" s="2724"/>
      <c r="Z87" s="2724"/>
      <c r="AA87" s="2724"/>
      <c r="AB87" s="2724"/>
      <c r="AC87" s="2724"/>
    </row>
    <row r="88" spans="1:29" ht="15" thickTop="1">
      <c r="A88" s="547"/>
      <c r="B88" s="494" t="s">
        <v>1855</v>
      </c>
      <c r="C88" s="478"/>
      <c r="D88" s="478"/>
      <c r="E88" s="478"/>
      <c r="F88" s="478"/>
      <c r="G88" s="478"/>
      <c r="H88" s="478"/>
      <c r="I88" s="478"/>
      <c r="J88" s="478"/>
      <c r="K88" s="479"/>
      <c r="L88" s="480"/>
      <c r="M88" s="481"/>
      <c r="N88" s="2751"/>
      <c r="O88" s="2751"/>
      <c r="P88" s="2760"/>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2"/>
      <c r="O89" s="2752"/>
      <c r="P89" s="2760"/>
      <c r="Q89" s="2738"/>
      <c r="R89" s="2724"/>
      <c r="S89" s="2724"/>
      <c r="T89" s="2724"/>
      <c r="U89" s="2724"/>
      <c r="V89" s="2724"/>
      <c r="W89" s="2724"/>
      <c r="X89" s="2724"/>
      <c r="Y89" s="2724"/>
      <c r="Z89" s="2724"/>
      <c r="AA89" s="2724"/>
      <c r="AB89" s="2724"/>
      <c r="AC89" s="2724"/>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1" customFormat="1">
      <c r="A91" s="541"/>
      <c r="B91" s="494"/>
      <c r="C91" s="543"/>
      <c r="D91" s="543"/>
      <c r="E91" s="543"/>
      <c r="F91" s="543"/>
      <c r="G91" s="543"/>
      <c r="H91" s="543"/>
      <c r="I91" s="543"/>
      <c r="J91" s="544"/>
      <c r="K91" s="544"/>
      <c r="L91" s="545"/>
      <c r="M91" s="546"/>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08"/>
      <c r="D92" s="484"/>
      <c r="E92" s="484"/>
      <c r="F92" s="484"/>
      <c r="G92" s="484"/>
      <c r="H92" s="484"/>
      <c r="I92" s="484"/>
      <c r="J92" s="484"/>
      <c r="K92" s="484"/>
      <c r="L92" s="484"/>
      <c r="M92" s="485"/>
      <c r="N92" s="2753"/>
      <c r="O92" s="2753"/>
      <c r="P92" s="2761"/>
      <c r="Q92" s="2744"/>
      <c r="R92" s="2745"/>
      <c r="S92" s="2745"/>
      <c r="T92" s="2745"/>
      <c r="U92" s="2745"/>
      <c r="V92" s="2745"/>
      <c r="W92" s="2745"/>
      <c r="X92" s="2745"/>
      <c r="Y92" s="2745"/>
      <c r="Z92" s="2745"/>
      <c r="AA92" s="2745"/>
      <c r="AB92" s="2745"/>
      <c r="AC92" s="2745"/>
    </row>
    <row r="93" spans="1:29" ht="15" thickTop="1">
      <c r="A93" s="547"/>
      <c r="B93" s="486" t="s">
        <v>1857</v>
      </c>
      <c r="C93" s="502"/>
      <c r="D93" s="502"/>
      <c r="E93" s="531"/>
      <c r="F93" s="531"/>
      <c r="G93" s="531"/>
      <c r="H93" s="531"/>
      <c r="I93" s="531"/>
      <c r="J93" s="531"/>
      <c r="K93" s="532"/>
      <c r="L93" s="533"/>
      <c r="M93" s="534"/>
      <c r="N93" s="2751"/>
      <c r="O93" s="2751"/>
      <c r="P93" s="2760"/>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2"/>
      <c r="O94" s="2752"/>
      <c r="P94" s="2760"/>
      <c r="Q94" s="2738"/>
      <c r="R94" s="2724"/>
      <c r="S94" s="2724"/>
      <c r="T94" s="2724"/>
      <c r="U94" s="2724"/>
      <c r="V94" s="2724"/>
      <c r="W94" s="2724"/>
      <c r="X94" s="2724"/>
      <c r="Y94" s="2724"/>
      <c r="Z94" s="2724"/>
      <c r="AA94" s="2724"/>
      <c r="AB94" s="2724"/>
      <c r="AC94" s="2724"/>
    </row>
    <row r="95" spans="1:29" ht="15" thickTop="1">
      <c r="A95" s="547"/>
      <c r="B95" s="486" t="s">
        <v>1858</v>
      </c>
      <c r="C95" s="478"/>
      <c r="D95" s="478"/>
      <c r="E95" s="478"/>
      <c r="F95" s="478"/>
      <c r="G95" s="478"/>
      <c r="H95" s="478"/>
      <c r="I95" s="478"/>
      <c r="J95" s="478"/>
      <c r="K95" s="479"/>
      <c r="L95" s="480"/>
      <c r="M95" s="481"/>
      <c r="N95" s="2751"/>
      <c r="O95" s="2751"/>
      <c r="P95" s="2760"/>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2"/>
      <c r="O96" s="2752"/>
      <c r="P96" s="2760"/>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2"/>
      <c r="O97" s="2752"/>
      <c r="P97" s="2765"/>
      <c r="Q97" s="2766"/>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2"/>
      <c r="O98" s="2752"/>
      <c r="P98" s="2760"/>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3"/>
      <c r="O99" s="2753"/>
      <c r="P99" s="2761"/>
      <c r="Q99" s="2744"/>
      <c r="R99" s="2745"/>
      <c r="S99" s="2745"/>
      <c r="T99" s="2745"/>
      <c r="U99" s="2745"/>
      <c r="V99" s="2745"/>
      <c r="W99" s="2745"/>
      <c r="X99" s="2745"/>
      <c r="Y99" s="2745"/>
      <c r="Z99" s="2745"/>
      <c r="AA99" s="2745"/>
      <c r="AB99" s="2745"/>
      <c r="AC99" s="2745"/>
    </row>
    <row r="100" spans="1:29" s="421" customFormat="1" ht="15.75" thickBot="1">
      <c r="A100" s="501"/>
      <c r="B100" s="483"/>
      <c r="C100" s="508"/>
      <c r="D100" s="484"/>
      <c r="E100" s="484"/>
      <c r="F100" s="484"/>
      <c r="G100" s="508"/>
      <c r="H100" s="510"/>
      <c r="I100" s="510"/>
      <c r="J100" s="510"/>
      <c r="K100" s="510"/>
      <c r="L100" s="510"/>
      <c r="M100" s="511"/>
      <c r="N100" s="2753"/>
      <c r="O100" s="2753"/>
      <c r="P100" s="2761"/>
      <c r="Q100" s="2744"/>
      <c r="R100" s="2745"/>
      <c r="S100" s="2745"/>
      <c r="T100" s="2745"/>
      <c r="U100" s="2745"/>
      <c r="V100" s="2745"/>
      <c r="W100" s="2745"/>
      <c r="X100" s="2745"/>
      <c r="Y100" s="2745"/>
      <c r="Z100" s="2745"/>
      <c r="AA100" s="2745"/>
      <c r="AB100" s="2745"/>
      <c r="AC100" s="2745"/>
    </row>
    <row r="101" spans="1:29" ht="15" thickTop="1">
      <c r="A101" s="547"/>
      <c r="B101" s="486">
        <f>B36</f>
        <v>111</v>
      </c>
      <c r="C101" s="502"/>
      <c r="D101" s="502"/>
      <c r="E101" s="502"/>
      <c r="F101" s="502"/>
      <c r="G101" s="502"/>
      <c r="H101" s="503"/>
      <c r="I101" s="503"/>
      <c r="J101" s="503"/>
      <c r="K101" s="503"/>
      <c r="L101" s="504"/>
      <c r="M101" s="505"/>
      <c r="N101" s="2751"/>
      <c r="O101" s="2751"/>
      <c r="P101" s="2760"/>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2"/>
      <c r="O102" s="2752"/>
      <c r="P102" s="2760"/>
      <c r="Q102" s="2738"/>
      <c r="R102" s="2724"/>
      <c r="S102" s="2724"/>
      <c r="T102" s="2724"/>
      <c r="U102" s="2724"/>
      <c r="V102" s="2724"/>
      <c r="W102" s="2724"/>
      <c r="X102" s="2724"/>
      <c r="Y102" s="2724"/>
      <c r="Z102" s="2724"/>
      <c r="AA102" s="2724"/>
      <c r="AB102" s="2724"/>
      <c r="AC102" s="2724"/>
    </row>
    <row r="103" spans="1:29" ht="15" thickTop="1">
      <c r="N103" s="2724"/>
      <c r="O103" s="2724"/>
      <c r="P103" s="2754"/>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3339</v>
      </c>
      <c r="C1" s="1223" t="s">
        <v>1661</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1768</v>
      </c>
      <c r="B4" s="355"/>
      <c r="C4" s="3764" t="s">
        <v>1769</v>
      </c>
      <c r="D4" s="3765"/>
      <c r="E4" s="3766" t="s">
        <v>1770</v>
      </c>
      <c r="F4" s="3767"/>
      <c r="G4" s="3764" t="s">
        <v>1771</v>
      </c>
      <c r="H4" s="3765"/>
      <c r="I4" s="3764" t="s">
        <v>1772</v>
      </c>
      <c r="J4" s="3765"/>
      <c r="K4" s="558" t="s">
        <v>1773</v>
      </c>
      <c r="L4" s="2714"/>
      <c r="M4" s="2715"/>
      <c r="N4" s="2715"/>
      <c r="O4" s="2715"/>
      <c r="P4" s="3768" t="s">
        <v>1774</v>
      </c>
      <c r="Q4" s="3769"/>
      <c r="R4" s="3751" t="s">
        <v>1770</v>
      </c>
      <c r="S4" s="3752"/>
      <c r="T4" s="3751" t="s">
        <v>1771</v>
      </c>
      <c r="U4" s="3752"/>
      <c r="V4" s="3748" t="s">
        <v>1772</v>
      </c>
      <c r="W4" s="3748"/>
      <c r="X4" s="1354"/>
      <c r="Y4" s="3751" t="s">
        <v>1774</v>
      </c>
      <c r="Z4" s="3752"/>
      <c r="AA4" s="3745" t="s">
        <v>1770</v>
      </c>
      <c r="AB4" s="3746" t="s">
        <v>1771</v>
      </c>
      <c r="AC4" s="3745" t="s">
        <v>1772</v>
      </c>
    </row>
    <row r="5" spans="1:29" ht="15">
      <c r="A5" s="357"/>
      <c r="B5" s="358"/>
      <c r="C5" s="3757" t="s">
        <v>1672</v>
      </c>
      <c r="D5" s="3758"/>
      <c r="E5" s="3818" t="s">
        <v>1673</v>
      </c>
      <c r="F5" s="3756"/>
      <c r="G5" s="3757" t="s">
        <v>1674</v>
      </c>
      <c r="H5" s="3758"/>
      <c r="I5" s="3757" t="s">
        <v>1675</v>
      </c>
      <c r="J5" s="3758"/>
      <c r="K5" s="558"/>
      <c r="L5" s="2714"/>
      <c r="M5" s="2715"/>
      <c r="N5" s="2715"/>
      <c r="O5" s="2715"/>
      <c r="P5" s="3770"/>
      <c r="Q5" s="3771"/>
      <c r="R5" s="3753"/>
      <c r="S5" s="3754"/>
      <c r="T5" s="3753"/>
      <c r="U5" s="3754"/>
      <c r="V5" s="3748"/>
      <c r="W5" s="3748"/>
      <c r="X5" s="1354"/>
      <c r="Y5" s="3753"/>
      <c r="Z5" s="3754"/>
      <c r="AA5" s="3746"/>
      <c r="AB5" s="3746"/>
      <c r="AC5" s="3746"/>
    </row>
    <row r="6" spans="1:29" ht="15.75" thickBot="1">
      <c r="A6" s="359"/>
      <c r="B6" s="360"/>
      <c r="C6" s="3759" t="s">
        <v>1676</v>
      </c>
      <c r="D6" s="3760"/>
      <c r="E6" s="3761" t="s">
        <v>1676</v>
      </c>
      <c r="F6" s="3762"/>
      <c r="G6" s="3759" t="s">
        <v>1676</v>
      </c>
      <c r="H6" s="3760"/>
      <c r="I6" s="3759" t="s">
        <v>1676</v>
      </c>
      <c r="J6" s="3760"/>
      <c r="K6" s="558" t="s">
        <v>1677</v>
      </c>
      <c r="L6" s="2714"/>
      <c r="M6" s="2715"/>
      <c r="N6" s="2715"/>
      <c r="O6" s="2715"/>
      <c r="P6" s="3772"/>
      <c r="Q6" s="3773"/>
      <c r="R6" s="3753"/>
      <c r="S6" s="3754"/>
      <c r="T6" s="3774"/>
      <c r="U6" s="3775"/>
      <c r="V6" s="3748"/>
      <c r="W6" s="3748"/>
      <c r="X6" s="1354"/>
      <c r="Y6" s="3774"/>
      <c r="Z6" s="3775"/>
      <c r="AA6" s="3747"/>
      <c r="AB6" s="3747"/>
      <c r="AC6" s="3747"/>
    </row>
    <row r="7" spans="1:29" s="107" customFormat="1" ht="15.75" thickBot="1">
      <c r="A7" s="361" t="s">
        <v>1678</v>
      </c>
      <c r="B7" s="362"/>
      <c r="C7" s="363">
        <f>'数据-取费表'!B2</f>
        <v>45105</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49" t="s">
        <v>1679</v>
      </c>
      <c r="Q7" s="3777"/>
      <c r="R7" s="700" t="s">
        <v>14</v>
      </c>
      <c r="S7" s="701">
        <f t="shared" ref="S7:S14" si="0">F7</f>
        <v>0</v>
      </c>
      <c r="T7" s="700" t="s">
        <v>14</v>
      </c>
      <c r="U7" s="701">
        <f t="shared" ref="U7:U14" si="1">H7</f>
        <v>0</v>
      </c>
      <c r="V7" s="700" t="s">
        <v>14</v>
      </c>
      <c r="W7" s="701">
        <f t="shared" ref="W7:W14" si="2">J7</f>
        <v>0</v>
      </c>
      <c r="X7" s="702"/>
      <c r="Y7" s="3749" t="s">
        <v>1679</v>
      </c>
      <c r="Z7" s="3750"/>
      <c r="AA7" s="703" t="e">
        <f>D7/F7</f>
        <v>#DIV/0!</v>
      </c>
      <c r="AB7" s="703" t="e">
        <f>D7/H7</f>
        <v>#DIV/0!</v>
      </c>
      <c r="AC7" s="703" t="e">
        <f>D7/J7</f>
        <v>#DIV/0!</v>
      </c>
    </row>
    <row r="8" spans="1:29" s="107"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49" t="s">
        <v>1682</v>
      </c>
      <c r="Q8" s="3750"/>
      <c r="R8" s="700" t="s">
        <v>14</v>
      </c>
      <c r="S8" s="701">
        <f t="shared" si="0"/>
        <v>100</v>
      </c>
      <c r="T8" s="700" t="s">
        <v>14</v>
      </c>
      <c r="U8" s="701">
        <f t="shared" si="1"/>
        <v>100</v>
      </c>
      <c r="V8" s="700" t="s">
        <v>14</v>
      </c>
      <c r="W8" s="701">
        <f t="shared" si="2"/>
        <v>100</v>
      </c>
      <c r="X8" s="702"/>
      <c r="Y8" s="3749" t="s">
        <v>1682</v>
      </c>
      <c r="Z8" s="3750"/>
      <c r="AA8" s="703">
        <f t="shared" ref="AA8:AA34" si="3">D8/F8</f>
        <v>1</v>
      </c>
      <c r="AB8" s="703">
        <f t="shared" ref="AB8:AB34" si="4">D8/H8</f>
        <v>1</v>
      </c>
      <c r="AC8" s="703">
        <f t="shared" ref="AC8:AC34" si="5">D8/J8</f>
        <v>1</v>
      </c>
    </row>
    <row r="9" spans="1:29" s="107" customFormat="1">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0"/>
      <c r="P9" s="3787" t="s">
        <v>1685</v>
      </c>
      <c r="Q9" s="1342" t="str">
        <f t="shared" ref="Q9:Q14" si="6">B9</f>
        <v>用途</v>
      </c>
      <c r="R9" s="700" t="s">
        <v>14</v>
      </c>
      <c r="S9" s="701">
        <f t="shared" si="0"/>
        <v>100</v>
      </c>
      <c r="T9" s="700" t="s">
        <v>14</v>
      </c>
      <c r="U9" s="701">
        <f t="shared" si="1"/>
        <v>100</v>
      </c>
      <c r="V9" s="700" t="s">
        <v>14</v>
      </c>
      <c r="W9" s="701">
        <f t="shared" si="2"/>
        <v>100</v>
      </c>
      <c r="X9" s="702"/>
      <c r="Y9" s="3718" t="s">
        <v>1686</v>
      </c>
      <c r="Z9" s="52" t="str">
        <f t="shared" ref="Z9:Z14" si="7">Q9</f>
        <v>用途</v>
      </c>
      <c r="AA9" s="703">
        <f t="shared" si="3"/>
        <v>1</v>
      </c>
      <c r="AB9" s="703">
        <f t="shared" si="4"/>
        <v>1</v>
      </c>
      <c r="AC9" s="703">
        <f t="shared" si="5"/>
        <v>1</v>
      </c>
    </row>
    <row r="10" spans="1:29" s="377" customFormat="1" ht="27">
      <c r="A10" s="373"/>
      <c r="B10" s="374" t="s">
        <v>1687</v>
      </c>
      <c r="C10" s="3432"/>
      <c r="D10" s="126">
        <v>100</v>
      </c>
      <c r="E10" s="3432"/>
      <c r="F10" s="375">
        <f>SUMIF(53:53,E10,54:54)-SUMIF(53:53,C10,54:54)+100</f>
        <v>100</v>
      </c>
      <c r="G10" s="3432"/>
      <c r="H10" s="126">
        <f>SUMIF(53:53,G10,54:54)-SUMIF(53:53,C10,54:54)+100</f>
        <v>100</v>
      </c>
      <c r="I10" s="3432"/>
      <c r="J10" s="126">
        <f>SUMIF(53:53,I10,54:54)-SUMIF(53:53,C10,54:54)+100</f>
        <v>100</v>
      </c>
      <c r="K10" s="559"/>
      <c r="L10" s="2718"/>
      <c r="M10" s="2719"/>
      <c r="N10" s="2719"/>
      <c r="O10" s="2771"/>
      <c r="P10" s="3787"/>
      <c r="Q10" s="1342"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2"/>
      <c r="P11" s="3787"/>
      <c r="Q11" s="1342">
        <f t="shared" si="6"/>
        <v>111</v>
      </c>
      <c r="R11" s="700" t="s">
        <v>14</v>
      </c>
      <c r="S11" s="701">
        <f t="shared" si="0"/>
        <v>100</v>
      </c>
      <c r="T11" s="700" t="s">
        <v>14</v>
      </c>
      <c r="U11" s="701">
        <f t="shared" si="1"/>
        <v>100</v>
      </c>
      <c r="V11" s="700" t="s">
        <v>14</v>
      </c>
      <c r="W11" s="701">
        <f t="shared" si="2"/>
        <v>100</v>
      </c>
      <c r="X11" s="702"/>
      <c r="Y11" s="3718"/>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0"/>
      <c r="P12" s="3787"/>
      <c r="Q12" s="1342">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2"/>
      <c r="P13" s="3787"/>
      <c r="Q13" s="1342">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85.5">
      <c r="A14" s="390" t="s">
        <v>1689</v>
      </c>
      <c r="B14" s="61"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2"/>
      <c r="P14" s="3780" t="s">
        <v>1690</v>
      </c>
      <c r="Q14" s="1351" t="str">
        <f t="shared" si="6"/>
        <v>交通便捷度</v>
      </c>
      <c r="R14" s="704" t="s">
        <v>14</v>
      </c>
      <c r="S14" s="705">
        <f t="shared" si="0"/>
        <v>100</v>
      </c>
      <c r="T14" s="704" t="s">
        <v>14</v>
      </c>
      <c r="U14" s="705">
        <f t="shared" si="1"/>
        <v>100</v>
      </c>
      <c r="V14" s="704" t="s">
        <v>14</v>
      </c>
      <c r="W14" s="705">
        <f t="shared" si="2"/>
        <v>100</v>
      </c>
      <c r="X14" s="1354"/>
      <c r="Y14" s="3780"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2"/>
      <c r="P15" s="3781"/>
      <c r="Q15" s="1351"/>
      <c r="R15" s="704"/>
      <c r="S15" s="705"/>
      <c r="T15" s="704"/>
      <c r="U15" s="705"/>
      <c r="V15" s="704"/>
      <c r="W15" s="705"/>
      <c r="X15" s="1354"/>
      <c r="Y15" s="3781"/>
      <c r="Z15" s="1355"/>
      <c r="AA15" s="1352">
        <v>1</v>
      </c>
      <c r="AB15" s="1352">
        <v>1</v>
      </c>
      <c r="AC15" s="1352">
        <v>1</v>
      </c>
    </row>
    <row r="16" spans="1:29" ht="42.75">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2"/>
      <c r="P16" s="3781"/>
      <c r="Q16" s="1351" t="str">
        <f>B16</f>
        <v>公共配套设施</v>
      </c>
      <c r="R16" s="704" t="s">
        <v>14</v>
      </c>
      <c r="S16" s="705">
        <f>F16</f>
        <v>100</v>
      </c>
      <c r="T16" s="704" t="s">
        <v>14</v>
      </c>
      <c r="U16" s="705">
        <f>H16</f>
        <v>100</v>
      </c>
      <c r="V16" s="704" t="s">
        <v>14</v>
      </c>
      <c r="W16" s="705">
        <f>J16</f>
        <v>100</v>
      </c>
      <c r="X16" s="1354"/>
      <c r="Y16" s="3781"/>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2"/>
      <c r="P17" s="3781"/>
      <c r="Q17" s="1351"/>
      <c r="R17" s="704"/>
      <c r="S17" s="705"/>
      <c r="T17" s="704"/>
      <c r="U17" s="705"/>
      <c r="V17" s="704"/>
      <c r="W17" s="705"/>
      <c r="X17" s="1354"/>
      <c r="Y17" s="3781"/>
      <c r="Z17" s="1355"/>
      <c r="AA17" s="1352">
        <v>1</v>
      </c>
      <c r="AB17" s="1352">
        <v>1</v>
      </c>
      <c r="AC17" s="1352">
        <v>1</v>
      </c>
    </row>
    <row r="18" spans="1:29" ht="28.5">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2"/>
      <c r="P18" s="3781"/>
      <c r="Q18" s="1351" t="str">
        <f>B18</f>
        <v>基础设施水平</v>
      </c>
      <c r="R18" s="704" t="s">
        <v>14</v>
      </c>
      <c r="S18" s="705">
        <f>F18</f>
        <v>100</v>
      </c>
      <c r="T18" s="704" t="s">
        <v>14</v>
      </c>
      <c r="U18" s="705">
        <f>H18</f>
        <v>100</v>
      </c>
      <c r="V18" s="704" t="s">
        <v>14</v>
      </c>
      <c r="W18" s="705">
        <f>J18</f>
        <v>100</v>
      </c>
      <c r="X18" s="1354"/>
      <c r="Y18" s="3781"/>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2"/>
      <c r="P19" s="3781"/>
      <c r="Q19" s="1351"/>
      <c r="R19" s="704"/>
      <c r="S19" s="705"/>
      <c r="T19" s="704"/>
      <c r="U19" s="705"/>
      <c r="V19" s="704"/>
      <c r="W19" s="705"/>
      <c r="X19" s="1354"/>
      <c r="Y19" s="3781"/>
      <c r="Z19" s="1355"/>
      <c r="AA19" s="1352">
        <v>1</v>
      </c>
      <c r="AB19" s="1352">
        <v>1</v>
      </c>
      <c r="AC19" s="1352">
        <v>1</v>
      </c>
    </row>
    <row r="20" spans="1:29" ht="57">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2"/>
      <c r="P20" s="3781"/>
      <c r="Q20" s="1351" t="str">
        <f>B20</f>
        <v>自然及人文环境</v>
      </c>
      <c r="R20" s="704" t="s">
        <v>14</v>
      </c>
      <c r="S20" s="705">
        <f>F20</f>
        <v>100</v>
      </c>
      <c r="T20" s="704" t="s">
        <v>14</v>
      </c>
      <c r="U20" s="705">
        <f>H20</f>
        <v>100</v>
      </c>
      <c r="V20" s="704" t="s">
        <v>14</v>
      </c>
      <c r="W20" s="705">
        <f>J20</f>
        <v>100</v>
      </c>
      <c r="X20" s="1354"/>
      <c r="Y20" s="3781"/>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2"/>
      <c r="P21" s="3781"/>
      <c r="Q21" s="1351"/>
      <c r="R21" s="704"/>
      <c r="S21" s="705"/>
      <c r="T21" s="704"/>
      <c r="U21" s="705"/>
      <c r="V21" s="704"/>
      <c r="W21" s="705"/>
      <c r="X21" s="1354"/>
      <c r="Y21" s="3781"/>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2"/>
      <c r="P22" s="3781"/>
      <c r="Q22" s="1351" t="str">
        <f>B22</f>
        <v>楼层</v>
      </c>
      <c r="R22" s="704" t="s">
        <v>14</v>
      </c>
      <c r="S22" s="705">
        <f>F22</f>
        <v>100</v>
      </c>
      <c r="T22" s="704" t="s">
        <v>14</v>
      </c>
      <c r="U22" s="705">
        <f>H22</f>
        <v>100</v>
      </c>
      <c r="V22" s="704" t="s">
        <v>14</v>
      </c>
      <c r="W22" s="705">
        <f>J22</f>
        <v>100</v>
      </c>
      <c r="X22" s="1354"/>
      <c r="Y22" s="3781"/>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2"/>
      <c r="P23" s="3781"/>
      <c r="Q23" s="1351">
        <f>B23</f>
        <v>111</v>
      </c>
      <c r="R23" s="704" t="s">
        <v>14</v>
      </c>
      <c r="S23" s="705">
        <f>F23</f>
        <v>100</v>
      </c>
      <c r="T23" s="704" t="s">
        <v>14</v>
      </c>
      <c r="U23" s="705">
        <f>H23</f>
        <v>100</v>
      </c>
      <c r="V23" s="704" t="s">
        <v>14</v>
      </c>
      <c r="W23" s="705">
        <f>J23</f>
        <v>100</v>
      </c>
      <c r="X23" s="1354"/>
      <c r="Y23" s="3781"/>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2"/>
      <c r="P24" s="3781"/>
      <c r="Q24" s="1351">
        <f t="shared" ref="Q24:Q34" si="11">B24</f>
        <v>111</v>
      </c>
      <c r="R24" s="704" t="s">
        <v>14</v>
      </c>
      <c r="S24" s="705">
        <f>F24</f>
        <v>100</v>
      </c>
      <c r="T24" s="704" t="s">
        <v>14</v>
      </c>
      <c r="U24" s="705">
        <f>H24</f>
        <v>100</v>
      </c>
      <c r="V24" s="704" t="s">
        <v>14</v>
      </c>
      <c r="W24" s="705">
        <f>J24</f>
        <v>100</v>
      </c>
      <c r="X24" s="1354"/>
      <c r="Y24" s="3781"/>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0"/>
      <c r="P25" s="3781"/>
      <c r="Q25" s="1342">
        <f t="shared" si="11"/>
        <v>111</v>
      </c>
      <c r="R25" s="700" t="s">
        <v>14</v>
      </c>
      <c r="S25" s="701">
        <f>F25</f>
        <v>100</v>
      </c>
      <c r="T25" s="700" t="s">
        <v>14</v>
      </c>
      <c r="U25" s="701">
        <f>H25</f>
        <v>100</v>
      </c>
      <c r="V25" s="700" t="s">
        <v>14</v>
      </c>
      <c r="W25" s="701">
        <f>J25</f>
        <v>100</v>
      </c>
      <c r="X25" s="702"/>
      <c r="Y25" s="3781"/>
      <c r="Z25" s="52">
        <f>Q25</f>
        <v>111</v>
      </c>
      <c r="AA25" s="1352">
        <f>D25/F25</f>
        <v>1</v>
      </c>
      <c r="AB25" s="1352">
        <f>D25/H25</f>
        <v>1</v>
      </c>
      <c r="AC25" s="1352">
        <f>D25/J25</f>
        <v>1</v>
      </c>
    </row>
    <row r="26" spans="1:29" ht="28.5">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2"/>
      <c r="P26" s="3834"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85"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3"/>
      <c r="P27" s="3785"/>
      <c r="Q27" s="706" t="str">
        <f t="shared" si="11"/>
        <v>成新率</v>
      </c>
      <c r="R27" s="707" t="s">
        <v>14</v>
      </c>
      <c r="S27" s="708" t="e">
        <f t="shared" si="12"/>
        <v>#N/A</v>
      </c>
      <c r="T27" s="707" t="s">
        <v>14</v>
      </c>
      <c r="U27" s="708" t="e">
        <f t="shared" si="13"/>
        <v>#N/A</v>
      </c>
      <c r="V27" s="707" t="s">
        <v>14</v>
      </c>
      <c r="W27" s="708" t="e">
        <f t="shared" si="14"/>
        <v>#N/A</v>
      </c>
      <c r="X27" s="709"/>
      <c r="Y27" s="3785"/>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2"/>
      <c r="P28" s="3785"/>
      <c r="Q28" s="1351" t="str">
        <f t="shared" si="11"/>
        <v>物业等级</v>
      </c>
      <c r="R28" s="704" t="s">
        <v>14</v>
      </c>
      <c r="S28" s="705">
        <f t="shared" si="12"/>
        <v>100</v>
      </c>
      <c r="T28" s="704" t="s">
        <v>14</v>
      </c>
      <c r="U28" s="705">
        <f t="shared" si="13"/>
        <v>100</v>
      </c>
      <c r="V28" s="704" t="s">
        <v>14</v>
      </c>
      <c r="W28" s="705">
        <f t="shared" si="14"/>
        <v>100</v>
      </c>
      <c r="X28" s="1354"/>
      <c r="Y28" s="3785"/>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2"/>
      <c r="P29" s="3785"/>
      <c r="Q29" s="1351" t="str">
        <f t="shared" si="11"/>
        <v>有无电梯</v>
      </c>
      <c r="R29" s="704" t="s">
        <v>14</v>
      </c>
      <c r="S29" s="705">
        <f t="shared" si="12"/>
        <v>100</v>
      </c>
      <c r="T29" s="704" t="s">
        <v>14</v>
      </c>
      <c r="U29" s="705">
        <f t="shared" si="13"/>
        <v>100</v>
      </c>
      <c r="V29" s="704" t="s">
        <v>14</v>
      </c>
      <c r="W29" s="705">
        <f t="shared" si="14"/>
        <v>100</v>
      </c>
      <c r="X29" s="1354"/>
      <c r="Y29" s="3785"/>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2"/>
      <c r="P30" s="3785"/>
      <c r="Q30" s="1351" t="str">
        <f t="shared" si="11"/>
        <v>建筑面积</v>
      </c>
      <c r="R30" s="704" t="s">
        <v>14</v>
      </c>
      <c r="S30" s="705" t="e">
        <f t="shared" si="12"/>
        <v>#N/A</v>
      </c>
      <c r="T30" s="704" t="s">
        <v>14</v>
      </c>
      <c r="U30" s="705" t="e">
        <f t="shared" si="13"/>
        <v>#N/A</v>
      </c>
      <c r="V30" s="704" t="s">
        <v>14</v>
      </c>
      <c r="W30" s="705" t="e">
        <f t="shared" si="14"/>
        <v>#N/A</v>
      </c>
      <c r="X30" s="1354"/>
      <c r="Y30" s="3785"/>
      <c r="Z30" s="1355" t="str">
        <f t="shared" si="15"/>
        <v>建筑面积</v>
      </c>
      <c r="AA30" s="1352" t="e">
        <f t="shared" si="3"/>
        <v>#N/A</v>
      </c>
      <c r="AB30" s="1352" t="e">
        <f t="shared" si="4"/>
        <v>#N/A</v>
      </c>
      <c r="AC30" s="1352" t="e">
        <f t="shared" si="5"/>
        <v>#N/A</v>
      </c>
    </row>
    <row r="31" spans="1:29" s="107"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0"/>
      <c r="P31" s="3785"/>
      <c r="Q31" s="1342" t="str">
        <f t="shared" si="11"/>
        <v>是否封闭</v>
      </c>
      <c r="R31" s="700" t="s">
        <v>14</v>
      </c>
      <c r="S31" s="701">
        <f t="shared" si="12"/>
        <v>100</v>
      </c>
      <c r="T31" s="700" t="s">
        <v>14</v>
      </c>
      <c r="U31" s="701">
        <f t="shared" si="13"/>
        <v>100</v>
      </c>
      <c r="V31" s="700" t="s">
        <v>14</v>
      </c>
      <c r="W31" s="701">
        <f t="shared" si="14"/>
        <v>100</v>
      </c>
      <c r="X31" s="702"/>
      <c r="Y31" s="3785"/>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2"/>
      <c r="P32" s="3785" t="s">
        <v>1695</v>
      </c>
      <c r="Q32" s="1351">
        <f t="shared" si="11"/>
        <v>111</v>
      </c>
      <c r="R32" s="704" t="s">
        <v>14</v>
      </c>
      <c r="S32" s="705">
        <f t="shared" si="12"/>
        <v>100</v>
      </c>
      <c r="T32" s="704" t="s">
        <v>14</v>
      </c>
      <c r="U32" s="705">
        <f t="shared" si="13"/>
        <v>100</v>
      </c>
      <c r="V32" s="704" t="s">
        <v>14</v>
      </c>
      <c r="W32" s="705">
        <f t="shared" si="14"/>
        <v>100</v>
      </c>
      <c r="X32" s="1354"/>
      <c r="Y32" s="3785"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2"/>
      <c r="P33" s="3785"/>
      <c r="Q33" s="1351">
        <f t="shared" si="11"/>
        <v>111</v>
      </c>
      <c r="R33" s="704" t="s">
        <v>14</v>
      </c>
      <c r="S33" s="705">
        <f t="shared" si="12"/>
        <v>100</v>
      </c>
      <c r="T33" s="704" t="s">
        <v>14</v>
      </c>
      <c r="U33" s="705">
        <f t="shared" si="13"/>
        <v>100</v>
      </c>
      <c r="V33" s="704" t="s">
        <v>14</v>
      </c>
      <c r="W33" s="705">
        <f t="shared" si="14"/>
        <v>100</v>
      </c>
      <c r="X33" s="1354"/>
      <c r="Y33" s="3785"/>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2"/>
      <c r="P34" s="3785"/>
      <c r="Q34" s="1351">
        <f t="shared" si="11"/>
        <v>111</v>
      </c>
      <c r="R34" s="704" t="s">
        <v>14</v>
      </c>
      <c r="S34" s="705">
        <f t="shared" si="12"/>
        <v>100</v>
      </c>
      <c r="T34" s="704" t="s">
        <v>14</v>
      </c>
      <c r="U34" s="705">
        <f t="shared" si="13"/>
        <v>100</v>
      </c>
      <c r="V34" s="704" t="s">
        <v>14</v>
      </c>
      <c r="W34" s="705">
        <f t="shared" si="14"/>
        <v>100</v>
      </c>
      <c r="X34" s="1354"/>
      <c r="Y34" s="3785"/>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3"/>
      <c r="M35" s="2724"/>
      <c r="N35" s="2715"/>
      <c r="O35" s="2724"/>
      <c r="P35" s="3787" t="str">
        <f>A35</f>
        <v>成交单价（元/平方米）</v>
      </c>
      <c r="Q35" s="3787"/>
      <c r="R35" s="3788">
        <f>E35</f>
        <v>0</v>
      </c>
      <c r="S35" s="3788"/>
      <c r="T35" s="3788">
        <f>G35</f>
        <v>0</v>
      </c>
      <c r="U35" s="3788"/>
      <c r="V35" s="3788">
        <f>I35</f>
        <v>0</v>
      </c>
      <c r="W35" s="3788"/>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87" t="str">
        <f>A36</f>
        <v>比较价值（元/平方米）</v>
      </c>
      <c r="Q36" s="3787"/>
      <c r="R36" s="3788" t="e">
        <f>IF(F1="售价",ROUND(PRODUCT(R35,AA7:AA34),0),ROUND(PRODUCT(R35,AA7:AA34),1))</f>
        <v>#DIV/0!</v>
      </c>
      <c r="S36" s="3788"/>
      <c r="T36" s="3788" t="e">
        <f>IF(F1="售价",ROUND(PRODUCT(T35,AB7:AB34),0),ROUND(PRODUCT(T35,AB7:AB34),1))</f>
        <v>#DIV/0!</v>
      </c>
      <c r="U36" s="3788"/>
      <c r="V36" s="3788" t="e">
        <f>IF(F1="售价",ROUND(PRODUCT(V35,AC7:AC34),0),ROUND(PRODUCT(V35,AC7:AC34),1))</f>
        <v>#DIV/0!</v>
      </c>
      <c r="W36" s="3788"/>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3"/>
      <c r="M37" s="2724"/>
      <c r="N37" s="2724"/>
      <c r="O37" s="2724"/>
      <c r="P37" s="3789" t="str">
        <f>A37</f>
        <v>估价对象XX用房的比较价值（楼面单价，元/平方米）</v>
      </c>
      <c r="Q37" s="3790"/>
      <c r="R37" s="3835" t="e">
        <f>IF(F1="售价",ROUND(IF(D36="简单平均",AVERAGE(R36:W36),R36*F36+T36*H36+V36*J36),0),ROUND(IF(D36="简单平均",AVERAGE(R36:V36),R36*F36+T36*H36+V36*J36),1))</f>
        <v>#DIV/0!</v>
      </c>
      <c r="S37" s="3835"/>
      <c r="T37" s="3835"/>
      <c r="U37" s="3835"/>
      <c r="V37" s="3835"/>
      <c r="W37" s="38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1797</v>
      </c>
      <c r="B45" s="689"/>
      <c r="C45" s="694"/>
      <c r="D45" s="694"/>
      <c r="E45" s="694"/>
      <c r="F45" s="695"/>
      <c r="G45" s="695"/>
      <c r="H45" s="694"/>
      <c r="I45" s="694"/>
      <c r="J45" s="694"/>
      <c r="K45" s="696"/>
      <c r="L45" s="697"/>
      <c r="M45" s="694"/>
      <c r="N45" s="2767"/>
      <c r="O45" s="2767"/>
      <c r="P45" s="2767"/>
      <c r="Q45" s="2738"/>
      <c r="R45" s="2724"/>
      <c r="S45" s="2724"/>
      <c r="T45" s="2724"/>
      <c r="U45" s="2724"/>
      <c r="V45" s="2724"/>
      <c r="W45" s="2724"/>
      <c r="X45" s="2724"/>
      <c r="Y45" s="2724"/>
      <c r="Z45" s="2724"/>
      <c r="AA45" s="2724"/>
      <c r="AB45" s="2724"/>
      <c r="AC45" s="2724"/>
      <c r="AD45" s="2724"/>
    </row>
    <row r="46" spans="1:30" s="456" customFormat="1" ht="15">
      <c r="A46" s="453" t="s">
        <v>1678</v>
      </c>
      <c r="B46" s="454"/>
      <c r="C46" s="1183" t="str">
        <f>YEAR(C7)&amp;"-"&amp;MONTH(C7)</f>
        <v>2023-6</v>
      </c>
      <c r="D46" s="1184">
        <f>EDATE(C46,-1)</f>
        <v>45047</v>
      </c>
      <c r="E46" s="1184">
        <f t="shared" ref="E46:O46" si="16">EDATE(D46,-1)</f>
        <v>45017</v>
      </c>
      <c r="F46" s="1184">
        <f t="shared" si="16"/>
        <v>44986</v>
      </c>
      <c r="G46" s="1184">
        <f t="shared" si="16"/>
        <v>44958</v>
      </c>
      <c r="H46" s="1184">
        <f t="shared" si="16"/>
        <v>44927</v>
      </c>
      <c r="I46" s="1184">
        <f t="shared" si="16"/>
        <v>44896</v>
      </c>
      <c r="J46" s="1184">
        <f t="shared" si="16"/>
        <v>44866</v>
      </c>
      <c r="K46" s="1184">
        <f t="shared" si="16"/>
        <v>44835</v>
      </c>
      <c r="L46" s="1184">
        <f t="shared" si="16"/>
        <v>44805</v>
      </c>
      <c r="M46" s="1184">
        <f t="shared" si="16"/>
        <v>44774</v>
      </c>
      <c r="N46" s="1184">
        <f t="shared" si="16"/>
        <v>44743</v>
      </c>
      <c r="O46" s="1184">
        <f t="shared" si="16"/>
        <v>44713</v>
      </c>
      <c r="P46" s="2774"/>
      <c r="Q46" s="2739"/>
      <c r="R46" s="2739"/>
      <c r="S46" s="2739"/>
      <c r="T46" s="2739"/>
      <c r="U46" s="2739"/>
      <c r="V46" s="2739"/>
      <c r="W46" s="2739"/>
      <c r="X46" s="2739"/>
      <c r="Y46" s="2739"/>
      <c r="Z46" s="2739"/>
      <c r="AA46" s="2739"/>
      <c r="AB46" s="2739"/>
      <c r="AC46" s="2739"/>
      <c r="AD46" s="2739"/>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1715</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1680</v>
      </c>
      <c r="B49" s="458"/>
      <c r="C49" s="470" t="s">
        <v>1775</v>
      </c>
      <c r="D49" s="471"/>
      <c r="E49" s="471"/>
      <c r="F49" s="471"/>
      <c r="G49" s="471"/>
      <c r="H49" s="471"/>
      <c r="I49" s="471"/>
      <c r="J49" s="471"/>
      <c r="K49" s="471"/>
      <c r="L49" s="472"/>
      <c r="M49" s="473"/>
      <c r="N49" s="2750"/>
      <c r="O49" s="2750"/>
      <c r="P49" s="2775"/>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0"/>
      <c r="O50" s="2750"/>
      <c r="P50" s="2738"/>
      <c r="Q50" s="2738"/>
      <c r="R50" s="2660"/>
      <c r="S50" s="2660"/>
      <c r="T50" s="2660"/>
      <c r="U50" s="2660"/>
      <c r="V50" s="2660"/>
      <c r="W50" s="2660"/>
      <c r="X50" s="2660"/>
      <c r="Y50" s="2660"/>
      <c r="Z50" s="2660"/>
      <c r="AA50" s="2660"/>
      <c r="AB50" s="2660"/>
      <c r="AC50" s="2660"/>
      <c r="AD50" s="2660"/>
    </row>
    <row r="51" spans="1:30">
      <c r="A51" s="475" t="s">
        <v>1718</v>
      </c>
      <c r="B51" s="476" t="s">
        <v>1684</v>
      </c>
      <c r="C51" s="477">
        <f>C9</f>
        <v>0</v>
      </c>
      <c r="D51" s="478"/>
      <c r="E51" s="478"/>
      <c r="F51" s="478"/>
      <c r="G51" s="478"/>
      <c r="H51" s="478"/>
      <c r="I51" s="478"/>
      <c r="J51" s="478"/>
      <c r="K51" s="479"/>
      <c r="L51" s="480"/>
      <c r="M51" s="481"/>
      <c r="N51" s="2751"/>
      <c r="O51" s="2751"/>
      <c r="P51" s="2776"/>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2"/>
      <c r="O52" s="2752"/>
      <c r="P52" s="2776"/>
      <c r="Q52" s="2738"/>
      <c r="R52" s="2724"/>
      <c r="S52" s="2724"/>
      <c r="T52" s="2724"/>
      <c r="U52" s="2724"/>
      <c r="V52" s="2724"/>
      <c r="W52" s="2724"/>
      <c r="X52" s="2724"/>
      <c r="Y52" s="2724"/>
      <c r="Z52" s="2724"/>
      <c r="AA52" s="2724"/>
      <c r="AB52" s="2724"/>
      <c r="AC52" s="2724"/>
      <c r="AD52" s="2724"/>
    </row>
    <row r="53" spans="1:30" ht="27.75" thickTop="1">
      <c r="A53" s="482"/>
      <c r="B53" s="486" t="s">
        <v>1687</v>
      </c>
      <c r="C53" s="531"/>
      <c r="D53" s="531"/>
      <c r="E53" s="531"/>
      <c r="F53" s="531"/>
      <c r="G53" s="531"/>
      <c r="H53" s="531"/>
      <c r="I53" s="531"/>
      <c r="J53" s="531"/>
      <c r="K53" s="532"/>
      <c r="L53" s="533"/>
      <c r="M53" s="534"/>
      <c r="N53" s="2751"/>
      <c r="O53" s="2751"/>
      <c r="P53" s="2776"/>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2"/>
      <c r="O54" s="2752"/>
      <c r="P54" s="2776"/>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1"/>
      <c r="O55" s="2751"/>
      <c r="P55" s="2776"/>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2"/>
      <c r="O56" s="2752"/>
      <c r="P56" s="2776"/>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3"/>
      <c r="O57" s="2753"/>
      <c r="P57" s="2777"/>
      <c r="Q57" s="2744"/>
      <c r="R57" s="2745"/>
      <c r="S57" s="2745"/>
      <c r="T57" s="2745"/>
      <c r="U57" s="2745"/>
      <c r="V57" s="2745"/>
      <c r="W57" s="2745"/>
      <c r="X57" s="2745"/>
      <c r="Y57" s="2745"/>
      <c r="Z57" s="2745"/>
      <c r="AA57" s="2745"/>
      <c r="AB57" s="2745"/>
      <c r="AC57" s="2745"/>
      <c r="AD57" s="2745"/>
    </row>
    <row r="58" spans="1:30" s="421" customFormat="1" ht="15.75" thickBot="1">
      <c r="A58" s="501"/>
      <c r="B58" s="491"/>
      <c r="C58" s="508"/>
      <c r="D58" s="484"/>
      <c r="E58" s="484"/>
      <c r="F58" s="484"/>
      <c r="G58" s="484"/>
      <c r="H58" s="484"/>
      <c r="I58" s="484"/>
      <c r="J58" s="484"/>
      <c r="K58" s="484"/>
      <c r="L58" s="484"/>
      <c r="M58" s="485"/>
      <c r="N58" s="2752"/>
      <c r="O58" s="2752"/>
      <c r="P58" s="2777"/>
      <c r="Q58" s="2744"/>
      <c r="R58" s="2745"/>
      <c r="S58" s="2745"/>
      <c r="T58" s="2745"/>
      <c r="U58" s="2745"/>
      <c r="V58" s="2745"/>
      <c r="W58" s="2745"/>
      <c r="X58" s="2745"/>
      <c r="Y58" s="2745"/>
      <c r="Z58" s="2745"/>
      <c r="AA58" s="2745"/>
      <c r="AB58" s="2745"/>
      <c r="AC58" s="2745"/>
      <c r="AD58" s="2745"/>
    </row>
    <row r="59" spans="1:30" s="421" customFormat="1" ht="15.75" thickTop="1">
      <c r="A59" s="501"/>
      <c r="B59" s="486">
        <f>B13</f>
        <v>111</v>
      </c>
      <c r="C59" s="497"/>
      <c r="D59" s="497"/>
      <c r="E59" s="497"/>
      <c r="F59" s="497"/>
      <c r="G59" s="502"/>
      <c r="H59" s="503"/>
      <c r="I59" s="503"/>
      <c r="J59" s="503"/>
      <c r="K59" s="503"/>
      <c r="L59" s="504"/>
      <c r="M59" s="505"/>
      <c r="N59" s="2753"/>
      <c r="O59" s="2753"/>
      <c r="P59" s="2722"/>
      <c r="Q59" s="2747"/>
      <c r="R59" s="2745"/>
      <c r="S59" s="2745"/>
      <c r="T59" s="2745"/>
      <c r="U59" s="2745"/>
      <c r="V59" s="2745"/>
      <c r="W59" s="2745"/>
      <c r="X59" s="2745"/>
      <c r="Y59" s="2745"/>
      <c r="Z59" s="2745"/>
      <c r="AA59" s="2745"/>
      <c r="AB59" s="2745"/>
      <c r="AC59" s="2745"/>
      <c r="AD59" s="2745"/>
    </row>
    <row r="60" spans="1:30" s="421" customFormat="1" ht="15.75" thickBot="1">
      <c r="A60" s="501"/>
      <c r="B60" s="491"/>
      <c r="C60" s="508"/>
      <c r="D60" s="508"/>
      <c r="E60" s="508"/>
      <c r="F60" s="508"/>
      <c r="G60" s="508"/>
      <c r="H60" s="510"/>
      <c r="I60" s="510"/>
      <c r="J60" s="510"/>
      <c r="K60" s="510"/>
      <c r="L60" s="510"/>
      <c r="M60" s="511"/>
      <c r="N60" s="2753"/>
      <c r="O60" s="2753"/>
      <c r="P60" s="2777"/>
      <c r="Q60" s="2744"/>
      <c r="R60" s="2745"/>
      <c r="S60" s="2745"/>
      <c r="T60" s="2745"/>
      <c r="U60" s="2745"/>
      <c r="V60" s="2745"/>
      <c r="W60" s="2745"/>
      <c r="X60" s="2745"/>
      <c r="Y60" s="2745"/>
      <c r="Z60" s="2745"/>
      <c r="AA60" s="2745"/>
      <c r="AB60" s="2745"/>
      <c r="AC60" s="2745"/>
      <c r="AD60" s="2745"/>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51"/>
      <c r="O61" s="2751"/>
      <c r="P61" s="2778"/>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2"/>
      <c r="O62" s="2752"/>
      <c r="P62" s="2776"/>
      <c r="Q62" s="2738"/>
      <c r="R62" s="2724"/>
      <c r="S62" s="2724"/>
      <c r="T62" s="2724"/>
      <c r="U62" s="2724"/>
      <c r="V62" s="2724"/>
      <c r="W62" s="2724"/>
      <c r="X62" s="2724"/>
      <c r="Y62" s="2724"/>
      <c r="Z62" s="2724"/>
      <c r="AA62" s="2724"/>
      <c r="AB62" s="2724"/>
      <c r="AC62" s="2724"/>
      <c r="AD62" s="2724"/>
    </row>
    <row r="63" spans="1:30" ht="27.75" thickTop="1">
      <c r="A63" s="482"/>
      <c r="B63" s="486" t="s">
        <v>1862</v>
      </c>
      <c r="C63" s="526" t="s">
        <v>1720</v>
      </c>
      <c r="D63" s="526" t="s">
        <v>1721</v>
      </c>
      <c r="E63" s="526" t="s">
        <v>1722</v>
      </c>
      <c r="F63" s="526" t="s">
        <v>1723</v>
      </c>
      <c r="G63" s="526" t="s">
        <v>1724</v>
      </c>
      <c r="H63" s="487"/>
      <c r="I63" s="487"/>
      <c r="J63" s="487"/>
      <c r="K63" s="488"/>
      <c r="L63" s="489"/>
      <c r="M63" s="490"/>
      <c r="N63" s="2751"/>
      <c r="O63" s="2751"/>
      <c r="P63" s="2776"/>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2"/>
      <c r="O64" s="2752"/>
      <c r="P64" s="2776"/>
      <c r="Q64" s="2738"/>
      <c r="R64" s="2724"/>
      <c r="S64" s="2724"/>
      <c r="T64" s="2724"/>
      <c r="U64" s="2724"/>
      <c r="V64" s="2724"/>
      <c r="W64" s="2724"/>
      <c r="X64" s="2724"/>
      <c r="Y64" s="2724"/>
      <c r="Z64" s="2724"/>
      <c r="AA64" s="2724"/>
      <c r="AB64" s="2724"/>
      <c r="AC64" s="2724"/>
      <c r="AD64" s="2724"/>
    </row>
    <row r="65" spans="1:30" ht="15.75" thickTop="1">
      <c r="A65" s="482"/>
      <c r="B65" s="494" t="s">
        <v>1812</v>
      </c>
      <c r="C65" s="607" t="s">
        <v>1798</v>
      </c>
      <c r="D65" s="607" t="s">
        <v>1799</v>
      </c>
      <c r="E65" s="607" t="s">
        <v>1800</v>
      </c>
      <c r="F65" s="607" t="s">
        <v>1801</v>
      </c>
      <c r="G65" s="607" t="s">
        <v>1802</v>
      </c>
      <c r="H65" s="487"/>
      <c r="I65" s="487"/>
      <c r="J65" s="487"/>
      <c r="K65" s="487"/>
      <c r="L65" s="487"/>
      <c r="M65" s="1128"/>
      <c r="N65" s="2752"/>
      <c r="O65" s="2752"/>
      <c r="P65" s="2776"/>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2"/>
      <c r="O66" s="2752"/>
      <c r="P66" s="2776"/>
      <c r="Q66" s="2738"/>
      <c r="R66" s="2724"/>
      <c r="S66" s="2724"/>
      <c r="T66" s="2724"/>
      <c r="U66" s="2724"/>
      <c r="V66" s="2724"/>
      <c r="W66" s="2724"/>
      <c r="X66" s="2724"/>
      <c r="Y66" s="2724"/>
      <c r="Z66" s="2724"/>
      <c r="AA66" s="2724"/>
      <c r="AB66" s="2724"/>
      <c r="AC66" s="2724"/>
      <c r="AD66" s="2724"/>
    </row>
    <row r="67" spans="1:30" ht="15.75" thickTop="1">
      <c r="A67" s="482"/>
      <c r="B67" s="486" t="s">
        <v>1732</v>
      </c>
      <c r="C67" s="526" t="s">
        <v>1720</v>
      </c>
      <c r="D67" s="526" t="s">
        <v>1721</v>
      </c>
      <c r="E67" s="526" t="s">
        <v>1722</v>
      </c>
      <c r="F67" s="526" t="s">
        <v>1723</v>
      </c>
      <c r="G67" s="526" t="s">
        <v>1724</v>
      </c>
      <c r="H67" s="487"/>
      <c r="I67" s="487"/>
      <c r="J67" s="487"/>
      <c r="K67" s="488"/>
      <c r="L67" s="489"/>
      <c r="M67" s="490"/>
      <c r="N67" s="2751"/>
      <c r="O67" s="2751"/>
      <c r="P67" s="2776"/>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2"/>
      <c r="O68" s="2752"/>
      <c r="P68" s="2776"/>
      <c r="Q68" s="2738"/>
      <c r="R68" s="2724"/>
      <c r="S68" s="2724"/>
      <c r="T68" s="2724"/>
      <c r="U68" s="2724"/>
      <c r="V68" s="2724"/>
      <c r="W68" s="2724"/>
      <c r="X68" s="2724"/>
      <c r="Y68" s="2724"/>
      <c r="Z68" s="2724"/>
      <c r="AA68" s="2724"/>
      <c r="AB68" s="2724"/>
      <c r="AC68" s="2724"/>
      <c r="AD68" s="2724"/>
    </row>
    <row r="69" spans="1:30" ht="15.75" thickTop="1">
      <c r="A69" s="482"/>
      <c r="B69" s="486" t="s">
        <v>1851</v>
      </c>
      <c r="C69" s="502"/>
      <c r="D69" s="502"/>
      <c r="E69" s="502"/>
      <c r="F69" s="502"/>
      <c r="G69" s="502"/>
      <c r="H69" s="531"/>
      <c r="I69" s="531"/>
      <c r="J69" s="531"/>
      <c r="K69" s="532"/>
      <c r="L69" s="533"/>
      <c r="M69" s="534"/>
      <c r="N69" s="2751"/>
      <c r="O69" s="2751"/>
      <c r="P69" s="2776"/>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2"/>
      <c r="O70" s="2752"/>
      <c r="P70" s="2776"/>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0"/>
      <c r="O71" s="2750"/>
      <c r="P71" s="2776"/>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2"/>
      <c r="O72" s="2752"/>
      <c r="P72" s="2776"/>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0"/>
      <c r="O73" s="2750"/>
      <c r="P73" s="2776"/>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2"/>
      <c r="O74" s="2752"/>
      <c r="P74" s="2776"/>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3"/>
      <c r="O75" s="2753"/>
      <c r="P75" s="2777"/>
      <c r="Q75" s="2744"/>
      <c r="R75" s="2745"/>
      <c r="S75" s="2745"/>
      <c r="T75" s="2745"/>
      <c r="U75" s="2745"/>
      <c r="V75" s="2745"/>
      <c r="W75" s="2745"/>
      <c r="X75" s="2745"/>
      <c r="Y75" s="2745"/>
      <c r="Z75" s="2745"/>
      <c r="AA75" s="2745"/>
      <c r="AB75" s="2745"/>
      <c r="AC75" s="2745"/>
      <c r="AD75" s="2745"/>
    </row>
    <row r="76" spans="1:30" s="421" customFormat="1" ht="15.75" thickBot="1">
      <c r="A76" s="501"/>
      <c r="B76" s="491"/>
      <c r="C76" s="508"/>
      <c r="D76" s="508"/>
      <c r="E76" s="508"/>
      <c r="F76" s="508"/>
      <c r="G76" s="484"/>
      <c r="H76" s="484"/>
      <c r="I76" s="484"/>
      <c r="J76" s="484"/>
      <c r="K76" s="484"/>
      <c r="L76" s="484"/>
      <c r="M76" s="485"/>
      <c r="N76" s="2753"/>
      <c r="O76" s="2753"/>
      <c r="P76" s="2777"/>
      <c r="Q76" s="2744"/>
      <c r="R76" s="2745"/>
      <c r="S76" s="2745"/>
      <c r="T76" s="2745"/>
      <c r="U76" s="2745"/>
      <c r="V76" s="2745"/>
      <c r="W76" s="2745"/>
      <c r="X76" s="2745"/>
      <c r="Y76" s="2745"/>
      <c r="Z76" s="2745"/>
      <c r="AA76" s="2745"/>
      <c r="AB76" s="2745"/>
      <c r="AC76" s="2745"/>
      <c r="AD76" s="2745"/>
    </row>
    <row r="77" spans="1:30" ht="15" thickTop="1">
      <c r="A77" s="475" t="s">
        <v>1693</v>
      </c>
      <c r="B77" s="476" t="s">
        <v>1739</v>
      </c>
      <c r="C77" s="502"/>
      <c r="D77" s="502"/>
      <c r="E77" s="478"/>
      <c r="F77" s="478"/>
      <c r="G77" s="478"/>
      <c r="H77" s="478"/>
      <c r="I77" s="478"/>
      <c r="J77" s="478"/>
      <c r="K77" s="479"/>
      <c r="L77" s="480"/>
      <c r="M77" s="481"/>
      <c r="N77" s="2751"/>
      <c r="O77" s="2751"/>
      <c r="P77" s="2776"/>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2"/>
      <c r="O78" s="2752"/>
      <c r="P78" s="2776"/>
      <c r="Q78" s="2738"/>
      <c r="R78" s="2724"/>
      <c r="S78" s="2724"/>
      <c r="T78" s="2724"/>
      <c r="U78" s="2724"/>
      <c r="V78" s="2724"/>
      <c r="W78" s="2724"/>
      <c r="X78" s="2724"/>
      <c r="Y78" s="2724"/>
      <c r="Z78" s="2724"/>
      <c r="AA78" s="2724"/>
      <c r="AB78" s="2724"/>
      <c r="AC78" s="2724"/>
      <c r="AD78" s="2724"/>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0"/>
      <c r="O79" s="2750"/>
      <c r="P79" s="2776"/>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0"/>
      <c r="O80" s="2750"/>
      <c r="P80" s="2776"/>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7"/>
      <c r="B82" s="494" t="s">
        <v>1855</v>
      </c>
      <c r="C82" s="502"/>
      <c r="D82" s="502"/>
      <c r="E82" s="531"/>
      <c r="F82" s="531"/>
      <c r="G82" s="531"/>
      <c r="H82" s="531"/>
      <c r="I82" s="531"/>
      <c r="J82" s="531"/>
      <c r="K82" s="532"/>
      <c r="L82" s="533"/>
      <c r="M82" s="534"/>
      <c r="N82" s="2751"/>
      <c r="O82" s="2751"/>
      <c r="P82" s="2776"/>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2"/>
      <c r="O83" s="2752"/>
      <c r="P83" s="2776"/>
      <c r="Q83" s="2738"/>
      <c r="R83" s="2724"/>
      <c r="S83" s="2724"/>
      <c r="T83" s="2724"/>
      <c r="U83" s="2724"/>
      <c r="V83" s="2724"/>
      <c r="W83" s="2724"/>
      <c r="X83" s="2724"/>
      <c r="Y83" s="2724"/>
      <c r="Z83" s="2724"/>
      <c r="AA83" s="2724"/>
      <c r="AB83" s="2724"/>
      <c r="AC83" s="2724"/>
      <c r="AD83" s="2724"/>
    </row>
    <row r="84" spans="1:30" ht="15" thickTop="1">
      <c r="A84" s="547"/>
      <c r="B84" s="486" t="s">
        <v>1863</v>
      </c>
      <c r="C84" s="502"/>
      <c r="D84" s="502"/>
      <c r="E84" s="502"/>
      <c r="F84" s="502"/>
      <c r="G84" s="502"/>
      <c r="H84" s="502"/>
      <c r="I84" s="531"/>
      <c r="J84" s="531"/>
      <c r="K84" s="532"/>
      <c r="L84" s="533"/>
      <c r="M84" s="534"/>
      <c r="N84" s="2751"/>
      <c r="O84" s="2751"/>
      <c r="P84" s="2776"/>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2"/>
      <c r="O85" s="2752"/>
      <c r="P85" s="2776"/>
      <c r="Q85" s="2738"/>
      <c r="R85" s="2724"/>
      <c r="S85" s="2724"/>
      <c r="T85" s="2724"/>
      <c r="U85" s="2724"/>
      <c r="V85" s="2724"/>
      <c r="W85" s="2724"/>
      <c r="X85" s="2724"/>
      <c r="Y85" s="2724"/>
      <c r="Z85" s="2724"/>
      <c r="AA85" s="2724"/>
      <c r="AB85" s="2724"/>
      <c r="AC85" s="2724"/>
      <c r="AD85" s="2724"/>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1"/>
      <c r="O86" s="2751"/>
      <c r="P86" s="2776"/>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1"/>
      <c r="O87" s="2751"/>
      <c r="P87" s="2776"/>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2"/>
      <c r="O88" s="2752"/>
      <c r="P88" s="2776"/>
      <c r="Q88" s="2738"/>
      <c r="R88" s="2724"/>
      <c r="S88" s="2724"/>
      <c r="T88" s="2724"/>
      <c r="U88" s="2724"/>
      <c r="V88" s="2724"/>
      <c r="W88" s="2724"/>
      <c r="X88" s="2724"/>
      <c r="Y88" s="2724"/>
      <c r="Z88" s="2724"/>
      <c r="AA88" s="2724"/>
      <c r="AB88" s="2724"/>
      <c r="AC88" s="2724"/>
      <c r="AD88" s="2724"/>
    </row>
    <row r="89" spans="1:30" s="421" customFormat="1" ht="15" thickTop="1">
      <c r="A89" s="541"/>
      <c r="B89" s="486" t="s">
        <v>1865</v>
      </c>
      <c r="C89" s="502"/>
      <c r="D89" s="502"/>
      <c r="E89" s="502"/>
      <c r="F89" s="502"/>
      <c r="G89" s="502"/>
      <c r="H89" s="502"/>
      <c r="I89" s="502"/>
      <c r="J89" s="502"/>
      <c r="K89" s="502"/>
      <c r="L89" s="502"/>
      <c r="M89" s="529"/>
      <c r="N89" s="2753"/>
      <c r="O89" s="2753"/>
      <c r="P89" s="2777"/>
      <c r="Q89" s="2744"/>
      <c r="R89" s="2745"/>
      <c r="S89" s="2745"/>
      <c r="T89" s="2745"/>
      <c r="U89" s="2745"/>
      <c r="V89" s="2745"/>
      <c r="W89" s="2745"/>
      <c r="X89" s="2745"/>
      <c r="Y89" s="2745"/>
      <c r="Z89" s="2745"/>
      <c r="AA89" s="2745"/>
      <c r="AB89" s="2745"/>
      <c r="AC89" s="2745"/>
      <c r="AD89" s="2745"/>
    </row>
    <row r="90" spans="1:30" s="421" customFormat="1" ht="15.75" thickBot="1">
      <c r="A90" s="501"/>
      <c r="B90" s="491"/>
      <c r="C90" s="508"/>
      <c r="D90" s="484"/>
      <c r="E90" s="484"/>
      <c r="F90" s="484"/>
      <c r="G90" s="484"/>
      <c r="H90" s="484"/>
      <c r="I90" s="484"/>
      <c r="J90" s="484"/>
      <c r="K90" s="484"/>
      <c r="L90" s="484"/>
      <c r="M90" s="485"/>
      <c r="N90" s="2753"/>
      <c r="O90" s="2753"/>
      <c r="P90" s="2777"/>
      <c r="Q90" s="2744"/>
      <c r="R90" s="2745"/>
      <c r="S90" s="2745"/>
      <c r="T90" s="2745"/>
      <c r="U90" s="2745"/>
      <c r="V90" s="2745"/>
      <c r="W90" s="2745"/>
      <c r="X90" s="2745"/>
      <c r="Y90" s="2745"/>
      <c r="Z90" s="2745"/>
      <c r="AA90" s="2745"/>
      <c r="AB90" s="2745"/>
      <c r="AC90" s="2745"/>
      <c r="AD90" s="2745"/>
    </row>
    <row r="91" spans="1:30" ht="15" thickTop="1">
      <c r="A91" s="547"/>
      <c r="B91" s="486">
        <f>B32</f>
        <v>111</v>
      </c>
      <c r="C91" s="497"/>
      <c r="D91" s="497"/>
      <c r="E91" s="497"/>
      <c r="F91" s="497"/>
      <c r="G91" s="502"/>
      <c r="H91" s="503"/>
      <c r="I91" s="503"/>
      <c r="J91" s="503"/>
      <c r="K91" s="503"/>
      <c r="L91" s="504"/>
      <c r="M91" s="505"/>
      <c r="N91" s="2751"/>
      <c r="O91" s="2751"/>
      <c r="P91" s="2776"/>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2"/>
      <c r="O92" s="2752"/>
      <c r="P92" s="2776"/>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1"/>
      <c r="O93" s="2751"/>
      <c r="P93" s="2776"/>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2"/>
      <c r="O94" s="2752"/>
      <c r="P94" s="2776"/>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2"/>
      <c r="O95" s="2752"/>
      <c r="P95" s="2779"/>
      <c r="Q95" s="2766"/>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2"/>
      <c r="O96" s="2752"/>
      <c r="P96" s="2776"/>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7</v>
      </c>
    </row>
    <row r="2" spans="1:9" s="199" customFormat="1" ht="18" customHeight="1">
      <c r="A2" s="200" t="s">
        <v>1461</v>
      </c>
      <c r="B2" s="201">
        <f ca="1">IF(D2="——",C52,C52-E2)</f>
        <v>159053</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27259</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C6+C7+C8</f>
        <v>59378.57</v>
      </c>
      <c r="D5" s="210" t="s">
        <v>1468</v>
      </c>
      <c r="E5" s="211" t="s">
        <v>1469</v>
      </c>
      <c r="F5" s="211" t="s">
        <v>1470</v>
      </c>
      <c r="G5" s="212"/>
    </row>
    <row r="6" spans="1:9" s="213" customFormat="1" ht="13.5" customHeight="1">
      <c r="A6" s="777" t="s">
        <v>1471</v>
      </c>
      <c r="B6" s="214" t="s">
        <v>1472</v>
      </c>
      <c r="C6" s="215">
        <f>10000*'数据-汇总表'!F19/10000</f>
        <v>57439.57</v>
      </c>
      <c r="D6" s="216"/>
      <c r="E6" s="217"/>
      <c r="F6" s="217"/>
      <c r="G6" s="218"/>
    </row>
    <row r="7" spans="1:9" s="213" customFormat="1" ht="13.5" customHeight="1">
      <c r="A7" s="777" t="s">
        <v>1473</v>
      </c>
      <c r="B7" s="214" t="s">
        <v>1474</v>
      </c>
      <c r="C7" s="219">
        <f>ROUND(C6*F7,0)</f>
        <v>1752</v>
      </c>
      <c r="D7" s="219"/>
      <c r="E7" s="217"/>
      <c r="F7" s="220">
        <f>IF(项目基本情况!B8="出让",0,'数据-取费表'!B48+'数据-取费表'!B49)</f>
        <v>3.0499999999999999E-2</v>
      </c>
      <c r="G7" s="218"/>
    </row>
    <row r="8" spans="1:9" s="222" customFormat="1">
      <c r="A8" s="777" t="s">
        <v>1475</v>
      </c>
      <c r="B8" s="214" t="s">
        <v>1476</v>
      </c>
      <c r="C8" s="219">
        <f>IF(G8="已包含在土地购买价格中","0",IF(B1="",'数据-取费表'!B29,IF(G9="全部缴纳",C9+C10,H9)))</f>
        <v>187</v>
      </c>
      <c r="D8" s="221"/>
      <c r="E8" s="219"/>
      <c r="F8" s="220"/>
      <c r="G8" s="1855" t="s">
        <v>5197</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150</v>
      </c>
      <c r="F9" s="220"/>
      <c r="G9" s="1856" t="s">
        <v>5196</v>
      </c>
      <c r="H9" s="1136"/>
      <c r="I9" s="1857" t="s">
        <v>1478</v>
      </c>
    </row>
    <row r="10" spans="1:9" s="213" customFormat="1" ht="13.5" customHeight="1">
      <c r="A10" s="778" t="s">
        <v>356</v>
      </c>
      <c r="B10" s="223" t="s">
        <v>1479</v>
      </c>
      <c r="C10" s="224">
        <f ca="1">ROUND(D10*E10/10000,0)</f>
        <v>1109</v>
      </c>
      <c r="D10" s="844">
        <f ca="1">IF(B1="",'数据-汇总表'!E6,IF(INDIRECT("'数据-取费表'!c"&amp;$G$1)="住宅",INDIRECT("'数据-取费表'!s"&amp;$G$1),INDIRECT("'数据-取费表'!k"&amp;$G$1)+INDIRECT("'数据-取费表'!s"&amp;$G$1)))</f>
        <v>58348.11</v>
      </c>
      <c r="E10" s="224">
        <f>'数据-取费表'!B28</f>
        <v>190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58348.11</v>
      </c>
      <c r="E19" s="210">
        <f>'数据-取费表'!B31</f>
        <v>200</v>
      </c>
      <c r="F19" s="230"/>
      <c r="G19" s="1855" t="s">
        <v>5195</v>
      </c>
    </row>
    <row r="20" spans="1:7" s="213" customFormat="1" ht="13.5" customHeight="1">
      <c r="A20" s="254" t="s">
        <v>1492</v>
      </c>
      <c r="B20" s="209" t="s">
        <v>1493</v>
      </c>
      <c r="C20" s="231">
        <f>ROUND((C5+C19)*F20,0)</f>
        <v>1188</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5464</v>
      </c>
      <c r="D22" s="234">
        <f ca="1">C26</f>
        <v>8.9999999999999998E-4</v>
      </c>
      <c r="E22" s="235" t="s">
        <v>1497</v>
      </c>
      <c r="F22" s="236">
        <f ca="1">'数据-取费表'!B40</f>
        <v>3.5499999999999997E-2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5411</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53</v>
      </c>
      <c r="D25" s="237"/>
      <c r="E25" s="240"/>
      <c r="F25" s="238"/>
      <c r="G25" s="241" t="s">
        <v>1509</v>
      </c>
    </row>
    <row r="26" spans="1:7" s="213" customFormat="1">
      <c r="A26" s="779" t="s">
        <v>350</v>
      </c>
      <c r="B26" s="214" t="s">
        <v>1510</v>
      </c>
      <c r="C26" s="237">
        <f ca="1">ROUND(IF('数据-取费表'!B22&lt;=1,F21*F22*'数据-取费表'!B23/2,F21*(POWER((1+F22),'数据-取费表'!B23/2)-1)),4)</f>
        <v>8.9999999999999998E-4</v>
      </c>
      <c r="D26" s="237"/>
      <c r="E26" s="240"/>
      <c r="F26" s="238"/>
      <c r="G26" s="242"/>
    </row>
    <row r="27" spans="1:7" s="213" customFormat="1" ht="24.75">
      <c r="A27" s="254" t="s">
        <v>1511</v>
      </c>
      <c r="B27" s="243" t="s">
        <v>1512</v>
      </c>
      <c r="C27" s="244">
        <f ca="1">C28</f>
        <v>12113</v>
      </c>
      <c r="D27" s="234">
        <f ca="1">C29</f>
        <v>4.0000000000000001E-3</v>
      </c>
      <c r="E27" s="235" t="s">
        <v>1513</v>
      </c>
      <c r="F27" s="245">
        <f ca="1">IF(B1="",'数据-取费表'!Q16,INDIRECT("'数据-取费表'!q"&amp;$G$1))</f>
        <v>0.2</v>
      </c>
      <c r="G27" s="246" t="s">
        <v>1514</v>
      </c>
    </row>
    <row r="28" spans="1:7" s="213" customFormat="1" ht="13.5" customHeight="1">
      <c r="A28" s="779" t="s">
        <v>346</v>
      </c>
      <c r="B28" s="247" t="s">
        <v>1515</v>
      </c>
      <c r="C28" s="248">
        <f ca="1">ROUND((C5+C19+C20)*F27*'数据-取费表'!B21/'数据-取费表'!B20,0)</f>
        <v>12113</v>
      </c>
      <c r="D28" s="234"/>
      <c r="E28" s="235"/>
      <c r="F28" s="245"/>
      <c r="G28" s="246"/>
    </row>
    <row r="29" spans="1:7" s="213" customFormat="1" ht="13.5" customHeight="1">
      <c r="A29" s="779" t="s">
        <v>347</v>
      </c>
      <c r="B29" s="247" t="s">
        <v>1516</v>
      </c>
      <c r="C29" s="237">
        <f ca="1">ROUND(C21*F27*'数据-取费表'!B21/'数据-取费表'!B20,4)</f>
        <v>4.0000000000000001E-3</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84690</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62341</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57440</v>
      </c>
      <c r="D34" s="216"/>
      <c r="E34" s="219"/>
      <c r="F34" s="256">
        <f ca="1">IF('数据-取费表'!B24=0,1,IF(B1="",'数据-取费表'!N16,INDIRECT("'数据-取费表'!n"&amp;$G$1)))</f>
        <v>1</v>
      </c>
      <c r="G34" s="218" t="s">
        <v>1525</v>
      </c>
    </row>
    <row r="35" spans="1:7" ht="13.5" customHeight="1">
      <c r="A35" s="779" t="s">
        <v>351</v>
      </c>
      <c r="B35" s="214" t="s">
        <v>1526</v>
      </c>
      <c r="C35" s="219">
        <f ca="1">ROUND(C34*F35,0)</f>
        <v>2872</v>
      </c>
      <c r="D35" s="219"/>
      <c r="E35" s="219"/>
      <c r="F35" s="258">
        <f>'数据-取费表'!B33</f>
        <v>0.05</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1167</v>
      </c>
      <c r="D37" s="216">
        <f ca="1">D19</f>
        <v>58348.11</v>
      </c>
      <c r="E37" s="248">
        <f>'数据-取费表'!B35</f>
        <v>200</v>
      </c>
      <c r="F37" s="258"/>
      <c r="G37" s="260" t="s">
        <v>1531</v>
      </c>
    </row>
    <row r="38" spans="1:7" ht="13.5" customHeight="1">
      <c r="A38" s="779" t="s">
        <v>354</v>
      </c>
      <c r="B38" s="214" t="s">
        <v>1532</v>
      </c>
      <c r="C38" s="219">
        <f ca="1">ROUND(C34*F38,0)</f>
        <v>862</v>
      </c>
      <c r="D38" s="219"/>
      <c r="E38" s="219"/>
      <c r="F38" s="258">
        <f>'数据-取费表'!B36</f>
        <v>1.4999999999999999E-2</v>
      </c>
      <c r="G38" s="218" t="s">
        <v>1527</v>
      </c>
    </row>
    <row r="39" spans="1:7" s="213" customFormat="1" ht="13.5" customHeight="1">
      <c r="A39" s="254" t="s">
        <v>1533</v>
      </c>
      <c r="B39" s="209" t="s">
        <v>1534</v>
      </c>
      <c r="C39" s="231">
        <f ca="1">ROUND(C33*F20,0)</f>
        <v>1247</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2835</v>
      </c>
      <c r="D41" s="234">
        <f ca="1">C44</f>
        <v>8.9999999999999998E-4</v>
      </c>
      <c r="E41" s="235" t="s">
        <v>1538</v>
      </c>
      <c r="F41" s="236">
        <f ca="1">F22</f>
        <v>3.5499999999999997E-2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2779</v>
      </c>
      <c r="D42" s="237"/>
      <c r="E42" s="237"/>
      <c r="F42" s="238"/>
      <c r="G42" s="3742" t="s">
        <v>1543</v>
      </c>
    </row>
    <row r="43" spans="1:7" ht="13.5" customHeight="1">
      <c r="A43" s="779" t="s">
        <v>347</v>
      </c>
      <c r="B43" s="214" t="s">
        <v>1544</v>
      </c>
      <c r="C43" s="237">
        <f ca="1">ROUND(IF('数据-取费表'!B22&lt;=1,C39*F22*'数据-取费表'!B21/2,C39*(POWER((1+F22),'数据-取费表'!B21/2)-1)),0)</f>
        <v>56</v>
      </c>
      <c r="D43" s="237"/>
      <c r="E43" s="237"/>
      <c r="F43" s="238"/>
      <c r="G43" s="3743"/>
    </row>
    <row r="44" spans="1:7" ht="13.5" customHeight="1">
      <c r="A44" s="779" t="s">
        <v>348</v>
      </c>
      <c r="B44" s="214" t="s">
        <v>1545</v>
      </c>
      <c r="C44" s="237">
        <f ca="1">ROUND(IF('数据-取费表'!B22&lt;=1,C40*F22*'数据-取费表'!B21/2,C40*(POWER((1+F22),'数据-取费表'!B21/2)-1)),4)</f>
        <v>8.9999999999999998E-4</v>
      </c>
      <c r="D44" s="237"/>
      <c r="E44" s="237"/>
      <c r="F44" s="238"/>
      <c r="G44" s="3744"/>
    </row>
    <row r="45" spans="1:7" s="213" customFormat="1" ht="13.5" customHeight="1">
      <c r="A45" s="254" t="s">
        <v>1546</v>
      </c>
      <c r="B45" s="243" t="s">
        <v>1512</v>
      </c>
      <c r="C45" s="244">
        <f ca="1">C46</f>
        <v>12718</v>
      </c>
      <c r="D45" s="234">
        <f ca="1">C47</f>
        <v>4.0000000000000001E-3</v>
      </c>
      <c r="E45" s="235" t="s">
        <v>1538</v>
      </c>
      <c r="F45" s="245">
        <f ca="1">F27</f>
        <v>0.2</v>
      </c>
      <c r="G45" s="246" t="s">
        <v>1547</v>
      </c>
    </row>
    <row r="46" spans="1:7" s="213" customFormat="1" ht="13.5" customHeight="1">
      <c r="A46" s="779" t="s">
        <v>346</v>
      </c>
      <c r="B46" s="247" t="s">
        <v>1548</v>
      </c>
      <c r="C46" s="248">
        <f ca="1">ROUND((C33+C39)*F27,0)</f>
        <v>12718</v>
      </c>
      <c r="D46" s="262"/>
      <c r="E46" s="235"/>
      <c r="F46" s="245"/>
      <c r="G46" s="246"/>
    </row>
    <row r="47" spans="1:7" s="213" customFormat="1" ht="13.5" customHeight="1">
      <c r="A47" s="779" t="s">
        <v>347</v>
      </c>
      <c r="B47" s="247" t="s">
        <v>1549</v>
      </c>
      <c r="C47" s="237">
        <f ca="1">ROUND(C40*F27,4)</f>
        <v>4.0000000000000001E-3</v>
      </c>
      <c r="D47" s="262"/>
      <c r="E47" s="235"/>
      <c r="F47" s="245"/>
      <c r="G47" s="246"/>
    </row>
    <row r="48" spans="1:7" s="213" customFormat="1" ht="13.5" customHeight="1">
      <c r="A48" s="254" t="s">
        <v>1511</v>
      </c>
      <c r="B48" s="209" t="s">
        <v>1550</v>
      </c>
      <c r="C48" s="1326">
        <f>ROUND(F30/(1+'数据-取费表'!C42),4)</f>
        <v>5.2400000000000002E-2</v>
      </c>
      <c r="D48" s="235" t="s">
        <v>1538</v>
      </c>
      <c r="E48" s="231"/>
      <c r="F48" s="236">
        <f>F30</f>
        <v>5.5000000000000007E-2</v>
      </c>
      <c r="G48" s="233" t="s">
        <v>1551</v>
      </c>
    </row>
    <row r="49" spans="1:7" ht="16.5" customHeight="1">
      <c r="A49" s="254" t="s">
        <v>1517</v>
      </c>
      <c r="B49" s="209" t="s">
        <v>1552</v>
      </c>
      <c r="C49" s="231">
        <f ca="1">ROUND((C33+C39+C41+C45)/(1-C40-D41-D45-C48),0)</f>
        <v>85771</v>
      </c>
      <c r="D49" s="231"/>
      <c r="E49" s="231"/>
      <c r="F49" s="263"/>
      <c r="G49" s="233" t="s">
        <v>1553</v>
      </c>
    </row>
    <row r="50" spans="1:7" s="257" customFormat="1" ht="24">
      <c r="A50" s="254" t="s">
        <v>1554</v>
      </c>
      <c r="B50" s="209" t="s">
        <v>1555</v>
      </c>
      <c r="C50" s="231"/>
      <c r="D50" s="231"/>
      <c r="E50" s="231"/>
      <c r="F50" s="263">
        <f>IF('数据-取费表'!B24=0,'数据-取费表'!N16,1)</f>
        <v>0.86699999999999999</v>
      </c>
      <c r="G50" s="246" t="s">
        <v>1556</v>
      </c>
    </row>
    <row r="51" spans="1:7" ht="16.5" customHeight="1">
      <c r="A51" s="254" t="s">
        <v>1557</v>
      </c>
      <c r="B51" s="209" t="s">
        <v>1558</v>
      </c>
      <c r="C51" s="231">
        <f ca="1">ROUND(C49*F50,0)</f>
        <v>74363</v>
      </c>
      <c r="D51" s="231"/>
      <c r="E51" s="231"/>
      <c r="F51" s="263"/>
      <c r="G51" s="233" t="s">
        <v>1559</v>
      </c>
    </row>
    <row r="52" spans="1:7" s="207" customFormat="1" ht="16.5" thickBot="1">
      <c r="A52" s="264" t="s">
        <v>1560</v>
      </c>
      <c r="B52" s="265"/>
      <c r="C52" s="266">
        <f ca="1">C31+C51</f>
        <v>159053</v>
      </c>
      <c r="D52" s="265"/>
      <c r="E52" s="265"/>
      <c r="F52" s="265"/>
      <c r="G52" s="267"/>
    </row>
    <row r="55" spans="1:7" ht="15">
      <c r="B55" s="269" t="s">
        <v>1561</v>
      </c>
      <c r="C55" s="270"/>
    </row>
    <row r="56" spans="1:7">
      <c r="B56" s="272" t="s">
        <v>802</v>
      </c>
      <c r="C56" s="274">
        <f ca="1">1-C57</f>
        <v>0.53200000000000003</v>
      </c>
    </row>
    <row r="57" spans="1:7">
      <c r="B57" s="272" t="s">
        <v>803</v>
      </c>
      <c r="C57" s="273">
        <f ca="1">ROUND(C51/C52,3)</f>
        <v>0.46800000000000003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25"/>
  <sheetViews>
    <sheetView workbookViewId="0">
      <selection activeCell="D17" sqref="D17"/>
    </sheetView>
  </sheetViews>
  <sheetFormatPr defaultColWidth="8.875" defaultRowHeight="13.5"/>
  <cols>
    <col min="1" max="2" width="8.875" style="3455"/>
    <col min="3" max="3" width="7" style="3456" customWidth="1"/>
    <col min="4" max="4" width="30.875" style="3455" customWidth="1"/>
    <col min="5" max="5" width="17.625" style="3455" customWidth="1"/>
    <col min="6" max="6" width="12.125" style="3455" customWidth="1"/>
    <col min="7" max="9" width="16" style="3455" customWidth="1"/>
    <col min="10" max="16384" width="8.875" style="3455"/>
  </cols>
  <sheetData>
    <row r="2" spans="2:12" ht="16.5">
      <c r="B2" s="3476" t="s">
        <v>3487</v>
      </c>
      <c r="C2" s="3476" t="s">
        <v>3384</v>
      </c>
      <c r="D2" s="3475" t="s">
        <v>3486</v>
      </c>
      <c r="E2" s="3475" t="s">
        <v>3485</v>
      </c>
      <c r="F2" s="3475" t="s">
        <v>3484</v>
      </c>
      <c r="G2" s="3474" t="s">
        <v>3483</v>
      </c>
      <c r="H2" s="3474" t="s">
        <v>3482</v>
      </c>
      <c r="I2" s="3474" t="s">
        <v>3481</v>
      </c>
    </row>
    <row r="3" spans="2:12" ht="16.5">
      <c r="B3" s="3836" t="s">
        <v>3480</v>
      </c>
      <c r="C3" s="3460">
        <v>1</v>
      </c>
      <c r="D3" s="3459" t="s">
        <v>3479</v>
      </c>
      <c r="E3" s="3459" t="s">
        <v>3455</v>
      </c>
      <c r="F3" s="3459" t="s">
        <v>21</v>
      </c>
      <c r="G3" s="3458">
        <v>100675</v>
      </c>
      <c r="H3" s="3457">
        <v>57</v>
      </c>
      <c r="I3" s="3457">
        <v>5.66</v>
      </c>
      <c r="J3" s="3472" t="s">
        <v>21</v>
      </c>
      <c r="K3" s="3472">
        <f>SUMIF(F3:F36,J3,G3:G108)</f>
        <v>675188</v>
      </c>
      <c r="L3" s="3473">
        <f>K3/$K$7</f>
        <v>0.69326345814419355</v>
      </c>
    </row>
    <row r="4" spans="2:12" ht="16.5">
      <c r="B4" s="3836"/>
      <c r="C4" s="3460">
        <v>2</v>
      </c>
      <c r="D4" s="3459" t="s">
        <v>3478</v>
      </c>
      <c r="E4" s="3459" t="s">
        <v>3460</v>
      </c>
      <c r="F4" s="3459" t="s">
        <v>21</v>
      </c>
      <c r="G4" s="3458">
        <v>50642</v>
      </c>
      <c r="H4" s="3457">
        <v>32.92</v>
      </c>
      <c r="I4" s="3457">
        <v>6.5</v>
      </c>
      <c r="J4" s="3472" t="s">
        <v>673</v>
      </c>
      <c r="K4" s="3472">
        <f>SUMIF(F3:F36,J4,G3:G108)</f>
        <v>202010</v>
      </c>
      <c r="L4" s="3473">
        <f>K4/$K$7</f>
        <v>0.20741800976869929</v>
      </c>
    </row>
    <row r="5" spans="2:12" ht="16.5">
      <c r="B5" s="3836"/>
      <c r="C5" s="3460">
        <v>3</v>
      </c>
      <c r="D5" s="3459" t="s">
        <v>3477</v>
      </c>
      <c r="E5" s="3459" t="s">
        <v>3476</v>
      </c>
      <c r="F5" s="3459" t="s">
        <v>21</v>
      </c>
      <c r="G5" s="3458">
        <v>13327</v>
      </c>
      <c r="H5" s="3457">
        <v>12.88</v>
      </c>
      <c r="I5" s="3457">
        <v>9.67</v>
      </c>
      <c r="J5" s="3472" t="s">
        <v>3439</v>
      </c>
      <c r="K5" s="3472">
        <f>SUMIF(F3:F36,J5,G3:G108)</f>
        <v>96729</v>
      </c>
      <c r="L5" s="3473">
        <f>K5/$K$7</f>
        <v>9.9318532087107142E-2</v>
      </c>
    </row>
    <row r="6" spans="2:12" ht="16.5">
      <c r="B6" s="3836"/>
      <c r="C6" s="3460">
        <v>4</v>
      </c>
      <c r="D6" s="3459" t="s">
        <v>3475</v>
      </c>
      <c r="E6" s="3459" t="s">
        <v>3450</v>
      </c>
      <c r="F6" s="3459" t="s">
        <v>21</v>
      </c>
      <c r="G6" s="3458">
        <v>14166</v>
      </c>
      <c r="H6" s="3457">
        <v>8.08</v>
      </c>
      <c r="I6" s="3457">
        <v>5.7</v>
      </c>
      <c r="J6" s="3472" t="s">
        <v>3474</v>
      </c>
      <c r="K6" s="3472">
        <f>SUMIF(F3:F36,J6,G3:G108)</f>
        <v>0</v>
      </c>
      <c r="L6" s="3473">
        <f>K6/$K$7</f>
        <v>0</v>
      </c>
    </row>
    <row r="7" spans="2:12" ht="16.5">
      <c r="B7" s="3836"/>
      <c r="C7" s="3460">
        <v>5</v>
      </c>
      <c r="D7" s="3459" t="s">
        <v>3473</v>
      </c>
      <c r="E7" s="3459" t="s">
        <v>3450</v>
      </c>
      <c r="F7" s="3459" t="s">
        <v>21</v>
      </c>
      <c r="G7" s="3458">
        <v>18504</v>
      </c>
      <c r="H7" s="3457">
        <v>9.75</v>
      </c>
      <c r="I7" s="3457">
        <v>5.27</v>
      </c>
      <c r="J7" s="3472"/>
      <c r="K7" s="3472">
        <f>SUM(K3:K6)</f>
        <v>973927</v>
      </c>
      <c r="L7" s="3472"/>
    </row>
    <row r="8" spans="2:12" ht="16.5">
      <c r="B8" s="3836"/>
      <c r="C8" s="3460">
        <v>6</v>
      </c>
      <c r="D8" s="3459" t="s">
        <v>3472</v>
      </c>
      <c r="E8" s="3459" t="s">
        <v>3450</v>
      </c>
      <c r="F8" s="3459" t="s">
        <v>21</v>
      </c>
      <c r="G8" s="3458">
        <v>35000</v>
      </c>
      <c r="H8" s="3457">
        <v>15.46</v>
      </c>
      <c r="I8" s="3457">
        <v>4.38</v>
      </c>
      <c r="K8" s="3471"/>
    </row>
    <row r="9" spans="2:12" ht="16.5">
      <c r="B9" s="3836"/>
      <c r="C9" s="3460">
        <v>7</v>
      </c>
      <c r="D9" s="3459" t="s">
        <v>3471</v>
      </c>
      <c r="E9" s="3459" t="s">
        <v>3470</v>
      </c>
      <c r="F9" s="3459" t="s">
        <v>21</v>
      </c>
      <c r="G9" s="3458">
        <v>15168</v>
      </c>
      <c r="H9" s="3457">
        <v>5.16</v>
      </c>
      <c r="I9" s="3457">
        <v>3.4</v>
      </c>
    </row>
    <row r="10" spans="2:12" ht="16.5">
      <c r="B10" s="3836"/>
      <c r="C10" s="3460">
        <v>8</v>
      </c>
      <c r="D10" s="3459" t="s">
        <v>3469</v>
      </c>
      <c r="E10" s="3459" t="s">
        <v>3468</v>
      </c>
      <c r="F10" s="3459" t="s">
        <v>21</v>
      </c>
      <c r="G10" s="3458">
        <v>10248</v>
      </c>
      <c r="H10" s="3457">
        <v>2.52</v>
      </c>
      <c r="I10" s="3457">
        <v>2.46</v>
      </c>
    </row>
    <row r="11" spans="2:12" ht="16.5">
      <c r="B11" s="3836"/>
      <c r="C11" s="3460">
        <v>9</v>
      </c>
      <c r="D11" s="3459" t="s">
        <v>3467</v>
      </c>
      <c r="E11" s="3459" t="s">
        <v>3466</v>
      </c>
      <c r="F11" s="3459" t="s">
        <v>21</v>
      </c>
      <c r="G11" s="3458">
        <v>63998</v>
      </c>
      <c r="H11" s="3457">
        <v>32.049999999999997</v>
      </c>
      <c r="I11" s="3457">
        <v>5.01</v>
      </c>
    </row>
    <row r="12" spans="2:12" ht="16.5">
      <c r="B12" s="3836"/>
      <c r="C12" s="3460">
        <v>10</v>
      </c>
      <c r="D12" s="3459" t="s">
        <v>3465</v>
      </c>
      <c r="E12" s="3459" t="s">
        <v>3464</v>
      </c>
      <c r="F12" s="3459" t="s">
        <v>21</v>
      </c>
      <c r="G12" s="3458">
        <v>35846</v>
      </c>
      <c r="H12" s="3457">
        <v>17.34</v>
      </c>
      <c r="I12" s="3457">
        <v>4.84</v>
      </c>
    </row>
    <row r="13" spans="2:12" ht="16.5">
      <c r="B13" s="3836"/>
      <c r="C13" s="3460">
        <v>11</v>
      </c>
      <c r="D13" s="3459" t="s">
        <v>3463</v>
      </c>
      <c r="E13" s="3459" t="s">
        <v>3462</v>
      </c>
      <c r="F13" s="3459" t="s">
        <v>21</v>
      </c>
      <c r="G13" s="3458">
        <v>36572</v>
      </c>
      <c r="H13" s="3457">
        <v>29</v>
      </c>
      <c r="I13" s="3457">
        <v>7.93</v>
      </c>
    </row>
    <row r="14" spans="2:12" ht="16.5">
      <c r="B14" s="3836"/>
      <c r="C14" s="3460">
        <v>12</v>
      </c>
      <c r="D14" s="3459" t="s">
        <v>3461</v>
      </c>
      <c r="E14" s="3459" t="s">
        <v>3460</v>
      </c>
      <c r="F14" s="3459" t="s">
        <v>21</v>
      </c>
      <c r="G14" s="3458">
        <v>155000</v>
      </c>
      <c r="H14" s="3457">
        <v>58.3</v>
      </c>
      <c r="I14" s="3457">
        <v>3.76</v>
      </c>
    </row>
    <row r="15" spans="2:12" ht="16.5">
      <c r="B15" s="3836"/>
      <c r="C15" s="3460">
        <v>13</v>
      </c>
      <c r="D15" s="3459" t="s">
        <v>3459</v>
      </c>
      <c r="E15" s="3459" t="s">
        <v>3458</v>
      </c>
      <c r="F15" s="3459" t="s">
        <v>21</v>
      </c>
      <c r="G15" s="3458">
        <v>108000</v>
      </c>
      <c r="H15" s="3457">
        <v>51.87</v>
      </c>
      <c r="I15" s="3457">
        <v>4.8</v>
      </c>
    </row>
    <row r="16" spans="2:12" ht="16.5">
      <c r="B16" s="3836"/>
      <c r="C16" s="3460">
        <v>14</v>
      </c>
      <c r="D16" s="3459" t="s">
        <v>3457</v>
      </c>
      <c r="E16" s="3459" t="s">
        <v>3446</v>
      </c>
      <c r="F16" s="3459" t="s">
        <v>21</v>
      </c>
      <c r="G16" s="3458">
        <v>3400</v>
      </c>
      <c r="H16" s="3470">
        <v>1.79</v>
      </c>
      <c r="I16" s="3457">
        <v>5.26</v>
      </c>
    </row>
    <row r="17" spans="2:9" ht="16.5">
      <c r="B17" s="3836"/>
      <c r="C17" s="3460">
        <v>15</v>
      </c>
      <c r="D17" s="3459" t="s">
        <v>3456</v>
      </c>
      <c r="E17" s="3459" t="s">
        <v>3455</v>
      </c>
      <c r="F17" s="3459" t="s">
        <v>21</v>
      </c>
      <c r="G17" s="3458">
        <v>14642</v>
      </c>
      <c r="H17" s="3470">
        <v>7.5</v>
      </c>
      <c r="I17" s="3457">
        <v>5.12</v>
      </c>
    </row>
    <row r="18" spans="2:9" ht="16.5">
      <c r="B18" s="3836"/>
      <c r="C18" s="3460">
        <v>16</v>
      </c>
      <c r="D18" s="3469" t="s">
        <v>3454</v>
      </c>
      <c r="E18" s="3459" t="s">
        <v>3453</v>
      </c>
      <c r="F18" s="3459" t="s">
        <v>673</v>
      </c>
      <c r="G18" s="3468">
        <v>64000</v>
      </c>
      <c r="H18" s="3467">
        <v>27</v>
      </c>
      <c r="I18" s="3457">
        <v>4.22</v>
      </c>
    </row>
    <row r="19" spans="2:9" ht="16.5">
      <c r="B19" s="3836"/>
      <c r="C19" s="3460">
        <v>17</v>
      </c>
      <c r="D19" s="3469" t="s">
        <v>3452</v>
      </c>
      <c r="E19" s="3459" t="s">
        <v>3451</v>
      </c>
      <c r="F19" s="3459" t="s">
        <v>673</v>
      </c>
      <c r="G19" s="3468">
        <v>46439</v>
      </c>
      <c r="H19" s="3467">
        <v>21</v>
      </c>
      <c r="I19" s="3457">
        <v>4.5199999999999996</v>
      </c>
    </row>
    <row r="20" spans="2:9" s="3461" customFormat="1" ht="16.5">
      <c r="B20" s="3836"/>
      <c r="C20" s="3466">
        <v>18</v>
      </c>
      <c r="D20" s="3552" t="s">
        <v>5157</v>
      </c>
      <c r="E20" s="3465" t="s">
        <v>3450</v>
      </c>
      <c r="F20" s="3465" t="s">
        <v>673</v>
      </c>
      <c r="G20" s="3553">
        <v>9500</v>
      </c>
      <c r="H20" s="3554">
        <v>5.64</v>
      </c>
      <c r="I20" s="3462">
        <v>5.94</v>
      </c>
    </row>
    <row r="21" spans="2:9" ht="16.5">
      <c r="B21" s="3836"/>
      <c r="C21" s="3460">
        <v>19</v>
      </c>
      <c r="D21" s="3469" t="s">
        <v>3449</v>
      </c>
      <c r="E21" s="3459" t="s">
        <v>3448</v>
      </c>
      <c r="F21" s="3459" t="s">
        <v>673</v>
      </c>
      <c r="G21" s="3468">
        <v>31190</v>
      </c>
      <c r="H21" s="3467">
        <v>9.67</v>
      </c>
      <c r="I21" s="3457">
        <v>3.1</v>
      </c>
    </row>
    <row r="22" spans="2:9" s="3461" customFormat="1" ht="16.5">
      <c r="B22" s="3836"/>
      <c r="C22" s="3466">
        <v>20</v>
      </c>
      <c r="D22" s="3465" t="s">
        <v>3447</v>
      </c>
      <c r="E22" s="3465" t="s">
        <v>3446</v>
      </c>
      <c r="F22" s="3465" t="s">
        <v>673</v>
      </c>
      <c r="G22" s="3464">
        <v>50881</v>
      </c>
      <c r="H22" s="3463">
        <v>24.59</v>
      </c>
      <c r="I22" s="3462">
        <v>4.83</v>
      </c>
    </row>
    <row r="23" spans="2:9" ht="16.5">
      <c r="B23" s="3836"/>
      <c r="C23" s="3460">
        <v>21</v>
      </c>
      <c r="D23" s="3459" t="s">
        <v>3445</v>
      </c>
      <c r="E23" s="3459" t="s">
        <v>3444</v>
      </c>
      <c r="F23" s="3459" t="s">
        <v>3439</v>
      </c>
      <c r="G23" s="3458">
        <v>50068</v>
      </c>
      <c r="H23" s="3457">
        <v>16.170000000000002</v>
      </c>
      <c r="I23" s="3457">
        <v>3.2</v>
      </c>
    </row>
    <row r="24" spans="2:9" ht="16.5">
      <c r="B24" s="3836"/>
      <c r="C24" s="3460">
        <v>22</v>
      </c>
      <c r="D24" s="3459" t="s">
        <v>3443</v>
      </c>
      <c r="E24" s="3459" t="s">
        <v>3442</v>
      </c>
      <c r="F24" s="3459" t="s">
        <v>3439</v>
      </c>
      <c r="G24" s="3458">
        <v>19098</v>
      </c>
      <c r="H24" s="3457">
        <v>7.33</v>
      </c>
      <c r="I24" s="3457">
        <v>3.84</v>
      </c>
    </row>
    <row r="25" spans="2:9" ht="16.5">
      <c r="B25" s="3836"/>
      <c r="C25" s="3460">
        <v>23</v>
      </c>
      <c r="D25" s="3459" t="s">
        <v>3441</v>
      </c>
      <c r="E25" s="3459" t="s">
        <v>3440</v>
      </c>
      <c r="F25" s="3459" t="s">
        <v>3439</v>
      </c>
      <c r="G25" s="3458">
        <v>27563</v>
      </c>
      <c r="H25" s="3457">
        <v>11.9</v>
      </c>
      <c r="I25" s="3457">
        <v>4.32</v>
      </c>
    </row>
  </sheetData>
  <mergeCells count="1">
    <mergeCell ref="B3:B25"/>
  </mergeCells>
  <phoneticPr fontId="134" type="noConversion"/>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8"/>
  <sheetViews>
    <sheetView zoomScale="115" zoomScaleNormal="115" workbookViewId="0">
      <selection activeCell="H19" sqref="H19"/>
    </sheetView>
  </sheetViews>
  <sheetFormatPr defaultColWidth="9.5" defaultRowHeight="10.5"/>
  <cols>
    <col min="1" max="1" width="5.125" style="3477" customWidth="1"/>
    <col min="2" max="2" width="8.5" style="3477" customWidth="1"/>
    <col min="3" max="3" width="6.125" style="3477" customWidth="1"/>
    <col min="4" max="4" width="21.5" style="3477" customWidth="1"/>
    <col min="5" max="6" width="9.5" style="3477"/>
    <col min="7" max="7" width="7.875" style="3477" customWidth="1"/>
    <col min="8" max="8" width="9.125" style="3477" customWidth="1"/>
    <col min="9" max="9" width="14.125" style="3477" customWidth="1"/>
    <col min="10" max="10" width="20" style="3477" customWidth="1"/>
    <col min="11" max="11" width="18.625" style="3477" customWidth="1"/>
    <col min="12" max="16384" width="9.5" style="3477"/>
  </cols>
  <sheetData>
    <row r="1" spans="1:11" ht="11.25">
      <c r="A1" s="3837" t="s">
        <v>3612</v>
      </c>
      <c r="B1" s="3838"/>
      <c r="C1" s="3838"/>
      <c r="D1" s="3838"/>
      <c r="E1" s="3838"/>
      <c r="F1" s="3838"/>
      <c r="G1" s="3838"/>
      <c r="H1" s="3838"/>
    </row>
    <row r="2" spans="1:11" ht="31.5">
      <c r="A2" s="3539" t="s">
        <v>3611</v>
      </c>
      <c r="B2" s="3539" t="s">
        <v>3610</v>
      </c>
      <c r="C2" s="3539" t="s">
        <v>3609</v>
      </c>
      <c r="D2" s="3535" t="s">
        <v>3486</v>
      </c>
      <c r="E2" s="3539" t="s">
        <v>3608</v>
      </c>
      <c r="F2" s="3538" t="s">
        <v>3607</v>
      </c>
      <c r="G2" s="3538" t="s">
        <v>3606</v>
      </c>
      <c r="H2" s="3537" t="s">
        <v>3605</v>
      </c>
      <c r="I2" s="3536" t="s">
        <v>3604</v>
      </c>
      <c r="J2" s="3535" t="s">
        <v>3603</v>
      </c>
      <c r="K2" s="3535" t="s">
        <v>3602</v>
      </c>
    </row>
    <row r="3" spans="1:11">
      <c r="A3" s="3502">
        <v>1</v>
      </c>
      <c r="B3" s="3501" t="s">
        <v>3589</v>
      </c>
      <c r="C3" s="3501" t="s">
        <v>21</v>
      </c>
      <c r="D3" s="3501" t="s">
        <v>3601</v>
      </c>
      <c r="E3" s="3501" t="s">
        <v>3513</v>
      </c>
      <c r="F3" s="3526">
        <v>37.1</v>
      </c>
      <c r="G3" s="3530">
        <v>109000</v>
      </c>
      <c r="H3" s="3529">
        <v>33940</v>
      </c>
      <c r="I3" s="3497" t="s">
        <v>3493</v>
      </c>
      <c r="J3" s="3497" t="s">
        <v>3600</v>
      </c>
      <c r="K3" s="3497" t="s">
        <v>3599</v>
      </c>
    </row>
    <row r="4" spans="1:11">
      <c r="A4" s="3496">
        <v>2</v>
      </c>
      <c r="B4" s="3494" t="s">
        <v>3589</v>
      </c>
      <c r="C4" s="3494" t="s">
        <v>3</v>
      </c>
      <c r="D4" s="3494" t="s">
        <v>3598</v>
      </c>
      <c r="E4" s="3494" t="s">
        <v>3508</v>
      </c>
      <c r="F4" s="3524">
        <v>28</v>
      </c>
      <c r="G4" s="3533">
        <v>114200</v>
      </c>
      <c r="H4" s="3532">
        <v>24518</v>
      </c>
      <c r="I4" s="3490" t="s">
        <v>3493</v>
      </c>
      <c r="J4" s="3490" t="s">
        <v>3597</v>
      </c>
      <c r="K4" s="3490" t="s">
        <v>3596</v>
      </c>
    </row>
    <row r="5" spans="1:11" s="3484" customFormat="1">
      <c r="A5" s="3508">
        <v>3</v>
      </c>
      <c r="B5" s="3507" t="s">
        <v>3589</v>
      </c>
      <c r="C5" s="3507" t="s">
        <v>3488</v>
      </c>
      <c r="D5" s="3507" t="s">
        <v>3595</v>
      </c>
      <c r="E5" s="3507" t="s">
        <v>3535</v>
      </c>
      <c r="F5" s="3506">
        <v>20.48</v>
      </c>
      <c r="G5" s="3534">
        <v>37923</v>
      </c>
      <c r="H5" s="3525">
        <v>54004</v>
      </c>
      <c r="I5" s="3503" t="s">
        <v>3493</v>
      </c>
      <c r="J5" s="3503" t="s">
        <v>3594</v>
      </c>
      <c r="K5" s="3503" t="s">
        <v>3593</v>
      </c>
    </row>
    <row r="6" spans="1:11">
      <c r="A6" s="3496">
        <v>4</v>
      </c>
      <c r="B6" s="3494" t="s">
        <v>3589</v>
      </c>
      <c r="C6" s="3494" t="s">
        <v>3489</v>
      </c>
      <c r="D6" s="3495" t="s">
        <v>3592</v>
      </c>
      <c r="E6" s="3494" t="s">
        <v>3561</v>
      </c>
      <c r="F6" s="3524">
        <v>13</v>
      </c>
      <c r="G6" s="3533">
        <v>48000</v>
      </c>
      <c r="H6" s="3532">
        <v>27083</v>
      </c>
      <c r="I6" s="3490" t="s">
        <v>3503</v>
      </c>
      <c r="J6" s="3490" t="s">
        <v>3591</v>
      </c>
      <c r="K6" s="3490" t="s">
        <v>3590</v>
      </c>
    </row>
    <row r="7" spans="1:11">
      <c r="A7" s="3502">
        <v>5</v>
      </c>
      <c r="B7" s="3501" t="s">
        <v>3589</v>
      </c>
      <c r="C7" s="3501" t="s">
        <v>21</v>
      </c>
      <c r="D7" s="3501" t="s">
        <v>3588</v>
      </c>
      <c r="E7" s="3501" t="s">
        <v>3546</v>
      </c>
      <c r="F7" s="3500">
        <v>10.84</v>
      </c>
      <c r="G7" s="3530">
        <v>24252</v>
      </c>
      <c r="H7" s="3498">
        <v>44697</v>
      </c>
      <c r="I7" s="3497" t="s">
        <v>3503</v>
      </c>
      <c r="J7" s="3497" t="s">
        <v>3587</v>
      </c>
      <c r="K7" s="3497" t="s">
        <v>3586</v>
      </c>
    </row>
    <row r="8" spans="1:11">
      <c r="A8" s="3496">
        <v>6</v>
      </c>
      <c r="B8" s="3494" t="s">
        <v>3579</v>
      </c>
      <c r="C8" s="3494" t="s">
        <v>21</v>
      </c>
      <c r="D8" s="3494" t="s">
        <v>3585</v>
      </c>
      <c r="E8" s="3494" t="s">
        <v>3508</v>
      </c>
      <c r="F8" s="3511">
        <v>26.5</v>
      </c>
      <c r="G8" s="3533">
        <v>35940</v>
      </c>
      <c r="H8" s="3532">
        <v>73734</v>
      </c>
      <c r="I8" s="3490" t="s">
        <v>3493</v>
      </c>
      <c r="J8" s="3490" t="s">
        <v>3584</v>
      </c>
      <c r="K8" s="3490" t="s">
        <v>3583</v>
      </c>
    </row>
    <row r="9" spans="1:11" ht="21">
      <c r="A9" s="3502">
        <v>7</v>
      </c>
      <c r="B9" s="3501" t="s">
        <v>3579</v>
      </c>
      <c r="C9" s="3501" t="s">
        <v>21</v>
      </c>
      <c r="D9" s="3501" t="s">
        <v>3582</v>
      </c>
      <c r="E9" s="3501" t="s">
        <v>3535</v>
      </c>
      <c r="F9" s="3531">
        <v>24</v>
      </c>
      <c r="G9" s="3530">
        <v>52838</v>
      </c>
      <c r="H9" s="3529">
        <v>56777</v>
      </c>
      <c r="I9" s="3497" t="s">
        <v>3493</v>
      </c>
      <c r="J9" s="3497" t="s">
        <v>3581</v>
      </c>
      <c r="K9" s="3497" t="s">
        <v>3580</v>
      </c>
    </row>
    <row r="10" spans="1:11">
      <c r="A10" s="3496">
        <v>8</v>
      </c>
      <c r="B10" s="3494" t="s">
        <v>3579</v>
      </c>
      <c r="C10" s="3494" t="s">
        <v>3490</v>
      </c>
      <c r="D10" s="3494" t="s">
        <v>3578</v>
      </c>
      <c r="E10" s="3494" t="s">
        <v>3508</v>
      </c>
      <c r="F10" s="3493">
        <v>25.64</v>
      </c>
      <c r="G10" s="3528"/>
      <c r="H10" s="3527"/>
      <c r="I10" s="3490" t="s">
        <v>3493</v>
      </c>
      <c r="J10" s="3490" t="s">
        <v>3577</v>
      </c>
      <c r="K10" s="3490" t="s">
        <v>3576</v>
      </c>
    </row>
    <row r="11" spans="1:11">
      <c r="A11" s="3502">
        <v>9</v>
      </c>
      <c r="B11" s="3501" t="s">
        <v>3569</v>
      </c>
      <c r="C11" s="3501" t="s">
        <v>21</v>
      </c>
      <c r="D11" s="3501" t="s">
        <v>3575</v>
      </c>
      <c r="E11" s="3501" t="s">
        <v>3508</v>
      </c>
      <c r="F11" s="3526">
        <v>8.5</v>
      </c>
      <c r="G11" s="3499">
        <v>15776</v>
      </c>
      <c r="H11" s="3498">
        <v>53879</v>
      </c>
      <c r="I11" s="3497" t="s">
        <v>3493</v>
      </c>
      <c r="J11" s="3497" t="s">
        <v>3574</v>
      </c>
      <c r="K11" s="3497" t="s">
        <v>3573</v>
      </c>
    </row>
    <row r="12" spans="1:11" s="3484" customFormat="1">
      <c r="A12" s="3508">
        <v>10</v>
      </c>
      <c r="B12" s="3507" t="s">
        <v>3569</v>
      </c>
      <c r="C12" s="3507" t="s">
        <v>21</v>
      </c>
      <c r="D12" s="3507" t="s">
        <v>3572</v>
      </c>
      <c r="E12" s="3507" t="s">
        <v>3540</v>
      </c>
      <c r="F12" s="3506">
        <v>15.05</v>
      </c>
      <c r="G12" s="3505">
        <v>24205</v>
      </c>
      <c r="H12" s="3525">
        <v>62177</v>
      </c>
      <c r="I12" s="3503" t="s">
        <v>3503</v>
      </c>
      <c r="J12" s="3503" t="s">
        <v>3571</v>
      </c>
      <c r="K12" s="3503" t="s">
        <v>3570</v>
      </c>
    </row>
    <row r="13" spans="1:11">
      <c r="A13" s="3502">
        <v>11</v>
      </c>
      <c r="B13" s="3501" t="s">
        <v>3569</v>
      </c>
      <c r="C13" s="3501" t="s">
        <v>21</v>
      </c>
      <c r="D13" s="3501" t="s">
        <v>3568</v>
      </c>
      <c r="E13" s="3501" t="s">
        <v>3535</v>
      </c>
      <c r="F13" s="3500">
        <v>3.66</v>
      </c>
      <c r="G13" s="3499">
        <v>6938</v>
      </c>
      <c r="H13" s="3498">
        <v>52757</v>
      </c>
      <c r="I13" s="3497" t="s">
        <v>3493</v>
      </c>
      <c r="J13" s="3497" t="s">
        <v>3567</v>
      </c>
      <c r="K13" s="3497" t="s">
        <v>3566</v>
      </c>
    </row>
    <row r="14" spans="1:11">
      <c r="A14" s="3496">
        <v>12</v>
      </c>
      <c r="B14" s="3494" t="s">
        <v>3558</v>
      </c>
      <c r="C14" s="3494" t="s">
        <v>3489</v>
      </c>
      <c r="D14" s="3494" t="s">
        <v>3565</v>
      </c>
      <c r="E14" s="3494" t="s">
        <v>3508</v>
      </c>
      <c r="F14" s="3524">
        <v>6</v>
      </c>
      <c r="G14" s="3492">
        <v>15000</v>
      </c>
      <c r="H14" s="3491">
        <v>40000</v>
      </c>
      <c r="I14" s="3490" t="s">
        <v>3493</v>
      </c>
      <c r="J14" s="3490" t="s">
        <v>3564</v>
      </c>
      <c r="K14" s="3490" t="s">
        <v>3563</v>
      </c>
    </row>
    <row r="15" spans="1:11">
      <c r="A15" s="3502">
        <v>13</v>
      </c>
      <c r="B15" s="3501" t="s">
        <v>3558</v>
      </c>
      <c r="C15" s="3501" t="s">
        <v>21</v>
      </c>
      <c r="D15" s="3501" t="s">
        <v>3562</v>
      </c>
      <c r="E15" s="3501" t="s">
        <v>3561</v>
      </c>
      <c r="F15" s="3500">
        <v>16.739999999999998</v>
      </c>
      <c r="G15" s="3499">
        <v>28829</v>
      </c>
      <c r="H15" s="3498">
        <v>58077</v>
      </c>
      <c r="I15" s="3497" t="s">
        <v>3503</v>
      </c>
      <c r="J15" s="3497" t="s">
        <v>3560</v>
      </c>
      <c r="K15" s="3497" t="s">
        <v>3559</v>
      </c>
    </row>
    <row r="16" spans="1:11">
      <c r="A16" s="3496">
        <v>14</v>
      </c>
      <c r="B16" s="3494" t="s">
        <v>3558</v>
      </c>
      <c r="C16" s="3494" t="s">
        <v>3489</v>
      </c>
      <c r="D16" s="3494" t="s">
        <v>3557</v>
      </c>
      <c r="E16" s="3494" t="s">
        <v>3513</v>
      </c>
      <c r="F16" s="3511">
        <v>7.2</v>
      </c>
      <c r="G16" s="3492">
        <v>41900</v>
      </c>
      <c r="H16" s="3491">
        <v>17184</v>
      </c>
      <c r="I16" s="3490" t="s">
        <v>3503</v>
      </c>
      <c r="J16" s="3490" t="s">
        <v>3556</v>
      </c>
      <c r="K16" s="3490" t="s">
        <v>3555</v>
      </c>
    </row>
    <row r="17" spans="1:11">
      <c r="A17" s="3502">
        <v>15</v>
      </c>
      <c r="B17" s="3501" t="s">
        <v>3548</v>
      </c>
      <c r="C17" s="3501" t="s">
        <v>21</v>
      </c>
      <c r="D17" s="3501" t="s">
        <v>3554</v>
      </c>
      <c r="E17" s="3501" t="s">
        <v>3508</v>
      </c>
      <c r="F17" s="3500">
        <v>5.61</v>
      </c>
      <c r="G17" s="3499">
        <v>11645</v>
      </c>
      <c r="H17" s="3498">
        <v>48158</v>
      </c>
      <c r="I17" s="3497" t="s">
        <v>3503</v>
      </c>
      <c r="J17" s="3497" t="s">
        <v>3553</v>
      </c>
      <c r="K17" s="3497" t="s">
        <v>3552</v>
      </c>
    </row>
    <row r="18" spans="1:11">
      <c r="A18" s="3523">
        <v>16</v>
      </c>
      <c r="B18" s="3522" t="s">
        <v>3548</v>
      </c>
      <c r="C18" s="3522" t="s">
        <v>21</v>
      </c>
      <c r="D18" s="3522" t="s">
        <v>3551</v>
      </c>
      <c r="E18" s="3522" t="s">
        <v>3535</v>
      </c>
      <c r="F18" s="3521">
        <v>90.6</v>
      </c>
      <c r="G18" s="3520">
        <v>107627</v>
      </c>
      <c r="H18" s="3491">
        <v>84180</v>
      </c>
      <c r="I18" s="3519" t="s">
        <v>3493</v>
      </c>
      <c r="J18" s="3519" t="s">
        <v>3550</v>
      </c>
      <c r="K18" s="3519" t="s">
        <v>3549</v>
      </c>
    </row>
    <row r="19" spans="1:11" s="3512" customFormat="1">
      <c r="A19" s="3518">
        <v>17</v>
      </c>
      <c r="B19" s="3517" t="s">
        <v>3548</v>
      </c>
      <c r="C19" s="3517" t="s">
        <v>3490</v>
      </c>
      <c r="D19" s="3517" t="s">
        <v>3547</v>
      </c>
      <c r="E19" s="3517" t="s">
        <v>3546</v>
      </c>
      <c r="F19" s="3516">
        <v>40</v>
      </c>
      <c r="G19" s="3515">
        <v>100030</v>
      </c>
      <c r="H19" s="3514">
        <v>40000</v>
      </c>
      <c r="I19" s="3513" t="s">
        <v>3545</v>
      </c>
      <c r="J19" s="3513" t="s">
        <v>3544</v>
      </c>
      <c r="K19" s="3513" t="s">
        <v>3543</v>
      </c>
    </row>
    <row r="20" spans="1:11">
      <c r="A20" s="3496">
        <v>18</v>
      </c>
      <c r="B20" s="3494" t="s">
        <v>3542</v>
      </c>
      <c r="C20" s="3494" t="s">
        <v>3474</v>
      </c>
      <c r="D20" s="3494" t="s">
        <v>3541</v>
      </c>
      <c r="E20" s="3494" t="s">
        <v>3540</v>
      </c>
      <c r="F20" s="3511">
        <v>43.3</v>
      </c>
      <c r="G20" s="3492">
        <v>110996</v>
      </c>
      <c r="H20" s="3491">
        <v>55732</v>
      </c>
      <c r="I20" s="3490" t="s">
        <v>3539</v>
      </c>
      <c r="J20" s="3490" t="s">
        <v>3538</v>
      </c>
      <c r="K20" s="3490" t="s">
        <v>3537</v>
      </c>
    </row>
    <row r="21" spans="1:11">
      <c r="A21" s="3502">
        <v>19</v>
      </c>
      <c r="B21" s="3501" t="s">
        <v>3518</v>
      </c>
      <c r="C21" s="3501" t="s">
        <v>3490</v>
      </c>
      <c r="D21" s="3501" t="s">
        <v>3536</v>
      </c>
      <c r="E21" s="3501" t="s">
        <v>3535</v>
      </c>
      <c r="F21" s="3500">
        <v>16.45</v>
      </c>
      <c r="G21" s="3499">
        <v>41197</v>
      </c>
      <c r="H21" s="3498">
        <v>39930</v>
      </c>
      <c r="I21" s="3497" t="s">
        <v>3503</v>
      </c>
      <c r="J21" s="3497" t="s">
        <v>3534</v>
      </c>
      <c r="K21" s="3510" t="s">
        <v>3533</v>
      </c>
    </row>
    <row r="22" spans="1:11">
      <c r="A22" s="3496">
        <v>20</v>
      </c>
      <c r="B22" s="3494" t="s">
        <v>3518</v>
      </c>
      <c r="C22" s="3494" t="s">
        <v>21</v>
      </c>
      <c r="D22" s="3494" t="s">
        <v>3532</v>
      </c>
      <c r="E22" s="3494" t="s">
        <v>3504</v>
      </c>
      <c r="F22" s="3493">
        <v>20</v>
      </c>
      <c r="G22" s="3492">
        <v>49000</v>
      </c>
      <c r="H22" s="3491">
        <v>40816</v>
      </c>
      <c r="I22" s="3490" t="s">
        <v>3503</v>
      </c>
      <c r="J22" s="3490" t="s">
        <v>3531</v>
      </c>
      <c r="K22" s="3490" t="s">
        <v>3530</v>
      </c>
    </row>
    <row r="23" spans="1:11" ht="21">
      <c r="A23" s="3502">
        <v>21</v>
      </c>
      <c r="B23" s="3501" t="s">
        <v>3518</v>
      </c>
      <c r="C23" s="3509" t="s">
        <v>3529</v>
      </c>
      <c r="D23" s="3501" t="s">
        <v>3528</v>
      </c>
      <c r="E23" s="3501" t="s">
        <v>3524</v>
      </c>
      <c r="F23" s="3500">
        <v>6.55</v>
      </c>
      <c r="G23" s="3499">
        <v>37002</v>
      </c>
      <c r="H23" s="3498">
        <v>17702</v>
      </c>
      <c r="I23" s="3497" t="s">
        <v>3493</v>
      </c>
      <c r="J23" s="3497" t="s">
        <v>3527</v>
      </c>
      <c r="K23" s="3497" t="s">
        <v>3526</v>
      </c>
    </row>
    <row r="24" spans="1:11">
      <c r="A24" s="3496">
        <v>22</v>
      </c>
      <c r="B24" s="3494" t="s">
        <v>3518</v>
      </c>
      <c r="C24" s="3494" t="s">
        <v>21</v>
      </c>
      <c r="D24" s="3494" t="s">
        <v>3525</v>
      </c>
      <c r="E24" s="3494" t="s">
        <v>3524</v>
      </c>
      <c r="F24" s="3493">
        <v>8.67</v>
      </c>
      <c r="G24" s="3492">
        <v>38464</v>
      </c>
      <c r="H24" s="3491">
        <v>22547</v>
      </c>
      <c r="I24" s="3490" t="s">
        <v>3503</v>
      </c>
      <c r="J24" s="3490" t="s">
        <v>3523</v>
      </c>
      <c r="K24" s="3490" t="s">
        <v>3522</v>
      </c>
    </row>
    <row r="25" spans="1:11">
      <c r="A25" s="3502">
        <v>23</v>
      </c>
      <c r="B25" s="3501" t="s">
        <v>3518</v>
      </c>
      <c r="C25" s="3501" t="s">
        <v>21</v>
      </c>
      <c r="D25" s="3501" t="s">
        <v>3521</v>
      </c>
      <c r="E25" s="3501" t="s">
        <v>3468</v>
      </c>
      <c r="F25" s="3500">
        <v>8.75</v>
      </c>
      <c r="G25" s="3499">
        <v>45240</v>
      </c>
      <c r="H25" s="3498">
        <v>19343</v>
      </c>
      <c r="I25" s="3497" t="s">
        <v>3503</v>
      </c>
      <c r="J25" s="3497" t="s">
        <v>3520</v>
      </c>
      <c r="K25" s="3497" t="s">
        <v>3519</v>
      </c>
    </row>
    <row r="26" spans="1:11" s="3484" customFormat="1">
      <c r="A26" s="3508">
        <v>24</v>
      </c>
      <c r="B26" s="3507" t="s">
        <v>3518</v>
      </c>
      <c r="C26" s="3507" t="s">
        <v>21</v>
      </c>
      <c r="D26" s="3507" t="s">
        <v>3517</v>
      </c>
      <c r="E26" s="3507" t="s">
        <v>3513</v>
      </c>
      <c r="F26" s="3506">
        <v>2.97</v>
      </c>
      <c r="G26" s="3505">
        <v>3507</v>
      </c>
      <c r="H26" s="3504">
        <v>84688</v>
      </c>
      <c r="I26" s="3503" t="s">
        <v>3503</v>
      </c>
      <c r="J26" s="3503" t="s">
        <v>3516</v>
      </c>
      <c r="K26" s="3503" t="s">
        <v>3515</v>
      </c>
    </row>
    <row r="27" spans="1:11">
      <c r="A27" s="3502">
        <v>25</v>
      </c>
      <c r="B27" s="3501" t="s">
        <v>3510</v>
      </c>
      <c r="C27" s="3501" t="s">
        <v>21</v>
      </c>
      <c r="D27" s="3501" t="s">
        <v>3514</v>
      </c>
      <c r="E27" s="3501" t="s">
        <v>3513</v>
      </c>
      <c r="F27" s="3500">
        <v>16.440000000000001</v>
      </c>
      <c r="G27" s="3499">
        <v>66158</v>
      </c>
      <c r="H27" s="3498">
        <v>24847</v>
      </c>
      <c r="I27" s="3497" t="s">
        <v>3503</v>
      </c>
      <c r="J27" s="3497" t="s">
        <v>3512</v>
      </c>
      <c r="K27" s="3497" t="s">
        <v>3511</v>
      </c>
    </row>
    <row r="28" spans="1:11">
      <c r="A28" s="3496">
        <v>26</v>
      </c>
      <c r="B28" s="3494" t="s">
        <v>3510</v>
      </c>
      <c r="C28" s="3494" t="s">
        <v>21</v>
      </c>
      <c r="D28" s="3494" t="s">
        <v>3509</v>
      </c>
      <c r="E28" s="3494" t="s">
        <v>3508</v>
      </c>
      <c r="F28" s="3493">
        <v>3.08</v>
      </c>
      <c r="G28" s="3492">
        <v>11951</v>
      </c>
      <c r="H28" s="3491">
        <v>25751</v>
      </c>
      <c r="I28" s="3490" t="s">
        <v>3503</v>
      </c>
      <c r="J28" s="3490" t="s">
        <v>3507</v>
      </c>
      <c r="K28" s="3490" t="s">
        <v>3506</v>
      </c>
    </row>
    <row r="29" spans="1:11">
      <c r="A29" s="3502">
        <v>27</v>
      </c>
      <c r="B29" s="3501" t="s">
        <v>3496</v>
      </c>
      <c r="C29" s="3501" t="s">
        <v>3</v>
      </c>
      <c r="D29" s="3501" t="s">
        <v>3505</v>
      </c>
      <c r="E29" s="3501" t="s">
        <v>3504</v>
      </c>
      <c r="F29" s="3500">
        <v>1.7</v>
      </c>
      <c r="G29" s="3499">
        <v>5382</v>
      </c>
      <c r="H29" s="3498">
        <v>31587</v>
      </c>
      <c r="I29" s="3497" t="s">
        <v>3503</v>
      </c>
      <c r="J29" s="3497" t="s">
        <v>3502</v>
      </c>
      <c r="K29" s="3497" t="s">
        <v>3501</v>
      </c>
    </row>
    <row r="30" spans="1:11" ht="21">
      <c r="A30" s="3496">
        <v>28</v>
      </c>
      <c r="B30" s="3494" t="s">
        <v>3496</v>
      </c>
      <c r="C30" s="3494" t="s">
        <v>3</v>
      </c>
      <c r="D30" s="3495" t="s">
        <v>3500</v>
      </c>
      <c r="E30" s="3494" t="s">
        <v>3499</v>
      </c>
      <c r="F30" s="3493">
        <v>10.5</v>
      </c>
      <c r="G30" s="3492">
        <v>9671</v>
      </c>
      <c r="H30" s="3491">
        <v>108567</v>
      </c>
      <c r="I30" s="3490" t="s">
        <v>3493</v>
      </c>
      <c r="J30" s="3490" t="s">
        <v>3498</v>
      </c>
      <c r="K30" s="3490" t="s">
        <v>3497</v>
      </c>
    </row>
    <row r="31" spans="1:11" s="3484" customFormat="1">
      <c r="A31" s="3489">
        <v>29</v>
      </c>
      <c r="B31" s="3485" t="s">
        <v>3496</v>
      </c>
      <c r="C31" s="3485" t="s">
        <v>21</v>
      </c>
      <c r="D31" s="3485" t="s">
        <v>3495</v>
      </c>
      <c r="E31" s="3485" t="s">
        <v>3494</v>
      </c>
      <c r="F31" s="3488">
        <v>15.75</v>
      </c>
      <c r="G31" s="3487">
        <v>27765</v>
      </c>
      <c r="H31" s="3486">
        <v>56726</v>
      </c>
      <c r="I31" s="3485" t="s">
        <v>3493</v>
      </c>
      <c r="J31" s="3485" t="s">
        <v>3492</v>
      </c>
      <c r="K31" s="3485" t="s">
        <v>3491</v>
      </c>
    </row>
    <row r="32" spans="1:11">
      <c r="A32" s="3481"/>
      <c r="B32" s="3481"/>
      <c r="C32" s="3481"/>
      <c r="D32" s="3481"/>
      <c r="E32" s="3481"/>
      <c r="F32" s="3482">
        <f>SUM(F3:F31)</f>
        <v>533.08000000000004</v>
      </c>
      <c r="G32" s="3483">
        <f>SUM(G3:G31)</f>
        <v>1220436</v>
      </c>
      <c r="H32" s="3482">
        <f>F32*10000/G32</f>
        <v>4.367947192642629</v>
      </c>
      <c r="I32" s="3481"/>
      <c r="J32" s="3481"/>
      <c r="K32" s="3481"/>
    </row>
    <row r="33" spans="3:8">
      <c r="C33" s="3480" t="s">
        <v>21</v>
      </c>
      <c r="D33" s="3479">
        <v>17</v>
      </c>
      <c r="F33" s="3478"/>
      <c r="G33" s="3478"/>
      <c r="H33" s="3478"/>
    </row>
    <row r="34" spans="3:8">
      <c r="C34" s="3480" t="s">
        <v>3490</v>
      </c>
      <c r="D34" s="3479">
        <v>3</v>
      </c>
      <c r="F34" s="3478"/>
      <c r="G34" s="3478"/>
      <c r="H34" s="3478"/>
    </row>
    <row r="35" spans="3:8">
      <c r="C35" s="3480" t="s">
        <v>3489</v>
      </c>
      <c r="D35" s="3479">
        <v>3</v>
      </c>
      <c r="F35" s="3478"/>
      <c r="G35" s="3478"/>
      <c r="H35" s="3478"/>
    </row>
    <row r="36" spans="3:8">
      <c r="C36" s="3480" t="s">
        <v>3488</v>
      </c>
      <c r="D36" s="3479">
        <v>2</v>
      </c>
      <c r="F36" s="3478"/>
      <c r="G36" s="3478"/>
      <c r="H36" s="3478"/>
    </row>
    <row r="37" spans="3:8">
      <c r="C37" s="3480" t="s">
        <v>3</v>
      </c>
      <c r="D37" s="3479">
        <v>3</v>
      </c>
      <c r="F37" s="3478"/>
      <c r="G37" s="3478"/>
      <c r="H37" s="3478"/>
    </row>
    <row r="38" spans="3:8">
      <c r="C38" s="3480" t="s">
        <v>3474</v>
      </c>
      <c r="D38" s="3479">
        <v>1</v>
      </c>
      <c r="F38" s="3478"/>
      <c r="G38" s="3478"/>
      <c r="H38" s="3478"/>
    </row>
  </sheetData>
  <mergeCells count="1">
    <mergeCell ref="A1:H1"/>
  </mergeCells>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301"/>
  <sheetViews>
    <sheetView workbookViewId="0">
      <selection activeCell="F309" sqref="F309"/>
    </sheetView>
  </sheetViews>
  <sheetFormatPr defaultColWidth="8.75" defaultRowHeight="12"/>
  <cols>
    <col min="1" max="1" width="33" style="3547" customWidth="1"/>
    <col min="2" max="3" width="8.75" style="3547"/>
    <col min="4" max="4" width="11.625" style="3547" customWidth="1"/>
    <col min="5" max="5" width="8.75" style="3547"/>
    <col min="6" max="6" width="11.75" style="3547" customWidth="1"/>
    <col min="7" max="10" width="8.75" style="3547"/>
    <col min="11" max="11" width="20.875" style="3547" customWidth="1"/>
    <col min="12" max="12" width="28.5" style="3547" customWidth="1"/>
    <col min="13" max="16384" width="8.75" style="3547"/>
  </cols>
  <sheetData>
    <row r="1" spans="1:12" s="3543" customFormat="1" ht="13.5">
      <c r="A1" s="3542" t="s">
        <v>3614</v>
      </c>
      <c r="B1" s="3542" t="s">
        <v>3487</v>
      </c>
      <c r="C1" s="3542" t="s">
        <v>3615</v>
      </c>
      <c r="D1" s="3542" t="s">
        <v>3616</v>
      </c>
      <c r="E1" s="3542" t="s">
        <v>3484</v>
      </c>
      <c r="F1" s="3542" t="s">
        <v>3617</v>
      </c>
      <c r="G1" s="3542" t="s">
        <v>3618</v>
      </c>
      <c r="H1" s="3542" t="s">
        <v>3619</v>
      </c>
      <c r="I1" s="3542" t="s">
        <v>3620</v>
      </c>
      <c r="J1" s="3542" t="s">
        <v>3621</v>
      </c>
      <c r="K1" s="3542" t="s">
        <v>3622</v>
      </c>
      <c r="L1" s="3542" t="s">
        <v>3623</v>
      </c>
    </row>
    <row r="2" spans="1:12" s="3545" customFormat="1" hidden="1">
      <c r="A2" s="3544" t="s">
        <v>3624</v>
      </c>
      <c r="B2" s="3544" t="s">
        <v>3625</v>
      </c>
      <c r="C2" s="3544" t="s">
        <v>3626</v>
      </c>
      <c r="D2" s="3544" t="s">
        <v>3627</v>
      </c>
      <c r="E2" s="3544" t="s">
        <v>3628</v>
      </c>
      <c r="F2" s="3544" t="s">
        <v>3629</v>
      </c>
      <c r="G2" s="3544" t="s">
        <v>3630</v>
      </c>
      <c r="H2" s="3544" t="s">
        <v>3631</v>
      </c>
      <c r="I2" s="3544" t="s">
        <v>3632</v>
      </c>
      <c r="J2" s="3544" t="s">
        <v>3632</v>
      </c>
      <c r="K2" s="3544" t="s">
        <v>3633</v>
      </c>
      <c r="L2" s="3544" t="s">
        <v>3634</v>
      </c>
    </row>
    <row r="3" spans="1:12" s="3545" customFormat="1" hidden="1">
      <c r="A3" s="3544" t="s">
        <v>3635</v>
      </c>
      <c r="B3" s="3544" t="s">
        <v>3636</v>
      </c>
      <c r="C3" s="3544" t="s">
        <v>3637</v>
      </c>
      <c r="D3" s="3544" t="s">
        <v>3638</v>
      </c>
      <c r="E3" s="3544" t="s">
        <v>3628</v>
      </c>
      <c r="F3" s="3544" t="s">
        <v>3639</v>
      </c>
      <c r="G3" s="3544" t="s">
        <v>3632</v>
      </c>
      <c r="H3" s="3544" t="s">
        <v>3640</v>
      </c>
      <c r="I3" s="3544" t="s">
        <v>3632</v>
      </c>
      <c r="J3" s="3544" t="s">
        <v>3632</v>
      </c>
      <c r="K3" s="3544" t="s">
        <v>3641</v>
      </c>
      <c r="L3" s="3544" t="s">
        <v>3642</v>
      </c>
    </row>
    <row r="4" spans="1:12" s="3545" customFormat="1" hidden="1">
      <c r="A4" s="3544" t="s">
        <v>3643</v>
      </c>
      <c r="B4" s="3544" t="s">
        <v>3636</v>
      </c>
      <c r="C4" s="3544" t="s">
        <v>3644</v>
      </c>
      <c r="D4" s="3544" t="s">
        <v>3632</v>
      </c>
      <c r="E4" s="3544" t="s">
        <v>3628</v>
      </c>
      <c r="F4" s="3544" t="s">
        <v>3639</v>
      </c>
      <c r="G4" s="3544" t="s">
        <v>3645</v>
      </c>
      <c r="H4" s="3544" t="s">
        <v>3646</v>
      </c>
      <c r="I4" s="3544" t="s">
        <v>3632</v>
      </c>
      <c r="J4" s="3544" t="s">
        <v>3647</v>
      </c>
      <c r="K4" s="3544" t="s">
        <v>3648</v>
      </c>
      <c r="L4" s="3544" t="s">
        <v>3649</v>
      </c>
    </row>
    <row r="5" spans="1:12" s="3545" customFormat="1" hidden="1">
      <c r="A5" s="3544" t="s">
        <v>3650</v>
      </c>
      <c r="B5" s="3544" t="s">
        <v>3651</v>
      </c>
      <c r="C5" s="3544" t="s">
        <v>3652</v>
      </c>
      <c r="D5" s="3544" t="s">
        <v>3632</v>
      </c>
      <c r="E5" s="3544" t="s">
        <v>3628</v>
      </c>
      <c r="F5" s="3544" t="s">
        <v>3653</v>
      </c>
      <c r="G5" s="3544" t="s">
        <v>3632</v>
      </c>
      <c r="H5" s="3544" t="s">
        <v>3654</v>
      </c>
      <c r="I5" s="3544" t="s">
        <v>3632</v>
      </c>
      <c r="J5" s="3544" t="s">
        <v>3632</v>
      </c>
      <c r="K5" s="3544" t="s">
        <v>3655</v>
      </c>
      <c r="L5" s="3544" t="s">
        <v>3656</v>
      </c>
    </row>
    <row r="6" spans="1:12" s="3545" customFormat="1" hidden="1">
      <c r="A6" s="3544" t="s">
        <v>3657</v>
      </c>
      <c r="B6" s="3544" t="s">
        <v>3636</v>
      </c>
      <c r="C6" s="3544" t="s">
        <v>3658</v>
      </c>
      <c r="D6" s="3544" t="s">
        <v>3658</v>
      </c>
      <c r="E6" s="3544" t="s">
        <v>3659</v>
      </c>
      <c r="F6" s="3544" t="s">
        <v>3660</v>
      </c>
      <c r="G6" s="3544" t="s">
        <v>3632</v>
      </c>
      <c r="H6" s="3544" t="s">
        <v>3661</v>
      </c>
      <c r="I6" s="3544" t="s">
        <v>3662</v>
      </c>
      <c r="J6" s="3544" t="s">
        <v>3663</v>
      </c>
      <c r="K6" s="3544" t="s">
        <v>3664</v>
      </c>
      <c r="L6" s="3544" t="s">
        <v>3665</v>
      </c>
    </row>
    <row r="7" spans="1:12" s="3545" customFormat="1" hidden="1">
      <c r="A7" s="3544" t="s">
        <v>3666</v>
      </c>
      <c r="B7" s="3544" t="s">
        <v>3667</v>
      </c>
      <c r="C7" s="3544" t="s">
        <v>3668</v>
      </c>
      <c r="D7" s="3544" t="s">
        <v>3669</v>
      </c>
      <c r="E7" s="3544" t="s">
        <v>3659</v>
      </c>
      <c r="F7" s="3544" t="s">
        <v>3670</v>
      </c>
      <c r="G7" s="3544" t="s">
        <v>3645</v>
      </c>
      <c r="H7" s="3544" t="s">
        <v>3671</v>
      </c>
      <c r="I7" s="3544" t="s">
        <v>3632</v>
      </c>
      <c r="J7" s="3544" t="s">
        <v>3672</v>
      </c>
      <c r="K7" s="3544" t="s">
        <v>3673</v>
      </c>
      <c r="L7" s="3544" t="s">
        <v>3674</v>
      </c>
    </row>
    <row r="8" spans="1:12" s="3545" customFormat="1" hidden="1">
      <c r="A8" s="3544" t="s">
        <v>3675</v>
      </c>
      <c r="B8" s="3544" t="s">
        <v>3676</v>
      </c>
      <c r="C8" s="3544" t="s">
        <v>3677</v>
      </c>
      <c r="D8" s="3544" t="s">
        <v>3678</v>
      </c>
      <c r="E8" s="3544" t="s">
        <v>3659</v>
      </c>
      <c r="F8" s="3544" t="s">
        <v>3639</v>
      </c>
      <c r="G8" s="3544" t="s">
        <v>3630</v>
      </c>
      <c r="H8" s="3544" t="s">
        <v>3679</v>
      </c>
      <c r="I8" s="3544" t="s">
        <v>3632</v>
      </c>
      <c r="J8" s="3544" t="s">
        <v>3680</v>
      </c>
      <c r="K8" s="3544" t="s">
        <v>3681</v>
      </c>
      <c r="L8" s="3544" t="s">
        <v>3682</v>
      </c>
    </row>
    <row r="9" spans="1:12" s="3545" customFormat="1" hidden="1">
      <c r="A9" s="3544" t="s">
        <v>3683</v>
      </c>
      <c r="B9" s="3544" t="s">
        <v>3625</v>
      </c>
      <c r="C9" s="3544" t="s">
        <v>3684</v>
      </c>
      <c r="D9" s="3544" t="s">
        <v>3632</v>
      </c>
      <c r="E9" s="3544" t="s">
        <v>3659</v>
      </c>
      <c r="F9" s="3544" t="s">
        <v>3685</v>
      </c>
      <c r="G9" s="3544" t="s">
        <v>3632</v>
      </c>
      <c r="H9" s="3544" t="s">
        <v>3686</v>
      </c>
      <c r="I9" s="3544" t="s">
        <v>3632</v>
      </c>
      <c r="J9" s="3544" t="s">
        <v>3687</v>
      </c>
      <c r="K9" s="3544" t="s">
        <v>3688</v>
      </c>
      <c r="L9" s="3544" t="s">
        <v>3689</v>
      </c>
    </row>
    <row r="10" spans="1:12" s="3545" customFormat="1" hidden="1">
      <c r="A10" s="3544" t="s">
        <v>3690</v>
      </c>
      <c r="B10" s="3544" t="s">
        <v>3625</v>
      </c>
      <c r="C10" s="3544" t="s">
        <v>3691</v>
      </c>
      <c r="D10" s="3544" t="s">
        <v>3692</v>
      </c>
      <c r="E10" s="3544" t="s">
        <v>3659</v>
      </c>
      <c r="F10" s="3544" t="s">
        <v>3693</v>
      </c>
      <c r="G10" s="3544" t="s">
        <v>3632</v>
      </c>
      <c r="H10" s="3544" t="s">
        <v>3694</v>
      </c>
      <c r="I10" s="3544" t="s">
        <v>3632</v>
      </c>
      <c r="J10" s="3544" t="s">
        <v>3695</v>
      </c>
      <c r="K10" s="3544" t="s">
        <v>3696</v>
      </c>
      <c r="L10" s="3544" t="s">
        <v>3697</v>
      </c>
    </row>
    <row r="11" spans="1:12" s="3545" customFormat="1">
      <c r="A11" s="3544" t="s">
        <v>3698</v>
      </c>
      <c r="B11" s="3544" t="s">
        <v>3699</v>
      </c>
      <c r="C11" s="3544" t="s">
        <v>3700</v>
      </c>
      <c r="D11" s="3544" t="s">
        <v>3701</v>
      </c>
      <c r="E11" s="3544" t="s">
        <v>3659</v>
      </c>
      <c r="F11" s="3544" t="s">
        <v>3702</v>
      </c>
      <c r="G11" s="3544" t="s">
        <v>3632</v>
      </c>
      <c r="H11" s="3544" t="s">
        <v>3703</v>
      </c>
      <c r="I11" s="3544" t="s">
        <v>3704</v>
      </c>
      <c r="J11" s="3544" t="s">
        <v>3705</v>
      </c>
      <c r="K11" s="3544" t="s">
        <v>3706</v>
      </c>
      <c r="L11" s="3544" t="s">
        <v>3707</v>
      </c>
    </row>
    <row r="12" spans="1:12" hidden="1">
      <c r="A12" s="3546" t="s">
        <v>3708</v>
      </c>
      <c r="B12" s="3546" t="s">
        <v>3709</v>
      </c>
      <c r="C12" s="3546" t="s">
        <v>3710</v>
      </c>
      <c r="D12" s="3546" t="s">
        <v>3711</v>
      </c>
      <c r="E12" s="3546" t="s">
        <v>3659</v>
      </c>
      <c r="F12" s="3546" t="s">
        <v>3712</v>
      </c>
      <c r="G12" s="3546" t="s">
        <v>3645</v>
      </c>
      <c r="H12" s="3546" t="s">
        <v>3713</v>
      </c>
      <c r="I12" s="3546" t="s">
        <v>3632</v>
      </c>
      <c r="J12" s="3546" t="s">
        <v>3714</v>
      </c>
      <c r="K12" s="3546" t="s">
        <v>3715</v>
      </c>
      <c r="L12" s="3546" t="s">
        <v>3716</v>
      </c>
    </row>
    <row r="13" spans="1:12" s="3545" customFormat="1" hidden="1">
      <c r="A13" s="3544" t="s">
        <v>3717</v>
      </c>
      <c r="B13" s="3544" t="s">
        <v>3718</v>
      </c>
      <c r="C13" s="3544" t="s">
        <v>3719</v>
      </c>
      <c r="D13" s="3544" t="s">
        <v>3720</v>
      </c>
      <c r="E13" s="3544" t="s">
        <v>3659</v>
      </c>
      <c r="F13" s="3544" t="s">
        <v>3721</v>
      </c>
      <c r="G13" s="3544" t="s">
        <v>3630</v>
      </c>
      <c r="H13" s="3544" t="s">
        <v>3722</v>
      </c>
      <c r="I13" s="3544" t="s">
        <v>3723</v>
      </c>
      <c r="J13" s="3544" t="s">
        <v>3724</v>
      </c>
      <c r="K13" s="3544" t="s">
        <v>3725</v>
      </c>
      <c r="L13" s="3544" t="s">
        <v>3726</v>
      </c>
    </row>
    <row r="14" spans="1:12" s="3545" customFormat="1" hidden="1">
      <c r="A14" s="3544" t="s">
        <v>3727</v>
      </c>
      <c r="B14" s="3544" t="s">
        <v>3728</v>
      </c>
      <c r="C14" s="3544" t="s">
        <v>3729</v>
      </c>
      <c r="D14" s="3544" t="s">
        <v>3632</v>
      </c>
      <c r="E14" s="3544" t="s">
        <v>3659</v>
      </c>
      <c r="F14" s="3544" t="s">
        <v>3730</v>
      </c>
      <c r="G14" s="3544" t="s">
        <v>3630</v>
      </c>
      <c r="H14" s="3544" t="s">
        <v>3731</v>
      </c>
      <c r="I14" s="3544" t="s">
        <v>3632</v>
      </c>
      <c r="J14" s="3544" t="s">
        <v>3732</v>
      </c>
      <c r="K14" s="3544" t="s">
        <v>3733</v>
      </c>
      <c r="L14" s="3544" t="s">
        <v>3734</v>
      </c>
    </row>
    <row r="15" spans="1:12" s="3545" customFormat="1" hidden="1">
      <c r="A15" s="3544" t="s">
        <v>3735</v>
      </c>
      <c r="B15" s="3544" t="s">
        <v>3718</v>
      </c>
      <c r="C15" s="3544" t="s">
        <v>3736</v>
      </c>
      <c r="D15" s="3544" t="s">
        <v>3737</v>
      </c>
      <c r="E15" s="3544" t="s">
        <v>3659</v>
      </c>
      <c r="F15" s="3544" t="s">
        <v>3738</v>
      </c>
      <c r="G15" s="3544" t="s">
        <v>3645</v>
      </c>
      <c r="H15" s="3544" t="s">
        <v>3739</v>
      </c>
      <c r="I15" s="3544" t="s">
        <v>3740</v>
      </c>
      <c r="J15" s="3544" t="s">
        <v>3741</v>
      </c>
      <c r="K15" s="3544" t="s">
        <v>3742</v>
      </c>
      <c r="L15" s="3544" t="s">
        <v>3743</v>
      </c>
    </row>
    <row r="16" spans="1:12" s="3545" customFormat="1" hidden="1">
      <c r="A16" s="3544" t="s">
        <v>3744</v>
      </c>
      <c r="B16" s="3544" t="s">
        <v>3745</v>
      </c>
      <c r="C16" s="3544" t="s">
        <v>3632</v>
      </c>
      <c r="D16" s="3544" t="s">
        <v>3632</v>
      </c>
      <c r="E16" s="3544" t="s">
        <v>3659</v>
      </c>
      <c r="F16" s="3544" t="s">
        <v>3746</v>
      </c>
      <c r="G16" s="3544" t="s">
        <v>3645</v>
      </c>
      <c r="H16" s="3544" t="s">
        <v>3747</v>
      </c>
      <c r="I16" s="3544" t="s">
        <v>3632</v>
      </c>
      <c r="J16" s="3544" t="s">
        <v>3632</v>
      </c>
      <c r="K16" s="3544" t="s">
        <v>3748</v>
      </c>
      <c r="L16" s="3544" t="s">
        <v>3749</v>
      </c>
    </row>
    <row r="17" spans="1:12" s="3545" customFormat="1" hidden="1">
      <c r="A17" s="3544" t="s">
        <v>3750</v>
      </c>
      <c r="B17" s="3544" t="s">
        <v>3751</v>
      </c>
      <c r="C17" s="3544" t="s">
        <v>3752</v>
      </c>
      <c r="D17" s="3544" t="s">
        <v>3753</v>
      </c>
      <c r="E17" s="3544" t="s">
        <v>3659</v>
      </c>
      <c r="F17" s="3544" t="s">
        <v>3754</v>
      </c>
      <c r="G17" s="3544" t="s">
        <v>3645</v>
      </c>
      <c r="H17" s="3544" t="s">
        <v>3755</v>
      </c>
      <c r="I17" s="3544" t="s">
        <v>3756</v>
      </c>
      <c r="J17" s="3544" t="s">
        <v>3757</v>
      </c>
      <c r="K17" s="3544" t="s">
        <v>3758</v>
      </c>
      <c r="L17" s="3544" t="s">
        <v>3759</v>
      </c>
    </row>
    <row r="18" spans="1:12" s="3545" customFormat="1">
      <c r="A18" s="3544" t="s">
        <v>3760</v>
      </c>
      <c r="B18" s="3544" t="s">
        <v>3699</v>
      </c>
      <c r="C18" s="3544" t="s">
        <v>3700</v>
      </c>
      <c r="D18" s="3544" t="s">
        <v>3761</v>
      </c>
      <c r="E18" s="3544" t="s">
        <v>3659</v>
      </c>
      <c r="F18" s="3544" t="s">
        <v>3762</v>
      </c>
      <c r="G18" s="3544" t="s">
        <v>3645</v>
      </c>
      <c r="H18" s="3544" t="s">
        <v>3763</v>
      </c>
      <c r="I18" s="3544" t="s">
        <v>3764</v>
      </c>
      <c r="J18" s="3544" t="s">
        <v>3765</v>
      </c>
      <c r="K18" s="3544" t="s">
        <v>3766</v>
      </c>
      <c r="L18" s="3544" t="s">
        <v>3767</v>
      </c>
    </row>
    <row r="19" spans="1:12" s="3545" customFormat="1" hidden="1">
      <c r="A19" s="3544" t="s">
        <v>3768</v>
      </c>
      <c r="B19" s="3544" t="s">
        <v>3625</v>
      </c>
      <c r="C19" s="3544" t="s">
        <v>3769</v>
      </c>
      <c r="D19" s="3544" t="s">
        <v>3632</v>
      </c>
      <c r="E19" s="3544" t="s">
        <v>3659</v>
      </c>
      <c r="F19" s="3544" t="s">
        <v>3770</v>
      </c>
      <c r="G19" s="3544" t="s">
        <v>3632</v>
      </c>
      <c r="H19" s="3544" t="s">
        <v>3771</v>
      </c>
      <c r="I19" s="3544" t="s">
        <v>3772</v>
      </c>
      <c r="J19" s="3544" t="s">
        <v>3773</v>
      </c>
      <c r="K19" s="3544" t="s">
        <v>3774</v>
      </c>
      <c r="L19" s="3544" t="s">
        <v>3775</v>
      </c>
    </row>
    <row r="20" spans="1:12" s="3545" customFormat="1" hidden="1">
      <c r="A20" s="3544" t="s">
        <v>3776</v>
      </c>
      <c r="B20" s="3544" t="s">
        <v>3777</v>
      </c>
      <c r="C20" s="3544" t="s">
        <v>3778</v>
      </c>
      <c r="D20" s="3544" t="s">
        <v>3778</v>
      </c>
      <c r="E20" s="3544" t="s">
        <v>3659</v>
      </c>
      <c r="F20" s="3544" t="s">
        <v>3779</v>
      </c>
      <c r="G20" s="3544" t="s">
        <v>3645</v>
      </c>
      <c r="H20" s="3544" t="s">
        <v>3780</v>
      </c>
      <c r="I20" s="3544" t="s">
        <v>3632</v>
      </c>
      <c r="J20" s="3544" t="s">
        <v>3781</v>
      </c>
      <c r="K20" s="3544" t="s">
        <v>3782</v>
      </c>
      <c r="L20" s="3544" t="s">
        <v>3783</v>
      </c>
    </row>
    <row r="21" spans="1:12" s="3545" customFormat="1" hidden="1">
      <c r="A21" s="3544" t="s">
        <v>3784</v>
      </c>
      <c r="B21" s="3544" t="s">
        <v>3676</v>
      </c>
      <c r="C21" s="3544" t="s">
        <v>3785</v>
      </c>
      <c r="D21" s="3544" t="s">
        <v>3785</v>
      </c>
      <c r="E21" s="3544" t="s">
        <v>3659</v>
      </c>
      <c r="F21" s="3544" t="s">
        <v>3786</v>
      </c>
      <c r="G21" s="3544" t="s">
        <v>3632</v>
      </c>
      <c r="H21" s="3544" t="s">
        <v>3787</v>
      </c>
      <c r="I21" s="3544" t="s">
        <v>3632</v>
      </c>
      <c r="J21" s="3544" t="s">
        <v>3788</v>
      </c>
      <c r="K21" s="3544" t="s">
        <v>3789</v>
      </c>
      <c r="L21" s="3544" t="s">
        <v>3790</v>
      </c>
    </row>
    <row r="22" spans="1:12" s="3545" customFormat="1">
      <c r="A22" s="3544" t="s">
        <v>3791</v>
      </c>
      <c r="B22" s="3544" t="s">
        <v>3699</v>
      </c>
      <c r="C22" s="3544" t="s">
        <v>3792</v>
      </c>
      <c r="D22" s="3544" t="s">
        <v>3632</v>
      </c>
      <c r="E22" s="3544" t="s">
        <v>3659</v>
      </c>
      <c r="F22" s="3544" t="s">
        <v>3793</v>
      </c>
      <c r="G22" s="3544" t="s">
        <v>3645</v>
      </c>
      <c r="H22" s="3544" t="s">
        <v>3794</v>
      </c>
      <c r="I22" s="3544" t="s">
        <v>3795</v>
      </c>
      <c r="J22" s="3544" t="s">
        <v>3796</v>
      </c>
      <c r="K22" s="3544" t="s">
        <v>3797</v>
      </c>
      <c r="L22" s="3544" t="s">
        <v>3798</v>
      </c>
    </row>
    <row r="23" spans="1:12" s="3545" customFormat="1">
      <c r="A23" s="3544" t="s">
        <v>3799</v>
      </c>
      <c r="B23" s="3544" t="s">
        <v>3699</v>
      </c>
      <c r="C23" s="3544" t="s">
        <v>3800</v>
      </c>
      <c r="D23" s="3544" t="s">
        <v>3801</v>
      </c>
      <c r="E23" s="3544" t="s">
        <v>3659</v>
      </c>
      <c r="F23" s="3544" t="s">
        <v>3802</v>
      </c>
      <c r="G23" s="3544" t="s">
        <v>3632</v>
      </c>
      <c r="H23" s="3544" t="s">
        <v>3803</v>
      </c>
      <c r="I23" s="3544" t="s">
        <v>3804</v>
      </c>
      <c r="J23" s="3544" t="s">
        <v>3805</v>
      </c>
      <c r="K23" s="3544" t="s">
        <v>3806</v>
      </c>
      <c r="L23" s="3544" t="s">
        <v>3807</v>
      </c>
    </row>
    <row r="24" spans="1:12" s="3545" customFormat="1" hidden="1">
      <c r="A24" s="3544" t="s">
        <v>3808</v>
      </c>
      <c r="B24" s="3544" t="s">
        <v>3809</v>
      </c>
      <c r="C24" s="3544" t="s">
        <v>3810</v>
      </c>
      <c r="D24" s="3544" t="s">
        <v>3632</v>
      </c>
      <c r="E24" s="3544" t="s">
        <v>3659</v>
      </c>
      <c r="F24" s="3544" t="s">
        <v>3639</v>
      </c>
      <c r="G24" s="3544" t="s">
        <v>3630</v>
      </c>
      <c r="H24" s="3544" t="s">
        <v>3811</v>
      </c>
      <c r="I24" s="3544" t="s">
        <v>3632</v>
      </c>
      <c r="J24" s="3544" t="s">
        <v>3812</v>
      </c>
      <c r="K24" s="3544" t="s">
        <v>3813</v>
      </c>
      <c r="L24" s="3544" t="s">
        <v>3814</v>
      </c>
    </row>
    <row r="25" spans="1:12" s="3545" customFormat="1" hidden="1">
      <c r="A25" s="3544" t="s">
        <v>3815</v>
      </c>
      <c r="B25" s="3544" t="s">
        <v>3676</v>
      </c>
      <c r="C25" s="3544" t="s">
        <v>3816</v>
      </c>
      <c r="D25" s="3544" t="s">
        <v>3632</v>
      </c>
      <c r="E25" s="3544" t="s">
        <v>3659</v>
      </c>
      <c r="F25" s="3544" t="s">
        <v>3817</v>
      </c>
      <c r="G25" s="3544" t="s">
        <v>3632</v>
      </c>
      <c r="H25" s="3544" t="s">
        <v>3818</v>
      </c>
      <c r="I25" s="3544" t="s">
        <v>3632</v>
      </c>
      <c r="J25" s="3544" t="s">
        <v>3819</v>
      </c>
      <c r="K25" s="3544" t="s">
        <v>3820</v>
      </c>
      <c r="L25" s="3544" t="s">
        <v>3821</v>
      </c>
    </row>
    <row r="26" spans="1:12" s="3545" customFormat="1" hidden="1">
      <c r="A26" s="3544" t="s">
        <v>3822</v>
      </c>
      <c r="B26" s="3544" t="s">
        <v>3751</v>
      </c>
      <c r="C26" s="3544" t="s">
        <v>3823</v>
      </c>
      <c r="D26" s="3544" t="s">
        <v>3632</v>
      </c>
      <c r="E26" s="3544" t="s">
        <v>3659</v>
      </c>
      <c r="F26" s="3544" t="s">
        <v>3824</v>
      </c>
      <c r="G26" s="3544" t="s">
        <v>3630</v>
      </c>
      <c r="H26" s="3544" t="s">
        <v>3825</v>
      </c>
      <c r="I26" s="3544" t="s">
        <v>3826</v>
      </c>
      <c r="J26" s="3544" t="s">
        <v>3827</v>
      </c>
      <c r="K26" s="3544" t="s">
        <v>3828</v>
      </c>
      <c r="L26" s="3544" t="s">
        <v>3697</v>
      </c>
    </row>
    <row r="27" spans="1:12" s="3545" customFormat="1" hidden="1">
      <c r="A27" s="3544" t="s">
        <v>3829</v>
      </c>
      <c r="B27" s="3544" t="s">
        <v>3830</v>
      </c>
      <c r="C27" s="3544" t="s">
        <v>3831</v>
      </c>
      <c r="D27" s="3544" t="s">
        <v>3832</v>
      </c>
      <c r="E27" s="3544" t="s">
        <v>3659</v>
      </c>
      <c r="F27" s="3544" t="s">
        <v>3833</v>
      </c>
      <c r="G27" s="3544" t="s">
        <v>3632</v>
      </c>
      <c r="H27" s="3544" t="s">
        <v>3632</v>
      </c>
      <c r="I27" s="3544" t="s">
        <v>3632</v>
      </c>
      <c r="J27" s="3544" t="s">
        <v>3834</v>
      </c>
      <c r="K27" s="3544" t="s">
        <v>3835</v>
      </c>
      <c r="L27" s="3544" t="s">
        <v>3836</v>
      </c>
    </row>
    <row r="28" spans="1:12" s="3545" customFormat="1" hidden="1">
      <c r="A28" s="3544" t="s">
        <v>3837</v>
      </c>
      <c r="B28" s="3544" t="s">
        <v>3625</v>
      </c>
      <c r="C28" s="3544" t="s">
        <v>3838</v>
      </c>
      <c r="D28" s="3544" t="s">
        <v>3839</v>
      </c>
      <c r="E28" s="3544" t="s">
        <v>3659</v>
      </c>
      <c r="F28" s="3544" t="s">
        <v>3840</v>
      </c>
      <c r="G28" s="3544" t="s">
        <v>3645</v>
      </c>
      <c r="H28" s="3544" t="s">
        <v>3841</v>
      </c>
      <c r="I28" s="3544" t="s">
        <v>3842</v>
      </c>
      <c r="J28" s="3544" t="s">
        <v>3843</v>
      </c>
      <c r="K28" s="3544" t="s">
        <v>3844</v>
      </c>
      <c r="L28" s="3544" t="s">
        <v>3845</v>
      </c>
    </row>
    <row r="29" spans="1:12" s="3545" customFormat="1">
      <c r="A29" s="3544" t="s">
        <v>3846</v>
      </c>
      <c r="B29" s="3544" t="s">
        <v>3699</v>
      </c>
      <c r="C29" s="3544" t="s">
        <v>3847</v>
      </c>
      <c r="D29" s="3544" t="s">
        <v>3848</v>
      </c>
      <c r="E29" s="3544" t="s">
        <v>3659</v>
      </c>
      <c r="F29" s="3544" t="s">
        <v>3849</v>
      </c>
      <c r="G29" s="3544" t="s">
        <v>3632</v>
      </c>
      <c r="H29" s="3544" t="s">
        <v>3850</v>
      </c>
      <c r="I29" s="3544" t="s">
        <v>3851</v>
      </c>
      <c r="J29" s="3544" t="s">
        <v>3852</v>
      </c>
      <c r="K29" s="3544" t="s">
        <v>3853</v>
      </c>
      <c r="L29" s="3544" t="s">
        <v>3854</v>
      </c>
    </row>
    <row r="30" spans="1:12" s="3545" customFormat="1" hidden="1">
      <c r="A30" s="3544" t="s">
        <v>3855</v>
      </c>
      <c r="B30" s="3544" t="s">
        <v>3625</v>
      </c>
      <c r="C30" s="3544" t="s">
        <v>3684</v>
      </c>
      <c r="D30" s="3544" t="s">
        <v>3856</v>
      </c>
      <c r="E30" s="3544" t="s">
        <v>3659</v>
      </c>
      <c r="F30" s="3544" t="s">
        <v>3786</v>
      </c>
      <c r="G30" s="3544" t="s">
        <v>3632</v>
      </c>
      <c r="H30" s="3544" t="s">
        <v>3857</v>
      </c>
      <c r="I30" s="3544" t="s">
        <v>3858</v>
      </c>
      <c r="J30" s="3544" t="s">
        <v>3859</v>
      </c>
      <c r="K30" s="3544" t="s">
        <v>3860</v>
      </c>
      <c r="L30" s="3544" t="s">
        <v>3861</v>
      </c>
    </row>
    <row r="31" spans="1:12" s="3545" customFormat="1" hidden="1">
      <c r="A31" s="3544" t="s">
        <v>3862</v>
      </c>
      <c r="B31" s="3544" t="s">
        <v>3625</v>
      </c>
      <c r="C31" s="3544" t="s">
        <v>3863</v>
      </c>
      <c r="D31" s="3544" t="s">
        <v>3864</v>
      </c>
      <c r="E31" s="3544" t="s">
        <v>3659</v>
      </c>
      <c r="F31" s="3544" t="s">
        <v>3865</v>
      </c>
      <c r="G31" s="3544" t="s">
        <v>3645</v>
      </c>
      <c r="H31" s="3544" t="s">
        <v>3866</v>
      </c>
      <c r="I31" s="3544" t="s">
        <v>3867</v>
      </c>
      <c r="J31" s="3544" t="s">
        <v>3868</v>
      </c>
      <c r="K31" s="3544" t="s">
        <v>3869</v>
      </c>
      <c r="L31" s="3544" t="s">
        <v>3870</v>
      </c>
    </row>
    <row r="32" spans="1:12" s="3545" customFormat="1">
      <c r="A32" s="3544" t="s">
        <v>3871</v>
      </c>
      <c r="B32" s="3544" t="s">
        <v>3699</v>
      </c>
      <c r="C32" s="3544" t="s">
        <v>3847</v>
      </c>
      <c r="D32" s="3544" t="s">
        <v>3872</v>
      </c>
      <c r="E32" s="3544" t="s">
        <v>3659</v>
      </c>
      <c r="F32" s="3544" t="s">
        <v>3873</v>
      </c>
      <c r="G32" s="3544" t="s">
        <v>3632</v>
      </c>
      <c r="H32" s="3544" t="s">
        <v>3874</v>
      </c>
      <c r="I32" s="3544" t="s">
        <v>3875</v>
      </c>
      <c r="J32" s="3544" t="s">
        <v>3876</v>
      </c>
      <c r="K32" s="3544" t="s">
        <v>3877</v>
      </c>
      <c r="L32" s="3544" t="s">
        <v>3878</v>
      </c>
    </row>
    <row r="33" spans="1:12" s="3545" customFormat="1">
      <c r="A33" s="3544" t="s">
        <v>3879</v>
      </c>
      <c r="B33" s="3544" t="s">
        <v>3699</v>
      </c>
      <c r="C33" s="3544" t="s">
        <v>3792</v>
      </c>
      <c r="D33" s="3544" t="s">
        <v>3880</v>
      </c>
      <c r="E33" s="3544" t="s">
        <v>3659</v>
      </c>
      <c r="F33" s="3544" t="s">
        <v>3881</v>
      </c>
      <c r="G33" s="3544" t="s">
        <v>3645</v>
      </c>
      <c r="H33" s="3544" t="s">
        <v>3882</v>
      </c>
      <c r="I33" s="3544" t="s">
        <v>3883</v>
      </c>
      <c r="J33" s="3544" t="s">
        <v>3884</v>
      </c>
      <c r="K33" s="3544" t="s">
        <v>3885</v>
      </c>
      <c r="L33" s="3544" t="s">
        <v>3886</v>
      </c>
    </row>
    <row r="34" spans="1:12" s="3545" customFormat="1">
      <c r="A34" s="3544" t="s">
        <v>3887</v>
      </c>
      <c r="B34" s="3544" t="s">
        <v>3699</v>
      </c>
      <c r="C34" s="3544" t="s">
        <v>3847</v>
      </c>
      <c r="D34" s="3544" t="s">
        <v>3632</v>
      </c>
      <c r="E34" s="3544" t="s">
        <v>3659</v>
      </c>
      <c r="F34" s="3544" t="s">
        <v>3888</v>
      </c>
      <c r="G34" s="3544" t="s">
        <v>3630</v>
      </c>
      <c r="H34" s="3544" t="s">
        <v>3889</v>
      </c>
      <c r="I34" s="3544" t="s">
        <v>3890</v>
      </c>
      <c r="J34" s="3544" t="s">
        <v>3891</v>
      </c>
      <c r="K34" s="3544" t="s">
        <v>3892</v>
      </c>
      <c r="L34" s="3544" t="s">
        <v>3893</v>
      </c>
    </row>
    <row r="35" spans="1:12" s="3545" customFormat="1" hidden="1">
      <c r="A35" s="3544" t="s">
        <v>3894</v>
      </c>
      <c r="B35" s="3544" t="s">
        <v>3625</v>
      </c>
      <c r="C35" s="3544" t="s">
        <v>3684</v>
      </c>
      <c r="D35" s="3544" t="s">
        <v>3632</v>
      </c>
      <c r="E35" s="3544" t="s">
        <v>3659</v>
      </c>
      <c r="F35" s="3544" t="s">
        <v>3895</v>
      </c>
      <c r="G35" s="3544" t="s">
        <v>3632</v>
      </c>
      <c r="H35" s="3544" t="s">
        <v>3896</v>
      </c>
      <c r="I35" s="3544" t="s">
        <v>3897</v>
      </c>
      <c r="J35" s="3544" t="s">
        <v>3898</v>
      </c>
      <c r="K35" s="3544" t="s">
        <v>3899</v>
      </c>
      <c r="L35" s="3544" t="s">
        <v>3900</v>
      </c>
    </row>
    <row r="36" spans="1:12" s="3545" customFormat="1" hidden="1">
      <c r="A36" s="3544" t="s">
        <v>3901</v>
      </c>
      <c r="B36" s="3544" t="s">
        <v>3625</v>
      </c>
      <c r="C36" s="3544" t="s">
        <v>3684</v>
      </c>
      <c r="D36" s="3544" t="s">
        <v>3902</v>
      </c>
      <c r="E36" s="3544" t="s">
        <v>3659</v>
      </c>
      <c r="F36" s="3544" t="s">
        <v>3721</v>
      </c>
      <c r="G36" s="3544" t="s">
        <v>3630</v>
      </c>
      <c r="H36" s="3544" t="s">
        <v>3903</v>
      </c>
      <c r="I36" s="3544" t="s">
        <v>3904</v>
      </c>
      <c r="J36" s="3544" t="s">
        <v>3905</v>
      </c>
      <c r="K36" s="3544" t="s">
        <v>3906</v>
      </c>
      <c r="L36" s="3544" t="s">
        <v>3907</v>
      </c>
    </row>
    <row r="37" spans="1:12" s="3545" customFormat="1" hidden="1">
      <c r="A37" s="3544" t="s">
        <v>3908</v>
      </c>
      <c r="B37" s="3544" t="s">
        <v>3651</v>
      </c>
      <c r="C37" s="3544" t="s">
        <v>3909</v>
      </c>
      <c r="D37" s="3544" t="s">
        <v>3632</v>
      </c>
      <c r="E37" s="3544" t="s">
        <v>3659</v>
      </c>
      <c r="F37" s="3544" t="s">
        <v>3910</v>
      </c>
      <c r="G37" s="3544" t="s">
        <v>3630</v>
      </c>
      <c r="H37" s="3544" t="s">
        <v>3911</v>
      </c>
      <c r="I37" s="3544" t="s">
        <v>3632</v>
      </c>
      <c r="J37" s="3544" t="s">
        <v>3912</v>
      </c>
      <c r="K37" s="3544" t="s">
        <v>3913</v>
      </c>
      <c r="L37" s="3544" t="s">
        <v>3914</v>
      </c>
    </row>
    <row r="38" spans="1:12" s="3545" customFormat="1">
      <c r="A38" s="3544" t="s">
        <v>3915</v>
      </c>
      <c r="B38" s="3544" t="s">
        <v>3699</v>
      </c>
      <c r="C38" s="3544" t="s">
        <v>3916</v>
      </c>
      <c r="D38" s="3544" t="s">
        <v>3917</v>
      </c>
      <c r="E38" s="3544" t="s">
        <v>3659</v>
      </c>
      <c r="F38" s="3544" t="s">
        <v>3779</v>
      </c>
      <c r="G38" s="3544" t="s">
        <v>3645</v>
      </c>
      <c r="H38" s="3544" t="s">
        <v>3918</v>
      </c>
      <c r="I38" s="3544" t="s">
        <v>3632</v>
      </c>
      <c r="J38" s="3544" t="s">
        <v>3919</v>
      </c>
      <c r="K38" s="3544" t="s">
        <v>3920</v>
      </c>
      <c r="L38" s="3544" t="s">
        <v>3921</v>
      </c>
    </row>
    <row r="39" spans="1:12" s="3545" customFormat="1" hidden="1">
      <c r="A39" s="3544" t="s">
        <v>3922</v>
      </c>
      <c r="B39" s="3544" t="s">
        <v>3625</v>
      </c>
      <c r="C39" s="3544" t="s">
        <v>3626</v>
      </c>
      <c r="D39" s="3544" t="s">
        <v>3923</v>
      </c>
      <c r="E39" s="3544" t="s">
        <v>3659</v>
      </c>
      <c r="F39" s="3544" t="s">
        <v>3924</v>
      </c>
      <c r="G39" s="3544" t="s">
        <v>3645</v>
      </c>
      <c r="H39" s="3544" t="s">
        <v>3925</v>
      </c>
      <c r="I39" s="3544" t="s">
        <v>3632</v>
      </c>
      <c r="J39" s="3544" t="s">
        <v>3632</v>
      </c>
      <c r="K39" s="3544" t="s">
        <v>3926</v>
      </c>
      <c r="L39" s="3544" t="s">
        <v>3927</v>
      </c>
    </row>
    <row r="40" spans="1:12" s="3545" customFormat="1" hidden="1">
      <c r="A40" s="3544" t="s">
        <v>3928</v>
      </c>
      <c r="B40" s="3544" t="s">
        <v>3636</v>
      </c>
      <c r="C40" s="3544" t="s">
        <v>3637</v>
      </c>
      <c r="D40" s="3544" t="s">
        <v>3638</v>
      </c>
      <c r="E40" s="3544" t="s">
        <v>3659</v>
      </c>
      <c r="F40" s="3544" t="s">
        <v>3929</v>
      </c>
      <c r="G40" s="3544" t="s">
        <v>3632</v>
      </c>
      <c r="H40" s="3544" t="s">
        <v>3930</v>
      </c>
      <c r="I40" s="3544" t="s">
        <v>3632</v>
      </c>
      <c r="J40" s="3544" t="s">
        <v>3632</v>
      </c>
      <c r="K40" s="3544" t="s">
        <v>3931</v>
      </c>
      <c r="L40" s="3544" t="s">
        <v>3932</v>
      </c>
    </row>
    <row r="41" spans="1:12" s="3545" customFormat="1" hidden="1">
      <c r="A41" s="3544" t="s">
        <v>3933</v>
      </c>
      <c r="B41" s="3544" t="s">
        <v>3651</v>
      </c>
      <c r="C41" s="3544" t="s">
        <v>3934</v>
      </c>
      <c r="D41" s="3544" t="s">
        <v>3935</v>
      </c>
      <c r="E41" s="3544" t="s">
        <v>3659</v>
      </c>
      <c r="F41" s="3544" t="s">
        <v>3936</v>
      </c>
      <c r="G41" s="3544" t="s">
        <v>3630</v>
      </c>
      <c r="H41" s="3544" t="s">
        <v>3937</v>
      </c>
      <c r="I41" s="3544" t="s">
        <v>3938</v>
      </c>
      <c r="J41" s="3544" t="s">
        <v>3939</v>
      </c>
      <c r="K41" s="3544" t="s">
        <v>3940</v>
      </c>
      <c r="L41" s="3544" t="s">
        <v>3941</v>
      </c>
    </row>
    <row r="42" spans="1:12" s="3545" customFormat="1" hidden="1">
      <c r="A42" s="3544" t="s">
        <v>3942</v>
      </c>
      <c r="B42" s="3544" t="s">
        <v>3728</v>
      </c>
      <c r="C42" s="3544" t="s">
        <v>3943</v>
      </c>
      <c r="D42" s="3544" t="s">
        <v>3944</v>
      </c>
      <c r="E42" s="3544" t="s">
        <v>3659</v>
      </c>
      <c r="F42" s="3544" t="s">
        <v>3945</v>
      </c>
      <c r="G42" s="3544" t="s">
        <v>3630</v>
      </c>
      <c r="H42" s="3544" t="s">
        <v>3946</v>
      </c>
      <c r="I42" s="3544" t="s">
        <v>3947</v>
      </c>
      <c r="J42" s="3544" t="s">
        <v>3948</v>
      </c>
      <c r="K42" s="3544" t="s">
        <v>3949</v>
      </c>
      <c r="L42" s="3544" t="s">
        <v>3950</v>
      </c>
    </row>
    <row r="43" spans="1:12" s="3545" customFormat="1" hidden="1">
      <c r="A43" s="3544" t="s">
        <v>3951</v>
      </c>
      <c r="B43" s="3544" t="s">
        <v>3625</v>
      </c>
      <c r="C43" s="3544" t="s">
        <v>3952</v>
      </c>
      <c r="D43" s="3544" t="s">
        <v>3953</v>
      </c>
      <c r="E43" s="3544" t="s">
        <v>3659</v>
      </c>
      <c r="F43" s="3544" t="s">
        <v>3954</v>
      </c>
      <c r="G43" s="3544" t="s">
        <v>3630</v>
      </c>
      <c r="H43" s="3544" t="s">
        <v>3632</v>
      </c>
      <c r="I43" s="3544" t="s">
        <v>3632</v>
      </c>
      <c r="J43" s="3544" t="s">
        <v>3955</v>
      </c>
      <c r="K43" s="3544" t="s">
        <v>3641</v>
      </c>
      <c r="L43" s="3544" t="s">
        <v>3956</v>
      </c>
    </row>
    <row r="44" spans="1:12" s="3545" customFormat="1" hidden="1">
      <c r="A44" s="3544" t="s">
        <v>3957</v>
      </c>
      <c r="B44" s="3544" t="s">
        <v>3625</v>
      </c>
      <c r="C44" s="3544" t="s">
        <v>3838</v>
      </c>
      <c r="D44" s="3544" t="s">
        <v>3958</v>
      </c>
      <c r="E44" s="3544" t="s">
        <v>3659</v>
      </c>
      <c r="F44" s="3544" t="s">
        <v>3959</v>
      </c>
      <c r="G44" s="3544" t="s">
        <v>3645</v>
      </c>
      <c r="H44" s="3544" t="s">
        <v>3960</v>
      </c>
      <c r="I44" s="3544" t="s">
        <v>3632</v>
      </c>
      <c r="J44" s="3544" t="s">
        <v>3961</v>
      </c>
      <c r="K44" s="3544" t="s">
        <v>3962</v>
      </c>
      <c r="L44" s="3544" t="s">
        <v>3963</v>
      </c>
    </row>
    <row r="45" spans="1:12" hidden="1">
      <c r="A45" s="3546" t="s">
        <v>3964</v>
      </c>
      <c r="B45" s="3546" t="s">
        <v>3709</v>
      </c>
      <c r="C45" s="3546" t="s">
        <v>3965</v>
      </c>
      <c r="D45" s="3546" t="s">
        <v>3966</v>
      </c>
      <c r="E45" s="3546" t="s">
        <v>3659</v>
      </c>
      <c r="F45" s="3546" t="s">
        <v>3967</v>
      </c>
      <c r="G45" s="3546" t="s">
        <v>3632</v>
      </c>
      <c r="H45" s="3546" t="s">
        <v>3968</v>
      </c>
      <c r="I45" s="3546" t="s">
        <v>3632</v>
      </c>
      <c r="J45" s="3546" t="s">
        <v>3969</v>
      </c>
      <c r="K45" s="3546" t="s">
        <v>3970</v>
      </c>
      <c r="L45" s="3546" t="s">
        <v>3971</v>
      </c>
    </row>
    <row r="46" spans="1:12" s="3545" customFormat="1" hidden="1">
      <c r="A46" s="3544" t="s">
        <v>3972</v>
      </c>
      <c r="B46" s="3544" t="s">
        <v>3625</v>
      </c>
      <c r="C46" s="3544" t="s">
        <v>3684</v>
      </c>
      <c r="D46" s="3544" t="s">
        <v>3632</v>
      </c>
      <c r="E46" s="3544" t="s">
        <v>3659</v>
      </c>
      <c r="F46" s="3544" t="s">
        <v>3973</v>
      </c>
      <c r="G46" s="3544" t="s">
        <v>3630</v>
      </c>
      <c r="H46" s="3544" t="s">
        <v>3974</v>
      </c>
      <c r="I46" s="3544" t="s">
        <v>3632</v>
      </c>
      <c r="J46" s="3544" t="s">
        <v>3632</v>
      </c>
      <c r="K46" s="3544" t="s">
        <v>3975</v>
      </c>
      <c r="L46" s="3544" t="s">
        <v>3976</v>
      </c>
    </row>
    <row r="47" spans="1:12" s="3545" customFormat="1" hidden="1">
      <c r="A47" s="3544" t="s">
        <v>3977</v>
      </c>
      <c r="B47" s="3544" t="s">
        <v>3625</v>
      </c>
      <c r="C47" s="3544" t="s">
        <v>3978</v>
      </c>
      <c r="D47" s="3544" t="s">
        <v>3979</v>
      </c>
      <c r="E47" s="3544" t="s">
        <v>3659</v>
      </c>
      <c r="F47" s="3544" t="s">
        <v>3980</v>
      </c>
      <c r="G47" s="3544" t="s">
        <v>3632</v>
      </c>
      <c r="H47" s="3544" t="s">
        <v>3981</v>
      </c>
      <c r="I47" s="3544" t="s">
        <v>3982</v>
      </c>
      <c r="J47" s="3544" t="s">
        <v>3983</v>
      </c>
      <c r="K47" s="3544" t="s">
        <v>3877</v>
      </c>
      <c r="L47" s="3544" t="s">
        <v>3984</v>
      </c>
    </row>
    <row r="48" spans="1:12" s="3545" customFormat="1" hidden="1">
      <c r="A48" s="3544" t="s">
        <v>3985</v>
      </c>
      <c r="B48" s="3544" t="s">
        <v>3986</v>
      </c>
      <c r="C48" s="3544" t="s">
        <v>3632</v>
      </c>
      <c r="D48" s="3544" t="s">
        <v>3632</v>
      </c>
      <c r="E48" s="3544" t="s">
        <v>3987</v>
      </c>
      <c r="F48" s="3544" t="s">
        <v>3988</v>
      </c>
      <c r="G48" s="3544" t="s">
        <v>3645</v>
      </c>
      <c r="H48" s="3544" t="s">
        <v>3989</v>
      </c>
      <c r="I48" s="3544" t="s">
        <v>3990</v>
      </c>
      <c r="J48" s="3544" t="s">
        <v>3991</v>
      </c>
      <c r="K48" s="3544" t="s">
        <v>3641</v>
      </c>
      <c r="L48" s="3544" t="s">
        <v>3992</v>
      </c>
    </row>
    <row r="49" spans="1:12" s="3545" customFormat="1" hidden="1">
      <c r="A49" s="3544" t="s">
        <v>3993</v>
      </c>
      <c r="B49" s="3544" t="s">
        <v>3994</v>
      </c>
      <c r="C49" s="3544" t="s">
        <v>3632</v>
      </c>
      <c r="D49" s="3544" t="s">
        <v>3632</v>
      </c>
      <c r="E49" s="3544" t="s">
        <v>3987</v>
      </c>
      <c r="F49" s="3544" t="s">
        <v>3959</v>
      </c>
      <c r="G49" s="3544" t="s">
        <v>3630</v>
      </c>
      <c r="H49" s="3544" t="s">
        <v>3995</v>
      </c>
      <c r="I49" s="3544" t="s">
        <v>3996</v>
      </c>
      <c r="J49" s="3544" t="s">
        <v>3997</v>
      </c>
      <c r="K49" s="3544" t="s">
        <v>3641</v>
      </c>
      <c r="L49" s="3544" t="s">
        <v>3998</v>
      </c>
    </row>
    <row r="50" spans="1:12" s="3545" customFormat="1" hidden="1">
      <c r="A50" s="3544" t="s">
        <v>3999</v>
      </c>
      <c r="B50" s="3544" t="s">
        <v>3625</v>
      </c>
      <c r="C50" s="3544" t="s">
        <v>3838</v>
      </c>
      <c r="D50" s="3544" t="s">
        <v>3632</v>
      </c>
      <c r="E50" s="3544" t="s">
        <v>3987</v>
      </c>
      <c r="F50" s="3544" t="s">
        <v>3959</v>
      </c>
      <c r="G50" s="3544" t="s">
        <v>3632</v>
      </c>
      <c r="H50" s="3544" t="s">
        <v>4000</v>
      </c>
      <c r="I50" s="3544" t="s">
        <v>3632</v>
      </c>
      <c r="J50" s="3544" t="s">
        <v>3632</v>
      </c>
      <c r="K50" s="3544" t="s">
        <v>4001</v>
      </c>
      <c r="L50" s="3544" t="s">
        <v>4002</v>
      </c>
    </row>
    <row r="51" spans="1:12" s="3545" customFormat="1" hidden="1">
      <c r="A51" s="3544" t="s">
        <v>4003</v>
      </c>
      <c r="B51" s="3544" t="s">
        <v>3718</v>
      </c>
      <c r="C51" s="3544" t="s">
        <v>4004</v>
      </c>
      <c r="D51" s="3544" t="s">
        <v>3632</v>
      </c>
      <c r="E51" s="3544" t="s">
        <v>3987</v>
      </c>
      <c r="F51" s="3544" t="s">
        <v>4005</v>
      </c>
      <c r="G51" s="3544" t="s">
        <v>3645</v>
      </c>
      <c r="H51" s="3544" t="s">
        <v>3632</v>
      </c>
      <c r="I51" s="3544" t="s">
        <v>3632</v>
      </c>
      <c r="J51" s="3544" t="s">
        <v>4006</v>
      </c>
      <c r="K51" s="3544" t="s">
        <v>4007</v>
      </c>
      <c r="L51" s="3544" t="s">
        <v>4008</v>
      </c>
    </row>
    <row r="52" spans="1:12" s="3545" customFormat="1" hidden="1">
      <c r="A52" s="3544" t="s">
        <v>4009</v>
      </c>
      <c r="B52" s="3544" t="s">
        <v>3651</v>
      </c>
      <c r="C52" s="3544" t="s">
        <v>4010</v>
      </c>
      <c r="D52" s="3544" t="s">
        <v>3632</v>
      </c>
      <c r="E52" s="3544" t="s">
        <v>3987</v>
      </c>
      <c r="F52" s="3544" t="s">
        <v>4011</v>
      </c>
      <c r="G52" s="3544" t="s">
        <v>3645</v>
      </c>
      <c r="H52" s="3544" t="s">
        <v>4012</v>
      </c>
      <c r="I52" s="3544" t="s">
        <v>4013</v>
      </c>
      <c r="J52" s="3544" t="s">
        <v>4014</v>
      </c>
      <c r="K52" s="3544" t="s">
        <v>4015</v>
      </c>
      <c r="L52" s="3544" t="s">
        <v>4016</v>
      </c>
    </row>
    <row r="53" spans="1:12" s="3545" customFormat="1" hidden="1">
      <c r="A53" s="3544" t="s">
        <v>4017</v>
      </c>
      <c r="B53" s="3544" t="s">
        <v>3636</v>
      </c>
      <c r="C53" s="3544" t="s">
        <v>4018</v>
      </c>
      <c r="D53" s="3544" t="s">
        <v>3632</v>
      </c>
      <c r="E53" s="3544" t="s">
        <v>3987</v>
      </c>
      <c r="F53" s="3544" t="s">
        <v>4019</v>
      </c>
      <c r="G53" s="3544" t="s">
        <v>3645</v>
      </c>
      <c r="H53" s="3544" t="s">
        <v>4020</v>
      </c>
      <c r="I53" s="3544" t="s">
        <v>4021</v>
      </c>
      <c r="J53" s="3544" t="s">
        <v>4022</v>
      </c>
      <c r="K53" s="3544" t="s">
        <v>4023</v>
      </c>
      <c r="L53" s="3544" t="s">
        <v>4024</v>
      </c>
    </row>
    <row r="54" spans="1:12" hidden="1">
      <c r="A54" s="3546" t="s">
        <v>4025</v>
      </c>
      <c r="B54" s="3546" t="s">
        <v>3709</v>
      </c>
      <c r="C54" s="3546" t="s">
        <v>4026</v>
      </c>
      <c r="D54" s="3546" t="s">
        <v>3632</v>
      </c>
      <c r="E54" s="3546" t="s">
        <v>3987</v>
      </c>
      <c r="F54" s="3546" t="s">
        <v>4027</v>
      </c>
      <c r="G54" s="3546" t="s">
        <v>3630</v>
      </c>
      <c r="H54" s="3546" t="s">
        <v>4028</v>
      </c>
      <c r="I54" s="3546" t="s">
        <v>3632</v>
      </c>
      <c r="J54" s="3546" t="s">
        <v>4029</v>
      </c>
      <c r="K54" s="3546" t="s">
        <v>4030</v>
      </c>
      <c r="L54" s="3546" t="s">
        <v>4031</v>
      </c>
    </row>
    <row r="55" spans="1:12" s="3545" customFormat="1">
      <c r="A55" s="3544" t="s">
        <v>4032</v>
      </c>
      <c r="B55" s="3544" t="s">
        <v>3699</v>
      </c>
      <c r="C55" s="3544" t="s">
        <v>3700</v>
      </c>
      <c r="D55" s="3544" t="s">
        <v>4033</v>
      </c>
      <c r="E55" s="3544" t="s">
        <v>3987</v>
      </c>
      <c r="F55" s="3544" t="s">
        <v>4034</v>
      </c>
      <c r="G55" s="3544" t="s">
        <v>3632</v>
      </c>
      <c r="H55" s="3544" t="s">
        <v>4035</v>
      </c>
      <c r="I55" s="3544" t="s">
        <v>4036</v>
      </c>
      <c r="J55" s="3544" t="s">
        <v>4037</v>
      </c>
      <c r="K55" s="3544" t="s">
        <v>3641</v>
      </c>
      <c r="L55" s="3544" t="s">
        <v>4038</v>
      </c>
    </row>
    <row r="56" spans="1:12" s="3545" customFormat="1">
      <c r="A56" s="3544" t="s">
        <v>4039</v>
      </c>
      <c r="B56" s="3544" t="s">
        <v>3699</v>
      </c>
      <c r="C56" s="3544" t="s">
        <v>3916</v>
      </c>
      <c r="D56" s="3544" t="s">
        <v>3632</v>
      </c>
      <c r="E56" s="3544" t="s">
        <v>3987</v>
      </c>
      <c r="F56" s="3544" t="s">
        <v>4040</v>
      </c>
      <c r="G56" s="3544" t="s">
        <v>3630</v>
      </c>
      <c r="H56" s="3544" t="s">
        <v>4041</v>
      </c>
      <c r="I56" s="3544" t="s">
        <v>4042</v>
      </c>
      <c r="J56" s="3544" t="s">
        <v>4043</v>
      </c>
      <c r="K56" s="3544" t="s">
        <v>4044</v>
      </c>
      <c r="L56" s="3544" t="s">
        <v>4045</v>
      </c>
    </row>
    <row r="57" spans="1:12" s="3545" customFormat="1" hidden="1">
      <c r="A57" s="3544" t="s">
        <v>4046</v>
      </c>
      <c r="B57" s="3544" t="s">
        <v>4047</v>
      </c>
      <c r="C57" s="3544" t="s">
        <v>3632</v>
      </c>
      <c r="D57" s="3544" t="s">
        <v>3632</v>
      </c>
      <c r="E57" s="3544" t="s">
        <v>3987</v>
      </c>
      <c r="F57" s="3544" t="s">
        <v>4048</v>
      </c>
      <c r="G57" s="3544" t="s">
        <v>3645</v>
      </c>
      <c r="H57" s="3544" t="s">
        <v>3632</v>
      </c>
      <c r="I57" s="3544" t="s">
        <v>3632</v>
      </c>
      <c r="J57" s="3544" t="s">
        <v>4049</v>
      </c>
      <c r="K57" s="3544" t="s">
        <v>4050</v>
      </c>
      <c r="L57" s="3544" t="s">
        <v>3836</v>
      </c>
    </row>
    <row r="58" spans="1:12" s="3545" customFormat="1" hidden="1">
      <c r="A58" s="3544" t="s">
        <v>4051</v>
      </c>
      <c r="B58" s="3544" t="s">
        <v>3830</v>
      </c>
      <c r="C58" s="3544" t="s">
        <v>4052</v>
      </c>
      <c r="D58" s="3544" t="s">
        <v>3632</v>
      </c>
      <c r="E58" s="3544" t="s">
        <v>3987</v>
      </c>
      <c r="F58" s="3544" t="s">
        <v>4053</v>
      </c>
      <c r="G58" s="3544" t="s">
        <v>3630</v>
      </c>
      <c r="H58" s="3544" t="s">
        <v>4054</v>
      </c>
      <c r="I58" s="3544" t="s">
        <v>4055</v>
      </c>
      <c r="J58" s="3544" t="s">
        <v>4056</v>
      </c>
      <c r="K58" s="3544" t="s">
        <v>3641</v>
      </c>
      <c r="L58" s="3544" t="s">
        <v>4057</v>
      </c>
    </row>
    <row r="59" spans="1:12" s="3545" customFormat="1" hidden="1">
      <c r="A59" s="3544" t="s">
        <v>4058</v>
      </c>
      <c r="B59" s="3544" t="s">
        <v>3625</v>
      </c>
      <c r="C59" s="3544" t="s">
        <v>3769</v>
      </c>
      <c r="D59" s="3544" t="s">
        <v>4059</v>
      </c>
      <c r="E59" s="3544" t="s">
        <v>3987</v>
      </c>
      <c r="F59" s="3544" t="s">
        <v>4060</v>
      </c>
      <c r="G59" s="3544" t="s">
        <v>3630</v>
      </c>
      <c r="H59" s="3544" t="s">
        <v>4061</v>
      </c>
      <c r="I59" s="3544" t="s">
        <v>4062</v>
      </c>
      <c r="J59" s="3544" t="s">
        <v>4063</v>
      </c>
      <c r="K59" s="3544" t="s">
        <v>4064</v>
      </c>
      <c r="L59" s="3544" t="s">
        <v>4065</v>
      </c>
    </row>
    <row r="60" spans="1:12" hidden="1">
      <c r="A60" s="3546" t="s">
        <v>4066</v>
      </c>
      <c r="B60" s="3546" t="s">
        <v>3709</v>
      </c>
      <c r="C60" s="3546" t="s">
        <v>3632</v>
      </c>
      <c r="D60" s="3546" t="s">
        <v>3632</v>
      </c>
      <c r="E60" s="3546" t="s">
        <v>3987</v>
      </c>
      <c r="F60" s="3546" t="s">
        <v>4067</v>
      </c>
      <c r="G60" s="3546" t="s">
        <v>3630</v>
      </c>
      <c r="H60" s="3546" t="s">
        <v>4000</v>
      </c>
      <c r="I60" s="3546" t="s">
        <v>3632</v>
      </c>
      <c r="J60" s="3546" t="s">
        <v>3632</v>
      </c>
      <c r="K60" s="3546" t="s">
        <v>4068</v>
      </c>
      <c r="L60" s="3546" t="s">
        <v>4069</v>
      </c>
    </row>
    <row r="61" spans="1:12" s="3545" customFormat="1" hidden="1">
      <c r="A61" s="3544" t="s">
        <v>4070</v>
      </c>
      <c r="B61" s="3544" t="s">
        <v>4071</v>
      </c>
      <c r="C61" s="3544" t="s">
        <v>4072</v>
      </c>
      <c r="D61" s="3544" t="s">
        <v>3632</v>
      </c>
      <c r="E61" s="3544" t="s">
        <v>3987</v>
      </c>
      <c r="F61" s="3544" t="s">
        <v>4073</v>
      </c>
      <c r="G61" s="3544" t="s">
        <v>3645</v>
      </c>
      <c r="H61" s="3544" t="s">
        <v>4074</v>
      </c>
      <c r="I61" s="3544" t="s">
        <v>4075</v>
      </c>
      <c r="J61" s="3544" t="s">
        <v>4076</v>
      </c>
      <c r="K61" s="3544" t="s">
        <v>4077</v>
      </c>
      <c r="L61" s="3544" t="s">
        <v>4078</v>
      </c>
    </row>
    <row r="62" spans="1:12" s="3545" customFormat="1" hidden="1">
      <c r="A62" s="3544" t="s">
        <v>4079</v>
      </c>
      <c r="B62" s="3544" t="s">
        <v>3728</v>
      </c>
      <c r="C62" s="3544" t="s">
        <v>4080</v>
      </c>
      <c r="D62" s="3544" t="s">
        <v>3632</v>
      </c>
      <c r="E62" s="3544" t="s">
        <v>3987</v>
      </c>
      <c r="F62" s="3544" t="s">
        <v>4081</v>
      </c>
      <c r="G62" s="3544" t="s">
        <v>4082</v>
      </c>
      <c r="H62" s="3544" t="s">
        <v>4083</v>
      </c>
      <c r="I62" s="3544" t="s">
        <v>4084</v>
      </c>
      <c r="J62" s="3544" t="s">
        <v>4085</v>
      </c>
      <c r="K62" s="3544" t="s">
        <v>4086</v>
      </c>
      <c r="L62" s="3544" t="s">
        <v>4087</v>
      </c>
    </row>
    <row r="63" spans="1:12" s="3545" customFormat="1" hidden="1">
      <c r="A63" s="3544" t="s">
        <v>4088</v>
      </c>
      <c r="B63" s="3544" t="s">
        <v>4089</v>
      </c>
      <c r="C63" s="3544" t="s">
        <v>4090</v>
      </c>
      <c r="D63" s="3544" t="s">
        <v>3632</v>
      </c>
      <c r="E63" s="3544" t="s">
        <v>3987</v>
      </c>
      <c r="F63" s="3544" t="s">
        <v>4027</v>
      </c>
      <c r="G63" s="3544" t="s">
        <v>4082</v>
      </c>
      <c r="H63" s="3544" t="s">
        <v>4091</v>
      </c>
      <c r="I63" s="3544" t="s">
        <v>4092</v>
      </c>
      <c r="J63" s="3544" t="s">
        <v>4093</v>
      </c>
      <c r="K63" s="3544" t="s">
        <v>3641</v>
      </c>
      <c r="L63" s="3544" t="s">
        <v>4094</v>
      </c>
    </row>
    <row r="64" spans="1:12" s="3545" customFormat="1" hidden="1">
      <c r="A64" s="3544" t="s">
        <v>4095</v>
      </c>
      <c r="B64" s="3544" t="s">
        <v>3830</v>
      </c>
      <c r="C64" s="3544" t="s">
        <v>4096</v>
      </c>
      <c r="D64" s="3544" t="s">
        <v>3632</v>
      </c>
      <c r="E64" s="3544" t="s">
        <v>3987</v>
      </c>
      <c r="F64" s="3544" t="s">
        <v>4097</v>
      </c>
      <c r="G64" s="3544" t="s">
        <v>3630</v>
      </c>
      <c r="H64" s="3544" t="s">
        <v>4098</v>
      </c>
      <c r="I64" s="3544" t="s">
        <v>4099</v>
      </c>
      <c r="J64" s="3544" t="s">
        <v>4100</v>
      </c>
      <c r="K64" s="3544" t="s">
        <v>4101</v>
      </c>
      <c r="L64" s="3544" t="s">
        <v>4102</v>
      </c>
    </row>
    <row r="65" spans="1:12" s="3545" customFormat="1" hidden="1">
      <c r="A65" s="3544" t="s">
        <v>4103</v>
      </c>
      <c r="B65" s="3544" t="s">
        <v>4104</v>
      </c>
      <c r="C65" s="3544" t="s">
        <v>4105</v>
      </c>
      <c r="D65" s="3544" t="s">
        <v>3632</v>
      </c>
      <c r="E65" s="3544" t="s">
        <v>3987</v>
      </c>
      <c r="F65" s="3544" t="s">
        <v>4106</v>
      </c>
      <c r="G65" s="3544" t="s">
        <v>3630</v>
      </c>
      <c r="H65" s="3544" t="s">
        <v>4107</v>
      </c>
      <c r="I65" s="3544" t="s">
        <v>4108</v>
      </c>
      <c r="J65" s="3544" t="s">
        <v>4109</v>
      </c>
      <c r="K65" s="3544" t="s">
        <v>3725</v>
      </c>
      <c r="L65" s="3544" t="s">
        <v>4110</v>
      </c>
    </row>
    <row r="66" spans="1:12" hidden="1">
      <c r="A66" s="3546" t="s">
        <v>4111</v>
      </c>
      <c r="B66" s="3546" t="s">
        <v>3709</v>
      </c>
      <c r="C66" s="3546" t="s">
        <v>4112</v>
      </c>
      <c r="D66" s="3546" t="s">
        <v>3632</v>
      </c>
      <c r="E66" s="3546" t="s">
        <v>3987</v>
      </c>
      <c r="F66" s="3546" t="s">
        <v>3639</v>
      </c>
      <c r="G66" s="3546" t="s">
        <v>3632</v>
      </c>
      <c r="H66" s="3546" t="s">
        <v>4113</v>
      </c>
      <c r="I66" s="3546" t="s">
        <v>3632</v>
      </c>
      <c r="J66" s="3546" t="s">
        <v>3632</v>
      </c>
      <c r="K66" s="3546" t="s">
        <v>4114</v>
      </c>
      <c r="L66" s="3546" t="s">
        <v>4115</v>
      </c>
    </row>
    <row r="67" spans="1:12" s="3545" customFormat="1" hidden="1">
      <c r="A67" s="3544" t="s">
        <v>4116</v>
      </c>
      <c r="B67" s="3544" t="s">
        <v>3830</v>
      </c>
      <c r="C67" s="3544" t="s">
        <v>4117</v>
      </c>
      <c r="D67" s="3544" t="s">
        <v>3632</v>
      </c>
      <c r="E67" s="3544" t="s">
        <v>3987</v>
      </c>
      <c r="F67" s="3544" t="s">
        <v>4118</v>
      </c>
      <c r="G67" s="3544" t="s">
        <v>3645</v>
      </c>
      <c r="H67" s="3544" t="s">
        <v>4119</v>
      </c>
      <c r="I67" s="3544" t="s">
        <v>4120</v>
      </c>
      <c r="J67" s="3544" t="s">
        <v>4121</v>
      </c>
      <c r="K67" s="3544" t="s">
        <v>3641</v>
      </c>
      <c r="L67" s="3544" t="s">
        <v>4122</v>
      </c>
    </row>
    <row r="68" spans="1:12" s="3545" customFormat="1" hidden="1">
      <c r="A68" s="3544" t="s">
        <v>4123</v>
      </c>
      <c r="B68" s="3544" t="s">
        <v>3625</v>
      </c>
      <c r="C68" s="3544" t="s">
        <v>3769</v>
      </c>
      <c r="D68" s="3544" t="s">
        <v>4124</v>
      </c>
      <c r="E68" s="3544" t="s">
        <v>3987</v>
      </c>
      <c r="F68" s="3544" t="s">
        <v>3685</v>
      </c>
      <c r="G68" s="3544" t="s">
        <v>3645</v>
      </c>
      <c r="H68" s="3544" t="s">
        <v>4125</v>
      </c>
      <c r="I68" s="3544" t="s">
        <v>4126</v>
      </c>
      <c r="J68" s="3544" t="s">
        <v>4127</v>
      </c>
      <c r="K68" s="3544" t="s">
        <v>4128</v>
      </c>
      <c r="L68" s="3544" t="s">
        <v>4129</v>
      </c>
    </row>
    <row r="69" spans="1:12" s="3545" customFormat="1" hidden="1">
      <c r="A69" s="3544" t="s">
        <v>4130</v>
      </c>
      <c r="B69" s="3544" t="s">
        <v>4131</v>
      </c>
      <c r="C69" s="3544" t="s">
        <v>4132</v>
      </c>
      <c r="D69" s="3544" t="s">
        <v>3632</v>
      </c>
      <c r="E69" s="3544" t="s">
        <v>3987</v>
      </c>
      <c r="F69" s="3544" t="s">
        <v>4133</v>
      </c>
      <c r="G69" s="3544" t="s">
        <v>3632</v>
      </c>
      <c r="H69" s="3544" t="s">
        <v>4134</v>
      </c>
      <c r="I69" s="3544" t="s">
        <v>4135</v>
      </c>
      <c r="J69" s="3544" t="s">
        <v>4136</v>
      </c>
      <c r="K69" s="3544" t="s">
        <v>4137</v>
      </c>
      <c r="L69" s="3544" t="s">
        <v>4138</v>
      </c>
    </row>
    <row r="70" spans="1:12" s="3545" customFormat="1" hidden="1">
      <c r="A70" s="3544" t="s">
        <v>4139</v>
      </c>
      <c r="B70" s="3544" t="s">
        <v>4140</v>
      </c>
      <c r="C70" s="3544" t="s">
        <v>4141</v>
      </c>
      <c r="D70" s="3544" t="s">
        <v>3632</v>
      </c>
      <c r="E70" s="3544" t="s">
        <v>3987</v>
      </c>
      <c r="F70" s="3544" t="s">
        <v>4142</v>
      </c>
      <c r="G70" s="3544" t="s">
        <v>3630</v>
      </c>
      <c r="H70" s="3544" t="s">
        <v>4143</v>
      </c>
      <c r="I70" s="3544" t="s">
        <v>4144</v>
      </c>
      <c r="J70" s="3544" t="s">
        <v>4145</v>
      </c>
      <c r="K70" s="3544" t="s">
        <v>4146</v>
      </c>
      <c r="L70" s="3544" t="s">
        <v>4147</v>
      </c>
    </row>
    <row r="71" spans="1:12" s="3545" customFormat="1" hidden="1">
      <c r="A71" s="3544" t="s">
        <v>4148</v>
      </c>
      <c r="B71" s="3544" t="s">
        <v>3676</v>
      </c>
      <c r="C71" s="3544" t="s">
        <v>4149</v>
      </c>
      <c r="D71" s="3544" t="s">
        <v>4149</v>
      </c>
      <c r="E71" s="3544" t="s">
        <v>3987</v>
      </c>
      <c r="F71" s="3544" t="s">
        <v>4097</v>
      </c>
      <c r="G71" s="3544" t="s">
        <v>3632</v>
      </c>
      <c r="H71" s="3544" t="s">
        <v>4150</v>
      </c>
      <c r="I71" s="3544" t="s">
        <v>4151</v>
      </c>
      <c r="J71" s="3544" t="s">
        <v>4152</v>
      </c>
      <c r="K71" s="3544" t="s">
        <v>4153</v>
      </c>
      <c r="L71" s="3544" t="s">
        <v>4154</v>
      </c>
    </row>
    <row r="72" spans="1:12" s="3545" customFormat="1" hidden="1">
      <c r="A72" s="3544" t="s">
        <v>4155</v>
      </c>
      <c r="B72" s="3544" t="s">
        <v>3728</v>
      </c>
      <c r="C72" s="3544" t="s">
        <v>4156</v>
      </c>
      <c r="D72" s="3544" t="s">
        <v>3632</v>
      </c>
      <c r="E72" s="3544" t="s">
        <v>3987</v>
      </c>
      <c r="F72" s="3544" t="s">
        <v>4157</v>
      </c>
      <c r="G72" s="3544" t="s">
        <v>3645</v>
      </c>
      <c r="H72" s="3544" t="s">
        <v>4158</v>
      </c>
      <c r="I72" s="3544" t="s">
        <v>4159</v>
      </c>
      <c r="J72" s="3544" t="s">
        <v>4160</v>
      </c>
      <c r="K72" s="3544" t="s">
        <v>4161</v>
      </c>
      <c r="L72" s="3544" t="s">
        <v>4162</v>
      </c>
    </row>
    <row r="73" spans="1:12" s="3545" customFormat="1" hidden="1">
      <c r="A73" s="3544" t="s">
        <v>4163</v>
      </c>
      <c r="B73" s="3544" t="s">
        <v>4131</v>
      </c>
      <c r="C73" s="3544" t="s">
        <v>4164</v>
      </c>
      <c r="D73" s="3544" t="s">
        <v>3632</v>
      </c>
      <c r="E73" s="3544" t="s">
        <v>3987</v>
      </c>
      <c r="F73" s="3544" t="s">
        <v>4027</v>
      </c>
      <c r="G73" s="3544" t="s">
        <v>4082</v>
      </c>
      <c r="H73" s="3544" t="s">
        <v>4165</v>
      </c>
      <c r="I73" s="3544" t="s">
        <v>4166</v>
      </c>
      <c r="J73" s="3544" t="s">
        <v>4167</v>
      </c>
      <c r="K73" s="3544" t="s">
        <v>3641</v>
      </c>
      <c r="L73" s="3544" t="s">
        <v>4168</v>
      </c>
    </row>
    <row r="74" spans="1:12" s="3545" customFormat="1" hidden="1">
      <c r="A74" s="3544" t="s">
        <v>4169</v>
      </c>
      <c r="B74" s="3544" t="s">
        <v>4104</v>
      </c>
      <c r="C74" s="3544" t="s">
        <v>4170</v>
      </c>
      <c r="D74" s="3544" t="s">
        <v>3632</v>
      </c>
      <c r="E74" s="3544" t="s">
        <v>3987</v>
      </c>
      <c r="F74" s="3544" t="s">
        <v>4171</v>
      </c>
      <c r="G74" s="3544" t="s">
        <v>4082</v>
      </c>
      <c r="H74" s="3544" t="s">
        <v>4172</v>
      </c>
      <c r="I74" s="3544" t="s">
        <v>4173</v>
      </c>
      <c r="J74" s="3544" t="s">
        <v>4174</v>
      </c>
      <c r="K74" s="3544" t="s">
        <v>4175</v>
      </c>
      <c r="L74" s="3544" t="s">
        <v>4176</v>
      </c>
    </row>
    <row r="75" spans="1:12" s="3545" customFormat="1" hidden="1">
      <c r="A75" s="3544" t="s">
        <v>4177</v>
      </c>
      <c r="B75" s="3544" t="s">
        <v>3676</v>
      </c>
      <c r="C75" s="3544" t="s">
        <v>4178</v>
      </c>
      <c r="D75" s="3544" t="s">
        <v>3632</v>
      </c>
      <c r="E75" s="3544" t="s">
        <v>3987</v>
      </c>
      <c r="F75" s="3544" t="s">
        <v>4179</v>
      </c>
      <c r="G75" s="3544" t="s">
        <v>3630</v>
      </c>
      <c r="H75" s="3544" t="s">
        <v>3632</v>
      </c>
      <c r="I75" s="3544" t="s">
        <v>3632</v>
      </c>
      <c r="J75" s="3544" t="s">
        <v>4180</v>
      </c>
      <c r="K75" s="3544" t="s">
        <v>4181</v>
      </c>
      <c r="L75" s="3544" t="s">
        <v>4182</v>
      </c>
    </row>
    <row r="76" spans="1:12" s="3545" customFormat="1" hidden="1">
      <c r="A76" s="3544" t="s">
        <v>4183</v>
      </c>
      <c r="B76" s="3544" t="s">
        <v>4184</v>
      </c>
      <c r="C76" s="3544" t="s">
        <v>4185</v>
      </c>
      <c r="D76" s="3544" t="s">
        <v>3632</v>
      </c>
      <c r="E76" s="3544" t="s">
        <v>3987</v>
      </c>
      <c r="F76" s="3544" t="s">
        <v>4186</v>
      </c>
      <c r="G76" s="3544" t="s">
        <v>3632</v>
      </c>
      <c r="H76" s="3544" t="s">
        <v>4187</v>
      </c>
      <c r="I76" s="3544" t="s">
        <v>4188</v>
      </c>
      <c r="J76" s="3544" t="s">
        <v>4189</v>
      </c>
      <c r="K76" s="3544" t="s">
        <v>3641</v>
      </c>
      <c r="L76" s="3544" t="s">
        <v>4190</v>
      </c>
    </row>
    <row r="77" spans="1:12" s="3545" customFormat="1" hidden="1">
      <c r="A77" s="3544" t="s">
        <v>4191</v>
      </c>
      <c r="B77" s="3544" t="s">
        <v>4192</v>
      </c>
      <c r="C77" s="3544" t="s">
        <v>4193</v>
      </c>
      <c r="D77" s="3544" t="s">
        <v>3632</v>
      </c>
      <c r="E77" s="3544" t="s">
        <v>3987</v>
      </c>
      <c r="F77" s="3544" t="s">
        <v>4097</v>
      </c>
      <c r="G77" s="3544" t="s">
        <v>3645</v>
      </c>
      <c r="H77" s="3544" t="s">
        <v>4194</v>
      </c>
      <c r="I77" s="3544" t="s">
        <v>4195</v>
      </c>
      <c r="J77" s="3544" t="s">
        <v>4196</v>
      </c>
      <c r="K77" s="3544" t="s">
        <v>4161</v>
      </c>
      <c r="L77" s="3544" t="s">
        <v>4197</v>
      </c>
    </row>
    <row r="78" spans="1:12" s="3545" customFormat="1" hidden="1">
      <c r="A78" s="3544" t="s">
        <v>4198</v>
      </c>
      <c r="B78" s="3544" t="s">
        <v>4089</v>
      </c>
      <c r="C78" s="3544" t="s">
        <v>4199</v>
      </c>
      <c r="D78" s="3544" t="s">
        <v>3632</v>
      </c>
      <c r="E78" s="3544" t="s">
        <v>3987</v>
      </c>
      <c r="F78" s="3544" t="s">
        <v>4200</v>
      </c>
      <c r="G78" s="3544" t="s">
        <v>4082</v>
      </c>
      <c r="H78" s="3544" t="s">
        <v>4201</v>
      </c>
      <c r="I78" s="3544" t="s">
        <v>4202</v>
      </c>
      <c r="J78" s="3544" t="s">
        <v>4203</v>
      </c>
      <c r="K78" s="3544" t="s">
        <v>3641</v>
      </c>
      <c r="L78" s="3544" t="s">
        <v>4204</v>
      </c>
    </row>
    <row r="79" spans="1:12" s="3545" customFormat="1" hidden="1">
      <c r="A79" s="3544" t="s">
        <v>4205</v>
      </c>
      <c r="B79" s="3544" t="s">
        <v>3830</v>
      </c>
      <c r="C79" s="3544" t="s">
        <v>4052</v>
      </c>
      <c r="D79" s="3544" t="s">
        <v>3632</v>
      </c>
      <c r="E79" s="3544" t="s">
        <v>3987</v>
      </c>
      <c r="F79" s="3544" t="s">
        <v>4206</v>
      </c>
      <c r="G79" s="3544" t="s">
        <v>3630</v>
      </c>
      <c r="H79" s="3544" t="s">
        <v>4207</v>
      </c>
      <c r="I79" s="3544" t="s">
        <v>4208</v>
      </c>
      <c r="J79" s="3544" t="s">
        <v>4209</v>
      </c>
      <c r="K79" s="3544" t="s">
        <v>4210</v>
      </c>
      <c r="L79" s="3544" t="s">
        <v>4211</v>
      </c>
    </row>
    <row r="80" spans="1:12" s="3545" customFormat="1" hidden="1">
      <c r="A80" s="3544" t="s">
        <v>4212</v>
      </c>
      <c r="B80" s="3544" t="s">
        <v>4213</v>
      </c>
      <c r="C80" s="3544" t="s">
        <v>3632</v>
      </c>
      <c r="D80" s="3544" t="s">
        <v>3632</v>
      </c>
      <c r="E80" s="3544" t="s">
        <v>3987</v>
      </c>
      <c r="F80" s="3544" t="s">
        <v>4214</v>
      </c>
      <c r="G80" s="3544" t="s">
        <v>3630</v>
      </c>
      <c r="H80" s="3544" t="s">
        <v>4215</v>
      </c>
      <c r="I80" s="3544" t="s">
        <v>4216</v>
      </c>
      <c r="J80" s="3544" t="s">
        <v>4217</v>
      </c>
      <c r="K80" s="3544" t="s">
        <v>4218</v>
      </c>
      <c r="L80" s="3544" t="s">
        <v>4219</v>
      </c>
    </row>
    <row r="81" spans="1:12" s="3545" customFormat="1" hidden="1">
      <c r="A81" s="3544" t="s">
        <v>4220</v>
      </c>
      <c r="B81" s="3544" t="s">
        <v>3636</v>
      </c>
      <c r="C81" s="3544" t="s">
        <v>3637</v>
      </c>
      <c r="D81" s="3544" t="s">
        <v>3632</v>
      </c>
      <c r="E81" s="3544" t="s">
        <v>3987</v>
      </c>
      <c r="F81" s="3544" t="s">
        <v>4221</v>
      </c>
      <c r="G81" s="3544" t="s">
        <v>3645</v>
      </c>
      <c r="H81" s="3544" t="s">
        <v>4222</v>
      </c>
      <c r="I81" s="3544" t="s">
        <v>4223</v>
      </c>
      <c r="J81" s="3544" t="s">
        <v>4224</v>
      </c>
      <c r="K81" s="3544" t="s">
        <v>4225</v>
      </c>
      <c r="L81" s="3544" t="s">
        <v>4226</v>
      </c>
    </row>
    <row r="82" spans="1:12" s="3545" customFormat="1">
      <c r="A82" s="3544" t="s">
        <v>4227</v>
      </c>
      <c r="B82" s="3544" t="s">
        <v>3699</v>
      </c>
      <c r="C82" s="3544" t="s">
        <v>3916</v>
      </c>
      <c r="D82" s="3544" t="s">
        <v>3632</v>
      </c>
      <c r="E82" s="3544" t="s">
        <v>3987</v>
      </c>
      <c r="F82" s="3544" t="s">
        <v>4228</v>
      </c>
      <c r="G82" s="3544" t="s">
        <v>3630</v>
      </c>
      <c r="H82" s="3544" t="s">
        <v>4229</v>
      </c>
      <c r="I82" s="3544" t="s">
        <v>4230</v>
      </c>
      <c r="J82" s="3544" t="s">
        <v>4231</v>
      </c>
      <c r="K82" s="3544" t="s">
        <v>4232</v>
      </c>
      <c r="L82" s="3544" t="s">
        <v>4233</v>
      </c>
    </row>
    <row r="83" spans="1:12" s="3545" customFormat="1" hidden="1">
      <c r="A83" s="3544" t="s">
        <v>4234</v>
      </c>
      <c r="B83" s="3544" t="s">
        <v>4235</v>
      </c>
      <c r="C83" s="3544" t="s">
        <v>4236</v>
      </c>
      <c r="D83" s="3544" t="s">
        <v>3632</v>
      </c>
      <c r="E83" s="3544" t="s">
        <v>3987</v>
      </c>
      <c r="F83" s="3544" t="s">
        <v>4237</v>
      </c>
      <c r="G83" s="3544" t="s">
        <v>3645</v>
      </c>
      <c r="H83" s="3544" t="s">
        <v>3647</v>
      </c>
      <c r="I83" s="3544" t="s">
        <v>4238</v>
      </c>
      <c r="J83" s="3544" t="s">
        <v>4239</v>
      </c>
      <c r="K83" s="3544" t="s">
        <v>4240</v>
      </c>
      <c r="L83" s="3544" t="s">
        <v>4241</v>
      </c>
    </row>
    <row r="84" spans="1:12" s="3545" customFormat="1" hidden="1">
      <c r="A84" s="3544" t="s">
        <v>4242</v>
      </c>
      <c r="B84" s="3544" t="s">
        <v>3830</v>
      </c>
      <c r="C84" s="3544" t="s">
        <v>3632</v>
      </c>
      <c r="D84" s="3544" t="s">
        <v>3632</v>
      </c>
      <c r="E84" s="3544" t="s">
        <v>3987</v>
      </c>
      <c r="F84" s="3544" t="s">
        <v>4243</v>
      </c>
      <c r="G84" s="3544" t="s">
        <v>3645</v>
      </c>
      <c r="H84" s="3544" t="s">
        <v>4244</v>
      </c>
      <c r="I84" s="3544" t="s">
        <v>4245</v>
      </c>
      <c r="J84" s="3544" t="s">
        <v>4246</v>
      </c>
      <c r="K84" s="3544" t="s">
        <v>4247</v>
      </c>
      <c r="L84" s="3544" t="s">
        <v>4248</v>
      </c>
    </row>
    <row r="85" spans="1:12" s="3545" customFormat="1" hidden="1">
      <c r="A85" s="3544" t="s">
        <v>4249</v>
      </c>
      <c r="B85" s="3544" t="s">
        <v>3676</v>
      </c>
      <c r="C85" s="3544" t="s">
        <v>4250</v>
      </c>
      <c r="D85" s="3544" t="s">
        <v>3632</v>
      </c>
      <c r="E85" s="3544" t="s">
        <v>3987</v>
      </c>
      <c r="F85" s="3544" t="s">
        <v>4251</v>
      </c>
      <c r="G85" s="3544" t="s">
        <v>3645</v>
      </c>
      <c r="H85" s="3544" t="s">
        <v>4252</v>
      </c>
      <c r="I85" s="3544" t="s">
        <v>4253</v>
      </c>
      <c r="J85" s="3544" t="s">
        <v>4254</v>
      </c>
      <c r="K85" s="3544" t="s">
        <v>4255</v>
      </c>
      <c r="L85" s="3544" t="s">
        <v>4256</v>
      </c>
    </row>
    <row r="86" spans="1:12" s="3545" customFormat="1">
      <c r="A86" s="3544" t="s">
        <v>4257</v>
      </c>
      <c r="B86" s="3544" t="s">
        <v>3699</v>
      </c>
      <c r="C86" s="3544" t="s">
        <v>3700</v>
      </c>
      <c r="D86" s="3544" t="s">
        <v>4033</v>
      </c>
      <c r="E86" s="3544" t="s">
        <v>3987</v>
      </c>
      <c r="F86" s="3544" t="s">
        <v>4258</v>
      </c>
      <c r="G86" s="3544" t="s">
        <v>3645</v>
      </c>
      <c r="H86" s="3544" t="s">
        <v>4259</v>
      </c>
      <c r="I86" s="3544" t="s">
        <v>4260</v>
      </c>
      <c r="J86" s="3544" t="s">
        <v>4261</v>
      </c>
      <c r="K86" s="3544" t="s">
        <v>4262</v>
      </c>
      <c r="L86" s="3544" t="s">
        <v>4038</v>
      </c>
    </row>
    <row r="87" spans="1:12" s="3545" customFormat="1" hidden="1">
      <c r="A87" s="3544" t="s">
        <v>4263</v>
      </c>
      <c r="B87" s="3544" t="s">
        <v>4264</v>
      </c>
      <c r="C87" s="3544" t="s">
        <v>4265</v>
      </c>
      <c r="D87" s="3544" t="s">
        <v>3632</v>
      </c>
      <c r="E87" s="3544" t="s">
        <v>3987</v>
      </c>
      <c r="F87" s="3544" t="s">
        <v>4266</v>
      </c>
      <c r="G87" s="3544" t="s">
        <v>3645</v>
      </c>
      <c r="H87" s="3544" t="s">
        <v>4267</v>
      </c>
      <c r="I87" s="3544" t="s">
        <v>4268</v>
      </c>
      <c r="J87" s="3544" t="s">
        <v>4269</v>
      </c>
      <c r="K87" s="3544" t="s">
        <v>4270</v>
      </c>
      <c r="L87" s="3544" t="s">
        <v>4271</v>
      </c>
    </row>
    <row r="88" spans="1:12" s="3545" customFormat="1" hidden="1">
      <c r="A88" s="3544" t="s">
        <v>4272</v>
      </c>
      <c r="B88" s="3544" t="s">
        <v>4273</v>
      </c>
      <c r="C88" s="3544" t="s">
        <v>4274</v>
      </c>
      <c r="D88" s="3544" t="s">
        <v>3632</v>
      </c>
      <c r="E88" s="3544" t="s">
        <v>3987</v>
      </c>
      <c r="F88" s="3544" t="s">
        <v>4275</v>
      </c>
      <c r="G88" s="3544" t="s">
        <v>3645</v>
      </c>
      <c r="H88" s="3544" t="s">
        <v>4276</v>
      </c>
      <c r="I88" s="3544" t="s">
        <v>4277</v>
      </c>
      <c r="J88" s="3544" t="s">
        <v>4278</v>
      </c>
      <c r="K88" s="3544" t="s">
        <v>4279</v>
      </c>
      <c r="L88" s="3544" t="s">
        <v>4280</v>
      </c>
    </row>
    <row r="89" spans="1:12" s="3545" customFormat="1" hidden="1">
      <c r="A89" s="3544" t="s">
        <v>4281</v>
      </c>
      <c r="B89" s="3544" t="s">
        <v>4264</v>
      </c>
      <c r="C89" s="3544" t="s">
        <v>4282</v>
      </c>
      <c r="D89" s="3544" t="s">
        <v>3632</v>
      </c>
      <c r="E89" s="3544" t="s">
        <v>3987</v>
      </c>
      <c r="F89" s="3544" t="s">
        <v>4283</v>
      </c>
      <c r="G89" s="3544" t="s">
        <v>3645</v>
      </c>
      <c r="H89" s="3544" t="s">
        <v>3632</v>
      </c>
      <c r="I89" s="3544" t="s">
        <v>3632</v>
      </c>
      <c r="J89" s="3544" t="s">
        <v>4284</v>
      </c>
      <c r="K89" s="3544" t="s">
        <v>4285</v>
      </c>
      <c r="L89" s="3544" t="s">
        <v>4286</v>
      </c>
    </row>
    <row r="90" spans="1:12" s="3545" customFormat="1" hidden="1">
      <c r="A90" s="3544" t="s">
        <v>4287</v>
      </c>
      <c r="B90" s="3544" t="s">
        <v>4131</v>
      </c>
      <c r="C90" s="3544" t="s">
        <v>4288</v>
      </c>
      <c r="D90" s="3544" t="s">
        <v>3632</v>
      </c>
      <c r="E90" s="3544" t="s">
        <v>3987</v>
      </c>
      <c r="F90" s="3544" t="s">
        <v>4289</v>
      </c>
      <c r="G90" s="3544" t="s">
        <v>4082</v>
      </c>
      <c r="H90" s="3544" t="s">
        <v>4290</v>
      </c>
      <c r="I90" s="3544" t="s">
        <v>4291</v>
      </c>
      <c r="J90" s="3544" t="s">
        <v>4292</v>
      </c>
      <c r="K90" s="3544" t="s">
        <v>4293</v>
      </c>
      <c r="L90" s="3544" t="s">
        <v>4294</v>
      </c>
    </row>
    <row r="91" spans="1:12" s="3545" customFormat="1" hidden="1">
      <c r="A91" s="3544" t="s">
        <v>4295</v>
      </c>
      <c r="B91" s="3544" t="s">
        <v>4089</v>
      </c>
      <c r="C91" s="3544" t="s">
        <v>3632</v>
      </c>
      <c r="D91" s="3544" t="s">
        <v>3632</v>
      </c>
      <c r="E91" s="3544" t="s">
        <v>3987</v>
      </c>
      <c r="F91" s="3544" t="s">
        <v>4296</v>
      </c>
      <c r="G91" s="3544" t="s">
        <v>3630</v>
      </c>
      <c r="H91" s="3544" t="s">
        <v>4297</v>
      </c>
      <c r="I91" s="3544" t="s">
        <v>4298</v>
      </c>
      <c r="J91" s="3544" t="s">
        <v>4299</v>
      </c>
      <c r="K91" s="3544" t="s">
        <v>4300</v>
      </c>
      <c r="L91" s="3544" t="s">
        <v>4301</v>
      </c>
    </row>
    <row r="92" spans="1:12" s="3545" customFormat="1" hidden="1">
      <c r="A92" s="3544" t="s">
        <v>4302</v>
      </c>
      <c r="B92" s="3544" t="s">
        <v>3625</v>
      </c>
      <c r="C92" s="3544" t="s">
        <v>3684</v>
      </c>
      <c r="D92" s="3544" t="s">
        <v>3632</v>
      </c>
      <c r="E92" s="3544" t="s">
        <v>3987</v>
      </c>
      <c r="F92" s="3544" t="s">
        <v>4303</v>
      </c>
      <c r="G92" s="3544" t="s">
        <v>3632</v>
      </c>
      <c r="H92" s="3544" t="s">
        <v>4304</v>
      </c>
      <c r="I92" s="3544" t="s">
        <v>4305</v>
      </c>
      <c r="J92" s="3544" t="s">
        <v>4306</v>
      </c>
      <c r="K92" s="3544" t="s">
        <v>4307</v>
      </c>
      <c r="L92" s="3544" t="s">
        <v>4308</v>
      </c>
    </row>
    <row r="93" spans="1:12" s="3545" customFormat="1" hidden="1">
      <c r="A93" s="3544" t="s">
        <v>4309</v>
      </c>
      <c r="B93" s="3544" t="s">
        <v>3830</v>
      </c>
      <c r="C93" s="3544" t="s">
        <v>4052</v>
      </c>
      <c r="D93" s="3544" t="s">
        <v>3632</v>
      </c>
      <c r="E93" s="3544" t="s">
        <v>3987</v>
      </c>
      <c r="F93" s="3544" t="s">
        <v>4310</v>
      </c>
      <c r="G93" s="3544" t="s">
        <v>4082</v>
      </c>
      <c r="H93" s="3544" t="s">
        <v>4311</v>
      </c>
      <c r="I93" s="3544" t="s">
        <v>4312</v>
      </c>
      <c r="J93" s="3544" t="s">
        <v>4313</v>
      </c>
      <c r="K93" s="3544" t="s">
        <v>3641</v>
      </c>
      <c r="L93" s="3544" t="s">
        <v>4314</v>
      </c>
    </row>
    <row r="94" spans="1:12" s="3545" customFormat="1" hidden="1">
      <c r="A94" s="3544" t="s">
        <v>4315</v>
      </c>
      <c r="B94" s="3544" t="s">
        <v>4140</v>
      </c>
      <c r="C94" s="3544" t="s">
        <v>4316</v>
      </c>
      <c r="D94" s="3544" t="s">
        <v>3632</v>
      </c>
      <c r="E94" s="3544" t="s">
        <v>3987</v>
      </c>
      <c r="F94" s="3544" t="s">
        <v>4317</v>
      </c>
      <c r="G94" s="3544" t="s">
        <v>3645</v>
      </c>
      <c r="H94" s="3544" t="s">
        <v>4318</v>
      </c>
      <c r="I94" s="3544" t="s">
        <v>4319</v>
      </c>
      <c r="J94" s="3544" t="s">
        <v>4320</v>
      </c>
      <c r="K94" s="3544" t="s">
        <v>4321</v>
      </c>
      <c r="L94" s="3544" t="s">
        <v>4322</v>
      </c>
    </row>
    <row r="95" spans="1:12" s="3545" customFormat="1" hidden="1">
      <c r="A95" s="3544" t="s">
        <v>4323</v>
      </c>
      <c r="B95" s="3544" t="s">
        <v>4324</v>
      </c>
      <c r="C95" s="3544" t="s">
        <v>4325</v>
      </c>
      <c r="D95" s="3544" t="s">
        <v>3632</v>
      </c>
      <c r="E95" s="3544" t="s">
        <v>3987</v>
      </c>
      <c r="F95" s="3544" t="s">
        <v>4157</v>
      </c>
      <c r="G95" s="3544" t="s">
        <v>3645</v>
      </c>
      <c r="H95" s="3544" t="s">
        <v>4326</v>
      </c>
      <c r="I95" s="3544" t="s">
        <v>4327</v>
      </c>
      <c r="J95" s="3544" t="s">
        <v>4328</v>
      </c>
      <c r="K95" s="3544" t="s">
        <v>4161</v>
      </c>
      <c r="L95" s="3544" t="s">
        <v>4162</v>
      </c>
    </row>
    <row r="96" spans="1:12" hidden="1">
      <c r="A96" s="3546" t="s">
        <v>4329</v>
      </c>
      <c r="B96" s="3546" t="s">
        <v>3709</v>
      </c>
      <c r="C96" s="3546" t="s">
        <v>4330</v>
      </c>
      <c r="D96" s="3546" t="s">
        <v>3632</v>
      </c>
      <c r="E96" s="3546" t="s">
        <v>3987</v>
      </c>
      <c r="F96" s="3546" t="s">
        <v>4331</v>
      </c>
      <c r="G96" s="3546" t="s">
        <v>3630</v>
      </c>
      <c r="H96" s="3546" t="s">
        <v>4332</v>
      </c>
      <c r="I96" s="3546" t="s">
        <v>4333</v>
      </c>
      <c r="J96" s="3546" t="s">
        <v>4334</v>
      </c>
      <c r="K96" s="3546" t="s">
        <v>4335</v>
      </c>
      <c r="L96" s="3546" t="s">
        <v>4336</v>
      </c>
    </row>
    <row r="97" spans="1:12" s="3545" customFormat="1" hidden="1">
      <c r="A97" s="3544" t="s">
        <v>4337</v>
      </c>
      <c r="B97" s="3544" t="s">
        <v>3636</v>
      </c>
      <c r="C97" s="3544" t="s">
        <v>4018</v>
      </c>
      <c r="D97" s="3544" t="s">
        <v>4338</v>
      </c>
      <c r="E97" s="3544" t="s">
        <v>3987</v>
      </c>
      <c r="F97" s="3544" t="s">
        <v>4339</v>
      </c>
      <c r="G97" s="3544" t="s">
        <v>3632</v>
      </c>
      <c r="H97" s="3544" t="s">
        <v>4340</v>
      </c>
      <c r="I97" s="3544" t="s">
        <v>4341</v>
      </c>
      <c r="J97" s="3544" t="s">
        <v>4342</v>
      </c>
      <c r="K97" s="3544" t="s">
        <v>4343</v>
      </c>
      <c r="L97" s="3544" t="s">
        <v>4344</v>
      </c>
    </row>
    <row r="98" spans="1:12" s="3545" customFormat="1" hidden="1">
      <c r="A98" s="3544" t="s">
        <v>4345</v>
      </c>
      <c r="B98" s="3544" t="s">
        <v>4089</v>
      </c>
      <c r="C98" s="3544" t="s">
        <v>3632</v>
      </c>
      <c r="D98" s="3544" t="s">
        <v>3632</v>
      </c>
      <c r="E98" s="3544" t="s">
        <v>3987</v>
      </c>
      <c r="F98" s="3544" t="s">
        <v>4346</v>
      </c>
      <c r="G98" s="3544" t="s">
        <v>3645</v>
      </c>
      <c r="H98" s="3544" t="s">
        <v>4347</v>
      </c>
      <c r="I98" s="3544" t="s">
        <v>4348</v>
      </c>
      <c r="J98" s="3544" t="s">
        <v>4349</v>
      </c>
      <c r="K98" s="3544" t="s">
        <v>3641</v>
      </c>
      <c r="L98" s="3544" t="s">
        <v>4350</v>
      </c>
    </row>
    <row r="99" spans="1:12" s="3545" customFormat="1" hidden="1">
      <c r="A99" s="3544" t="s">
        <v>4351</v>
      </c>
      <c r="B99" s="3544" t="s">
        <v>4352</v>
      </c>
      <c r="C99" s="3544" t="s">
        <v>4353</v>
      </c>
      <c r="D99" s="3544" t="s">
        <v>3632</v>
      </c>
      <c r="E99" s="3544" t="s">
        <v>3987</v>
      </c>
      <c r="F99" s="3544" t="s">
        <v>4354</v>
      </c>
      <c r="G99" s="3544" t="s">
        <v>3632</v>
      </c>
      <c r="H99" s="3544" t="s">
        <v>4355</v>
      </c>
      <c r="I99" s="3544" t="s">
        <v>4356</v>
      </c>
      <c r="J99" s="3544" t="s">
        <v>4357</v>
      </c>
      <c r="K99" s="3544" t="s">
        <v>3641</v>
      </c>
      <c r="L99" s="3544" t="s">
        <v>4358</v>
      </c>
    </row>
    <row r="100" spans="1:12" hidden="1">
      <c r="A100" s="3546" t="s">
        <v>4359</v>
      </c>
      <c r="B100" s="3546" t="s">
        <v>3709</v>
      </c>
      <c r="C100" s="3546" t="s">
        <v>4330</v>
      </c>
      <c r="D100" s="3546" t="s">
        <v>3632</v>
      </c>
      <c r="E100" s="3546" t="s">
        <v>3987</v>
      </c>
      <c r="F100" s="3546" t="s">
        <v>4360</v>
      </c>
      <c r="G100" s="3546" t="s">
        <v>4082</v>
      </c>
      <c r="H100" s="3546" t="s">
        <v>4361</v>
      </c>
      <c r="I100" s="3546" t="s">
        <v>4362</v>
      </c>
      <c r="J100" s="3546" t="s">
        <v>4363</v>
      </c>
      <c r="K100" s="3546" t="s">
        <v>3725</v>
      </c>
      <c r="L100" s="3546" t="s">
        <v>4364</v>
      </c>
    </row>
    <row r="101" spans="1:12" s="3545" customFormat="1" hidden="1">
      <c r="A101" s="3544" t="s">
        <v>4365</v>
      </c>
      <c r="B101" s="3544" t="s">
        <v>3636</v>
      </c>
      <c r="C101" s="3544" t="s">
        <v>4366</v>
      </c>
      <c r="D101" s="3544" t="s">
        <v>4367</v>
      </c>
      <c r="E101" s="3544" t="s">
        <v>3987</v>
      </c>
      <c r="F101" s="3544" t="s">
        <v>4368</v>
      </c>
      <c r="G101" s="3544" t="s">
        <v>3632</v>
      </c>
      <c r="H101" s="3544" t="s">
        <v>4369</v>
      </c>
      <c r="I101" s="3544" t="s">
        <v>4370</v>
      </c>
      <c r="J101" s="3544" t="s">
        <v>4371</v>
      </c>
      <c r="K101" s="3544" t="s">
        <v>4372</v>
      </c>
      <c r="L101" s="3544" t="s">
        <v>4373</v>
      </c>
    </row>
    <row r="102" spans="1:12" s="3545" customFormat="1" hidden="1">
      <c r="A102" s="3548" t="s">
        <v>4374</v>
      </c>
      <c r="B102" s="3548" t="s">
        <v>4213</v>
      </c>
      <c r="C102" s="3548" t="s">
        <v>3632</v>
      </c>
      <c r="D102" s="3548" t="s">
        <v>3632</v>
      </c>
      <c r="E102" s="3548" t="s">
        <v>3987</v>
      </c>
      <c r="F102" s="3548" t="s">
        <v>4157</v>
      </c>
      <c r="G102" s="3548" t="s">
        <v>3645</v>
      </c>
      <c r="H102" s="3548" t="s">
        <v>4375</v>
      </c>
      <c r="I102" s="3548" t="s">
        <v>4376</v>
      </c>
      <c r="J102" s="3548" t="s">
        <v>4377</v>
      </c>
      <c r="K102" s="3548" t="s">
        <v>4161</v>
      </c>
      <c r="L102" s="3548" t="s">
        <v>4162</v>
      </c>
    </row>
    <row r="103" spans="1:12" s="3545" customFormat="1" hidden="1">
      <c r="A103" s="3548" t="s">
        <v>4287</v>
      </c>
      <c r="B103" s="3548" t="s">
        <v>4131</v>
      </c>
      <c r="C103" s="3548" t="s">
        <v>4288</v>
      </c>
      <c r="D103" s="3548" t="s">
        <v>3632</v>
      </c>
      <c r="E103" s="3548" t="s">
        <v>3987</v>
      </c>
      <c r="F103" s="3548" t="s">
        <v>4289</v>
      </c>
      <c r="G103" s="3548" t="s">
        <v>4082</v>
      </c>
      <c r="H103" s="3548" t="s">
        <v>4290</v>
      </c>
      <c r="I103" s="3548" t="s">
        <v>4291</v>
      </c>
      <c r="J103" s="3548" t="s">
        <v>4292</v>
      </c>
      <c r="K103" s="3548" t="s">
        <v>4293</v>
      </c>
      <c r="L103" s="3548" t="s">
        <v>4294</v>
      </c>
    </row>
    <row r="104" spans="1:12" s="3545" customFormat="1" hidden="1">
      <c r="A104" s="3548" t="s">
        <v>4378</v>
      </c>
      <c r="B104" s="3548" t="s">
        <v>3830</v>
      </c>
      <c r="C104" s="3548" t="s">
        <v>4117</v>
      </c>
      <c r="D104" s="3548" t="s">
        <v>3632</v>
      </c>
      <c r="E104" s="3548" t="s">
        <v>3987</v>
      </c>
      <c r="F104" s="3548" t="s">
        <v>4379</v>
      </c>
      <c r="G104" s="3548" t="s">
        <v>3645</v>
      </c>
      <c r="H104" s="3548" t="s">
        <v>4380</v>
      </c>
      <c r="I104" s="3548" t="s">
        <v>4381</v>
      </c>
      <c r="J104" s="3548" t="s">
        <v>4382</v>
      </c>
      <c r="K104" s="3548" t="s">
        <v>4383</v>
      </c>
      <c r="L104" s="3548" t="s">
        <v>4384</v>
      </c>
    </row>
    <row r="105" spans="1:12" s="3545" customFormat="1" hidden="1">
      <c r="A105" s="3548" t="s">
        <v>4385</v>
      </c>
      <c r="B105" s="3548" t="s">
        <v>4131</v>
      </c>
      <c r="C105" s="3548" t="s">
        <v>4288</v>
      </c>
      <c r="D105" s="3548" t="s">
        <v>3632</v>
      </c>
      <c r="E105" s="3548" t="s">
        <v>3987</v>
      </c>
      <c r="F105" s="3548" t="s">
        <v>4386</v>
      </c>
      <c r="G105" s="3548" t="s">
        <v>4082</v>
      </c>
      <c r="H105" s="3548" t="s">
        <v>4387</v>
      </c>
      <c r="I105" s="3548" t="s">
        <v>4388</v>
      </c>
      <c r="J105" s="3548" t="s">
        <v>4389</v>
      </c>
      <c r="K105" s="3548" t="s">
        <v>3725</v>
      </c>
      <c r="L105" s="3548" t="s">
        <v>4390</v>
      </c>
    </row>
    <row r="106" spans="1:12" s="3545" customFormat="1" hidden="1">
      <c r="A106" s="3548" t="s">
        <v>4391</v>
      </c>
      <c r="B106" s="3548" t="s">
        <v>3994</v>
      </c>
      <c r="C106" s="3548" t="s">
        <v>3632</v>
      </c>
      <c r="D106" s="3548" t="s">
        <v>3632</v>
      </c>
      <c r="E106" s="3548" t="s">
        <v>3987</v>
      </c>
      <c r="F106" s="3548" t="s">
        <v>3770</v>
      </c>
      <c r="G106" s="3548" t="s">
        <v>3645</v>
      </c>
      <c r="H106" s="3548" t="s">
        <v>4392</v>
      </c>
      <c r="I106" s="3548" t="s">
        <v>4393</v>
      </c>
      <c r="J106" s="3548" t="s">
        <v>4394</v>
      </c>
      <c r="K106" s="3548" t="s">
        <v>4395</v>
      </c>
      <c r="L106" s="3548" t="s">
        <v>3836</v>
      </c>
    </row>
    <row r="107" spans="1:12" s="3545" customFormat="1" hidden="1">
      <c r="A107" s="3548" t="s">
        <v>4396</v>
      </c>
      <c r="B107" s="3548" t="s">
        <v>4397</v>
      </c>
      <c r="C107" s="3548" t="s">
        <v>4398</v>
      </c>
      <c r="D107" s="3548" t="s">
        <v>4399</v>
      </c>
      <c r="E107" s="3548" t="s">
        <v>3987</v>
      </c>
      <c r="F107" s="3548" t="s">
        <v>4400</v>
      </c>
      <c r="G107" s="3548" t="s">
        <v>3630</v>
      </c>
      <c r="H107" s="3548" t="s">
        <v>3632</v>
      </c>
      <c r="I107" s="3548" t="s">
        <v>3632</v>
      </c>
      <c r="J107" s="3548" t="s">
        <v>3640</v>
      </c>
      <c r="K107" s="3548" t="s">
        <v>4401</v>
      </c>
      <c r="L107" s="3548" t="s">
        <v>3836</v>
      </c>
    </row>
    <row r="108" spans="1:12" s="3545" customFormat="1" hidden="1">
      <c r="A108" s="3548" t="s">
        <v>4212</v>
      </c>
      <c r="B108" s="3548" t="s">
        <v>4213</v>
      </c>
      <c r="C108" s="3548" t="s">
        <v>3632</v>
      </c>
      <c r="D108" s="3548" t="s">
        <v>3632</v>
      </c>
      <c r="E108" s="3548" t="s">
        <v>3987</v>
      </c>
      <c r="F108" s="3548" t="s">
        <v>4214</v>
      </c>
      <c r="G108" s="3548" t="s">
        <v>3630</v>
      </c>
      <c r="H108" s="3548" t="s">
        <v>4215</v>
      </c>
      <c r="I108" s="3548" t="s">
        <v>4216</v>
      </c>
      <c r="J108" s="3548" t="s">
        <v>4217</v>
      </c>
      <c r="K108" s="3548" t="s">
        <v>4218</v>
      </c>
      <c r="L108" s="3548" t="s">
        <v>4219</v>
      </c>
    </row>
    <row r="109" spans="1:12" s="3545" customFormat="1" hidden="1">
      <c r="A109" s="3548" t="s">
        <v>4220</v>
      </c>
      <c r="B109" s="3548" t="s">
        <v>3636</v>
      </c>
      <c r="C109" s="3548" t="s">
        <v>3637</v>
      </c>
      <c r="D109" s="3548" t="s">
        <v>3632</v>
      </c>
      <c r="E109" s="3548" t="s">
        <v>3987</v>
      </c>
      <c r="F109" s="3548" t="s">
        <v>4221</v>
      </c>
      <c r="G109" s="3548" t="s">
        <v>3645</v>
      </c>
      <c r="H109" s="3548" t="s">
        <v>4222</v>
      </c>
      <c r="I109" s="3548" t="s">
        <v>4223</v>
      </c>
      <c r="J109" s="3548" t="s">
        <v>4224</v>
      </c>
      <c r="K109" s="3548" t="s">
        <v>4225</v>
      </c>
      <c r="L109" s="3548" t="s">
        <v>4226</v>
      </c>
    </row>
    <row r="110" spans="1:12" s="3545" customFormat="1" hidden="1">
      <c r="A110" s="3548" t="s">
        <v>4402</v>
      </c>
      <c r="B110" s="3548" t="s">
        <v>4403</v>
      </c>
      <c r="C110" s="3548" t="s">
        <v>3632</v>
      </c>
      <c r="D110" s="3548" t="s">
        <v>3632</v>
      </c>
      <c r="E110" s="3548" t="s">
        <v>3987</v>
      </c>
      <c r="F110" s="3548" t="s">
        <v>4404</v>
      </c>
      <c r="G110" s="3548" t="s">
        <v>3630</v>
      </c>
      <c r="H110" s="3548" t="s">
        <v>3632</v>
      </c>
      <c r="I110" s="3548" t="s">
        <v>3632</v>
      </c>
      <c r="J110" s="3548" t="s">
        <v>3632</v>
      </c>
      <c r="K110" s="3548" t="s">
        <v>3641</v>
      </c>
      <c r="L110" s="3548" t="s">
        <v>4405</v>
      </c>
    </row>
    <row r="111" spans="1:12" s="3545" customFormat="1" hidden="1">
      <c r="A111" s="3548" t="s">
        <v>4406</v>
      </c>
      <c r="B111" s="3548" t="s">
        <v>3636</v>
      </c>
      <c r="C111" s="3548" t="s">
        <v>4407</v>
      </c>
      <c r="D111" s="3548" t="s">
        <v>4408</v>
      </c>
      <c r="E111" s="3548" t="s">
        <v>3987</v>
      </c>
      <c r="F111" s="3548" t="s">
        <v>3959</v>
      </c>
      <c r="G111" s="3548" t="s">
        <v>3632</v>
      </c>
      <c r="H111" s="3548" t="s">
        <v>3632</v>
      </c>
      <c r="I111" s="3548" t="s">
        <v>3632</v>
      </c>
      <c r="J111" s="3548" t="s">
        <v>4297</v>
      </c>
      <c r="K111" s="3548" t="s">
        <v>3641</v>
      </c>
      <c r="L111" s="3548" t="s">
        <v>3836</v>
      </c>
    </row>
    <row r="112" spans="1:12" hidden="1">
      <c r="A112" s="3549" t="s">
        <v>4066</v>
      </c>
      <c r="B112" s="3549" t="s">
        <v>3709</v>
      </c>
      <c r="C112" s="3549" t="s">
        <v>3632</v>
      </c>
      <c r="D112" s="3549" t="s">
        <v>3632</v>
      </c>
      <c r="E112" s="3549" t="s">
        <v>3987</v>
      </c>
      <c r="F112" s="3549" t="s">
        <v>4067</v>
      </c>
      <c r="G112" s="3549" t="s">
        <v>3630</v>
      </c>
      <c r="H112" s="3549" t="s">
        <v>4000</v>
      </c>
      <c r="I112" s="3549" t="s">
        <v>3632</v>
      </c>
      <c r="J112" s="3549" t="s">
        <v>3632</v>
      </c>
      <c r="K112" s="3549" t="s">
        <v>4068</v>
      </c>
      <c r="L112" s="3549" t="s">
        <v>4069</v>
      </c>
    </row>
    <row r="113" spans="1:12" s="3545" customFormat="1" hidden="1">
      <c r="A113" s="3548" t="s">
        <v>4070</v>
      </c>
      <c r="B113" s="3548" t="s">
        <v>4071</v>
      </c>
      <c r="C113" s="3548" t="s">
        <v>4072</v>
      </c>
      <c r="D113" s="3548" t="s">
        <v>3632</v>
      </c>
      <c r="E113" s="3548" t="s">
        <v>3987</v>
      </c>
      <c r="F113" s="3548" t="s">
        <v>4073</v>
      </c>
      <c r="G113" s="3548" t="s">
        <v>3645</v>
      </c>
      <c r="H113" s="3548" t="s">
        <v>4074</v>
      </c>
      <c r="I113" s="3548" t="s">
        <v>4075</v>
      </c>
      <c r="J113" s="3548" t="s">
        <v>4076</v>
      </c>
      <c r="K113" s="3548" t="s">
        <v>4077</v>
      </c>
      <c r="L113" s="3548" t="s">
        <v>4078</v>
      </c>
    </row>
    <row r="114" spans="1:12" s="3545" customFormat="1" hidden="1">
      <c r="A114" s="3548" t="s">
        <v>4079</v>
      </c>
      <c r="B114" s="3548" t="s">
        <v>3728</v>
      </c>
      <c r="C114" s="3548" t="s">
        <v>4080</v>
      </c>
      <c r="D114" s="3548" t="s">
        <v>3632</v>
      </c>
      <c r="E114" s="3548" t="s">
        <v>3987</v>
      </c>
      <c r="F114" s="3548" t="s">
        <v>4081</v>
      </c>
      <c r="G114" s="3548" t="s">
        <v>4082</v>
      </c>
      <c r="H114" s="3548" t="s">
        <v>4083</v>
      </c>
      <c r="I114" s="3548" t="s">
        <v>4084</v>
      </c>
      <c r="J114" s="3548" t="s">
        <v>4085</v>
      </c>
      <c r="K114" s="3548" t="s">
        <v>4086</v>
      </c>
      <c r="L114" s="3548" t="s">
        <v>4087</v>
      </c>
    </row>
    <row r="115" spans="1:12" s="3545" customFormat="1" hidden="1">
      <c r="A115" s="3548" t="s">
        <v>4409</v>
      </c>
      <c r="B115" s="3548" t="s">
        <v>3751</v>
      </c>
      <c r="C115" s="3548" t="s">
        <v>3752</v>
      </c>
      <c r="D115" s="3548" t="s">
        <v>3632</v>
      </c>
      <c r="E115" s="3548" t="s">
        <v>3987</v>
      </c>
      <c r="F115" s="3548" t="s">
        <v>4410</v>
      </c>
      <c r="G115" s="3548" t="s">
        <v>4082</v>
      </c>
      <c r="H115" s="3548" t="s">
        <v>4411</v>
      </c>
      <c r="I115" s="3548" t="s">
        <v>4412</v>
      </c>
      <c r="J115" s="3548" t="s">
        <v>4413</v>
      </c>
      <c r="K115" s="3548" t="s">
        <v>4414</v>
      </c>
      <c r="L115" s="3548" t="s">
        <v>4415</v>
      </c>
    </row>
    <row r="116" spans="1:12" s="3545" customFormat="1" hidden="1">
      <c r="A116" s="3548" t="s">
        <v>4088</v>
      </c>
      <c r="B116" s="3548" t="s">
        <v>4089</v>
      </c>
      <c r="C116" s="3548" t="s">
        <v>4090</v>
      </c>
      <c r="D116" s="3548" t="s">
        <v>3632</v>
      </c>
      <c r="E116" s="3548" t="s">
        <v>3987</v>
      </c>
      <c r="F116" s="3548" t="s">
        <v>4027</v>
      </c>
      <c r="G116" s="3548" t="s">
        <v>4082</v>
      </c>
      <c r="H116" s="3548" t="s">
        <v>4091</v>
      </c>
      <c r="I116" s="3548" t="s">
        <v>4092</v>
      </c>
      <c r="J116" s="3548" t="s">
        <v>4093</v>
      </c>
      <c r="K116" s="3548" t="s">
        <v>3641</v>
      </c>
      <c r="L116" s="3548" t="s">
        <v>4094</v>
      </c>
    </row>
    <row r="117" spans="1:12" s="3545" customFormat="1" hidden="1">
      <c r="A117" s="3548" t="s">
        <v>4095</v>
      </c>
      <c r="B117" s="3548" t="s">
        <v>3830</v>
      </c>
      <c r="C117" s="3548" t="s">
        <v>4096</v>
      </c>
      <c r="D117" s="3548" t="s">
        <v>3632</v>
      </c>
      <c r="E117" s="3548" t="s">
        <v>3987</v>
      </c>
      <c r="F117" s="3548" t="s">
        <v>4097</v>
      </c>
      <c r="G117" s="3548" t="s">
        <v>3630</v>
      </c>
      <c r="H117" s="3548" t="s">
        <v>4098</v>
      </c>
      <c r="I117" s="3548" t="s">
        <v>4099</v>
      </c>
      <c r="J117" s="3548" t="s">
        <v>4100</v>
      </c>
      <c r="K117" s="3548" t="s">
        <v>4101</v>
      </c>
      <c r="L117" s="3548" t="s">
        <v>4102</v>
      </c>
    </row>
    <row r="118" spans="1:12" s="3545" customFormat="1" hidden="1">
      <c r="A118" s="3548" t="s">
        <v>3985</v>
      </c>
      <c r="B118" s="3548" t="s">
        <v>3986</v>
      </c>
      <c r="C118" s="3548" t="s">
        <v>3632</v>
      </c>
      <c r="D118" s="3548" t="s">
        <v>3632</v>
      </c>
      <c r="E118" s="3548" t="s">
        <v>3987</v>
      </c>
      <c r="F118" s="3548" t="s">
        <v>3988</v>
      </c>
      <c r="G118" s="3548" t="s">
        <v>3645</v>
      </c>
      <c r="H118" s="3548" t="s">
        <v>3989</v>
      </c>
      <c r="I118" s="3548" t="s">
        <v>3990</v>
      </c>
      <c r="J118" s="3548" t="s">
        <v>3991</v>
      </c>
      <c r="K118" s="3548" t="s">
        <v>3641</v>
      </c>
      <c r="L118" s="3548" t="s">
        <v>3992</v>
      </c>
    </row>
    <row r="119" spans="1:12" s="3545" customFormat="1" hidden="1">
      <c r="A119" s="3548" t="s">
        <v>4309</v>
      </c>
      <c r="B119" s="3548" t="s">
        <v>3830</v>
      </c>
      <c r="C119" s="3548" t="s">
        <v>4052</v>
      </c>
      <c r="D119" s="3548" t="s">
        <v>3632</v>
      </c>
      <c r="E119" s="3548" t="s">
        <v>3987</v>
      </c>
      <c r="F119" s="3548" t="s">
        <v>4310</v>
      </c>
      <c r="G119" s="3548" t="s">
        <v>4082</v>
      </c>
      <c r="H119" s="3548" t="s">
        <v>4311</v>
      </c>
      <c r="I119" s="3548" t="s">
        <v>4312</v>
      </c>
      <c r="J119" s="3548" t="s">
        <v>4313</v>
      </c>
      <c r="K119" s="3548" t="s">
        <v>3641</v>
      </c>
      <c r="L119" s="3548" t="s">
        <v>4314</v>
      </c>
    </row>
    <row r="120" spans="1:12" s="3545" customFormat="1" hidden="1">
      <c r="A120" s="3548" t="s">
        <v>3993</v>
      </c>
      <c r="B120" s="3548" t="s">
        <v>3994</v>
      </c>
      <c r="C120" s="3548" t="s">
        <v>3632</v>
      </c>
      <c r="D120" s="3548" t="s">
        <v>3632</v>
      </c>
      <c r="E120" s="3548" t="s">
        <v>3987</v>
      </c>
      <c r="F120" s="3548" t="s">
        <v>3959</v>
      </c>
      <c r="G120" s="3548" t="s">
        <v>3630</v>
      </c>
      <c r="H120" s="3548" t="s">
        <v>3995</v>
      </c>
      <c r="I120" s="3548" t="s">
        <v>3996</v>
      </c>
      <c r="J120" s="3548" t="s">
        <v>3997</v>
      </c>
      <c r="K120" s="3548" t="s">
        <v>3641</v>
      </c>
      <c r="L120" s="3548" t="s">
        <v>3998</v>
      </c>
    </row>
    <row r="121" spans="1:12" s="3545" customFormat="1" hidden="1">
      <c r="A121" s="3548" t="s">
        <v>3999</v>
      </c>
      <c r="B121" s="3548" t="s">
        <v>3625</v>
      </c>
      <c r="C121" s="3548" t="s">
        <v>3838</v>
      </c>
      <c r="D121" s="3548" t="s">
        <v>3632</v>
      </c>
      <c r="E121" s="3548" t="s">
        <v>3987</v>
      </c>
      <c r="F121" s="3548" t="s">
        <v>3959</v>
      </c>
      <c r="G121" s="3548" t="s">
        <v>3632</v>
      </c>
      <c r="H121" s="3548" t="s">
        <v>4000</v>
      </c>
      <c r="I121" s="3548" t="s">
        <v>3632</v>
      </c>
      <c r="J121" s="3548" t="s">
        <v>3632</v>
      </c>
      <c r="K121" s="3548" t="s">
        <v>4001</v>
      </c>
      <c r="L121" s="3548" t="s">
        <v>4002</v>
      </c>
    </row>
    <row r="122" spans="1:12" s="3545" customFormat="1" hidden="1">
      <c r="A122" s="3548" t="s">
        <v>4003</v>
      </c>
      <c r="B122" s="3548" t="s">
        <v>3718</v>
      </c>
      <c r="C122" s="3548" t="s">
        <v>4004</v>
      </c>
      <c r="D122" s="3548" t="s">
        <v>3632</v>
      </c>
      <c r="E122" s="3548" t="s">
        <v>3987</v>
      </c>
      <c r="F122" s="3548" t="s">
        <v>4005</v>
      </c>
      <c r="G122" s="3548" t="s">
        <v>3645</v>
      </c>
      <c r="H122" s="3548" t="s">
        <v>3632</v>
      </c>
      <c r="I122" s="3548" t="s">
        <v>3632</v>
      </c>
      <c r="J122" s="3548" t="s">
        <v>4006</v>
      </c>
      <c r="K122" s="3548" t="s">
        <v>4007</v>
      </c>
      <c r="L122" s="3548" t="s">
        <v>4008</v>
      </c>
    </row>
    <row r="123" spans="1:12" s="3545" customFormat="1" hidden="1">
      <c r="A123" s="3548" t="s">
        <v>4009</v>
      </c>
      <c r="B123" s="3548" t="s">
        <v>3651</v>
      </c>
      <c r="C123" s="3548" t="s">
        <v>4010</v>
      </c>
      <c r="D123" s="3548" t="s">
        <v>3632</v>
      </c>
      <c r="E123" s="3548" t="s">
        <v>3987</v>
      </c>
      <c r="F123" s="3548" t="s">
        <v>4011</v>
      </c>
      <c r="G123" s="3548" t="s">
        <v>3645</v>
      </c>
      <c r="H123" s="3548" t="s">
        <v>4012</v>
      </c>
      <c r="I123" s="3548" t="s">
        <v>4013</v>
      </c>
      <c r="J123" s="3548" t="s">
        <v>4014</v>
      </c>
      <c r="K123" s="3548" t="s">
        <v>4015</v>
      </c>
      <c r="L123" s="3548" t="s">
        <v>4016</v>
      </c>
    </row>
    <row r="124" spans="1:12" s="3545" customFormat="1" hidden="1">
      <c r="A124" s="3548" t="s">
        <v>4017</v>
      </c>
      <c r="B124" s="3548" t="s">
        <v>3636</v>
      </c>
      <c r="C124" s="3548" t="s">
        <v>4018</v>
      </c>
      <c r="D124" s="3548" t="s">
        <v>3632</v>
      </c>
      <c r="E124" s="3548" t="s">
        <v>3987</v>
      </c>
      <c r="F124" s="3548" t="s">
        <v>4019</v>
      </c>
      <c r="G124" s="3548" t="s">
        <v>3645</v>
      </c>
      <c r="H124" s="3548" t="s">
        <v>4020</v>
      </c>
      <c r="I124" s="3548" t="s">
        <v>4021</v>
      </c>
      <c r="J124" s="3548" t="s">
        <v>4022</v>
      </c>
      <c r="K124" s="3548" t="s">
        <v>4023</v>
      </c>
      <c r="L124" s="3548" t="s">
        <v>4024</v>
      </c>
    </row>
    <row r="125" spans="1:12" s="3545" customFormat="1" hidden="1">
      <c r="A125" s="3548" t="s">
        <v>4337</v>
      </c>
      <c r="B125" s="3548" t="s">
        <v>3636</v>
      </c>
      <c r="C125" s="3548" t="s">
        <v>4018</v>
      </c>
      <c r="D125" s="3548" t="s">
        <v>4338</v>
      </c>
      <c r="E125" s="3548" t="s">
        <v>3987</v>
      </c>
      <c r="F125" s="3548" t="s">
        <v>4339</v>
      </c>
      <c r="G125" s="3548" t="s">
        <v>3632</v>
      </c>
      <c r="H125" s="3548" t="s">
        <v>4340</v>
      </c>
      <c r="I125" s="3548" t="s">
        <v>4341</v>
      </c>
      <c r="J125" s="3548" t="s">
        <v>4342</v>
      </c>
      <c r="K125" s="3548" t="s">
        <v>4343</v>
      </c>
      <c r="L125" s="3548" t="s">
        <v>4344</v>
      </c>
    </row>
    <row r="126" spans="1:12" hidden="1">
      <c r="A126" s="3549" t="s">
        <v>4025</v>
      </c>
      <c r="B126" s="3549" t="s">
        <v>3709</v>
      </c>
      <c r="C126" s="3549" t="s">
        <v>4026</v>
      </c>
      <c r="D126" s="3549" t="s">
        <v>3632</v>
      </c>
      <c r="E126" s="3549" t="s">
        <v>3987</v>
      </c>
      <c r="F126" s="3549" t="s">
        <v>4027</v>
      </c>
      <c r="G126" s="3549" t="s">
        <v>3630</v>
      </c>
      <c r="H126" s="3549" t="s">
        <v>4028</v>
      </c>
      <c r="I126" s="3549" t="s">
        <v>3632</v>
      </c>
      <c r="J126" s="3549" t="s">
        <v>4029</v>
      </c>
      <c r="K126" s="3549" t="s">
        <v>4030</v>
      </c>
      <c r="L126" s="3549" t="s">
        <v>4031</v>
      </c>
    </row>
    <row r="127" spans="1:12" s="3545" customFormat="1">
      <c r="A127" s="3548" t="s">
        <v>4032</v>
      </c>
      <c r="B127" s="3548" t="s">
        <v>3699</v>
      </c>
      <c r="C127" s="3548" t="s">
        <v>3700</v>
      </c>
      <c r="D127" s="3548" t="s">
        <v>4033</v>
      </c>
      <c r="E127" s="3548" t="s">
        <v>3987</v>
      </c>
      <c r="F127" s="3548" t="s">
        <v>4034</v>
      </c>
      <c r="G127" s="3548" t="s">
        <v>3632</v>
      </c>
      <c r="H127" s="3548" t="s">
        <v>4035</v>
      </c>
      <c r="I127" s="3548" t="s">
        <v>4036</v>
      </c>
      <c r="J127" s="3548" t="s">
        <v>4037</v>
      </c>
      <c r="K127" s="3548" t="s">
        <v>3641</v>
      </c>
      <c r="L127" s="3548" t="s">
        <v>4038</v>
      </c>
    </row>
    <row r="128" spans="1:12" s="3545" customFormat="1" hidden="1">
      <c r="A128" s="3548" t="s">
        <v>4046</v>
      </c>
      <c r="B128" s="3548" t="s">
        <v>4047</v>
      </c>
      <c r="C128" s="3548" t="s">
        <v>3632</v>
      </c>
      <c r="D128" s="3548" t="s">
        <v>3632</v>
      </c>
      <c r="E128" s="3548" t="s">
        <v>3987</v>
      </c>
      <c r="F128" s="3548" t="s">
        <v>4048</v>
      </c>
      <c r="G128" s="3548" t="s">
        <v>3645</v>
      </c>
      <c r="H128" s="3548" t="s">
        <v>3632</v>
      </c>
      <c r="I128" s="3548" t="s">
        <v>3632</v>
      </c>
      <c r="J128" s="3548" t="s">
        <v>4049</v>
      </c>
      <c r="K128" s="3548" t="s">
        <v>4050</v>
      </c>
      <c r="L128" s="3548" t="s">
        <v>3836</v>
      </c>
    </row>
    <row r="129" spans="1:12" s="3545" customFormat="1" hidden="1">
      <c r="A129" s="3548" t="s">
        <v>4169</v>
      </c>
      <c r="B129" s="3548" t="s">
        <v>4104</v>
      </c>
      <c r="C129" s="3548" t="s">
        <v>4170</v>
      </c>
      <c r="D129" s="3548" t="s">
        <v>3632</v>
      </c>
      <c r="E129" s="3548" t="s">
        <v>3987</v>
      </c>
      <c r="F129" s="3548" t="s">
        <v>4171</v>
      </c>
      <c r="G129" s="3548" t="s">
        <v>4082</v>
      </c>
      <c r="H129" s="3548" t="s">
        <v>4172</v>
      </c>
      <c r="I129" s="3548" t="s">
        <v>4173</v>
      </c>
      <c r="J129" s="3548" t="s">
        <v>4174</v>
      </c>
      <c r="K129" s="3548" t="s">
        <v>4175</v>
      </c>
      <c r="L129" s="3548" t="s">
        <v>4176</v>
      </c>
    </row>
    <row r="130" spans="1:12" s="3545" customFormat="1" hidden="1">
      <c r="A130" s="3548" t="s">
        <v>4416</v>
      </c>
      <c r="B130" s="3548" t="s">
        <v>3625</v>
      </c>
      <c r="C130" s="3548" t="s">
        <v>4417</v>
      </c>
      <c r="D130" s="3548" t="s">
        <v>3632</v>
      </c>
      <c r="E130" s="3548" t="s">
        <v>3987</v>
      </c>
      <c r="F130" s="3548" t="s">
        <v>4418</v>
      </c>
      <c r="G130" s="3548" t="s">
        <v>3632</v>
      </c>
      <c r="H130" s="3548" t="s">
        <v>4419</v>
      </c>
      <c r="I130" s="3548" t="s">
        <v>4420</v>
      </c>
      <c r="J130" s="3548" t="s">
        <v>4421</v>
      </c>
      <c r="K130" s="3548" t="s">
        <v>4422</v>
      </c>
      <c r="L130" s="3548" t="s">
        <v>4423</v>
      </c>
    </row>
    <row r="131" spans="1:12" s="3545" customFormat="1" hidden="1">
      <c r="A131" s="3548" t="s">
        <v>4424</v>
      </c>
      <c r="B131" s="3548" t="s">
        <v>3625</v>
      </c>
      <c r="C131" s="3548" t="s">
        <v>4425</v>
      </c>
      <c r="D131" s="3548" t="s">
        <v>3632</v>
      </c>
      <c r="E131" s="3548" t="s">
        <v>3987</v>
      </c>
      <c r="F131" s="3548" t="s">
        <v>3746</v>
      </c>
      <c r="G131" s="3548" t="s">
        <v>4082</v>
      </c>
      <c r="H131" s="3548" t="s">
        <v>4426</v>
      </c>
      <c r="I131" s="3548" t="s">
        <v>4427</v>
      </c>
      <c r="J131" s="3548" t="s">
        <v>4428</v>
      </c>
      <c r="K131" s="3548" t="s">
        <v>4429</v>
      </c>
      <c r="L131" s="3548" t="s">
        <v>4430</v>
      </c>
    </row>
    <row r="132" spans="1:12" s="3545" customFormat="1" hidden="1">
      <c r="A132" s="3548" t="s">
        <v>4183</v>
      </c>
      <c r="B132" s="3548" t="s">
        <v>4184</v>
      </c>
      <c r="C132" s="3548" t="s">
        <v>4185</v>
      </c>
      <c r="D132" s="3548" t="s">
        <v>3632</v>
      </c>
      <c r="E132" s="3548" t="s">
        <v>3987</v>
      </c>
      <c r="F132" s="3548" t="s">
        <v>4186</v>
      </c>
      <c r="G132" s="3548" t="s">
        <v>3632</v>
      </c>
      <c r="H132" s="3548" t="s">
        <v>4187</v>
      </c>
      <c r="I132" s="3548" t="s">
        <v>4188</v>
      </c>
      <c r="J132" s="3548" t="s">
        <v>4189</v>
      </c>
      <c r="K132" s="3548" t="s">
        <v>3641</v>
      </c>
      <c r="L132" s="3548" t="s">
        <v>4190</v>
      </c>
    </row>
    <row r="133" spans="1:12" s="3545" customFormat="1" hidden="1">
      <c r="A133" s="3548" t="s">
        <v>4191</v>
      </c>
      <c r="B133" s="3548" t="s">
        <v>4192</v>
      </c>
      <c r="C133" s="3548" t="s">
        <v>4193</v>
      </c>
      <c r="D133" s="3548" t="s">
        <v>3632</v>
      </c>
      <c r="E133" s="3548" t="s">
        <v>3987</v>
      </c>
      <c r="F133" s="3548" t="s">
        <v>4097</v>
      </c>
      <c r="G133" s="3548" t="s">
        <v>3645</v>
      </c>
      <c r="H133" s="3548" t="s">
        <v>4194</v>
      </c>
      <c r="I133" s="3548" t="s">
        <v>4195</v>
      </c>
      <c r="J133" s="3548" t="s">
        <v>4196</v>
      </c>
      <c r="K133" s="3548" t="s">
        <v>4161</v>
      </c>
      <c r="L133" s="3548" t="s">
        <v>4197</v>
      </c>
    </row>
    <row r="134" spans="1:12" s="3545" customFormat="1" hidden="1">
      <c r="A134" s="3548" t="s">
        <v>4103</v>
      </c>
      <c r="B134" s="3548" t="s">
        <v>4104</v>
      </c>
      <c r="C134" s="3548" t="s">
        <v>4105</v>
      </c>
      <c r="D134" s="3548" t="s">
        <v>3632</v>
      </c>
      <c r="E134" s="3548" t="s">
        <v>3987</v>
      </c>
      <c r="F134" s="3548" t="s">
        <v>4106</v>
      </c>
      <c r="G134" s="3548" t="s">
        <v>3630</v>
      </c>
      <c r="H134" s="3548" t="s">
        <v>4107</v>
      </c>
      <c r="I134" s="3548" t="s">
        <v>4108</v>
      </c>
      <c r="J134" s="3548" t="s">
        <v>4109</v>
      </c>
      <c r="K134" s="3548" t="s">
        <v>3725</v>
      </c>
      <c r="L134" s="3548" t="s">
        <v>4110</v>
      </c>
    </row>
    <row r="135" spans="1:12" s="3545" customFormat="1" hidden="1">
      <c r="A135" s="3548" t="s">
        <v>4431</v>
      </c>
      <c r="B135" s="3548" t="s">
        <v>3636</v>
      </c>
      <c r="C135" s="3548" t="s">
        <v>4018</v>
      </c>
      <c r="D135" s="3548" t="s">
        <v>3632</v>
      </c>
      <c r="E135" s="3548" t="s">
        <v>3987</v>
      </c>
      <c r="F135" s="3548" t="s">
        <v>4432</v>
      </c>
      <c r="G135" s="3548" t="s">
        <v>3645</v>
      </c>
      <c r="H135" s="3548" t="s">
        <v>3640</v>
      </c>
      <c r="I135" s="3548" t="s">
        <v>4433</v>
      </c>
      <c r="J135" s="3548" t="s">
        <v>4434</v>
      </c>
      <c r="K135" s="3548" t="s">
        <v>3641</v>
      </c>
      <c r="L135" s="3548" t="s">
        <v>3836</v>
      </c>
    </row>
    <row r="136" spans="1:12" s="3545" customFormat="1" hidden="1">
      <c r="A136" s="3548" t="s">
        <v>4116</v>
      </c>
      <c r="B136" s="3548" t="s">
        <v>3830</v>
      </c>
      <c r="C136" s="3548" t="s">
        <v>4117</v>
      </c>
      <c r="D136" s="3548" t="s">
        <v>3632</v>
      </c>
      <c r="E136" s="3548" t="s">
        <v>3987</v>
      </c>
      <c r="F136" s="3548" t="s">
        <v>4118</v>
      </c>
      <c r="G136" s="3548" t="s">
        <v>3645</v>
      </c>
      <c r="H136" s="3548" t="s">
        <v>4119</v>
      </c>
      <c r="I136" s="3548" t="s">
        <v>4120</v>
      </c>
      <c r="J136" s="3548" t="s">
        <v>4121</v>
      </c>
      <c r="K136" s="3548" t="s">
        <v>3641</v>
      </c>
      <c r="L136" s="3548" t="s">
        <v>4122</v>
      </c>
    </row>
    <row r="137" spans="1:12" s="3545" customFormat="1" hidden="1">
      <c r="A137" s="3548" t="s">
        <v>4123</v>
      </c>
      <c r="B137" s="3548" t="s">
        <v>3625</v>
      </c>
      <c r="C137" s="3548" t="s">
        <v>3769</v>
      </c>
      <c r="D137" s="3548" t="s">
        <v>4124</v>
      </c>
      <c r="E137" s="3548" t="s">
        <v>3987</v>
      </c>
      <c r="F137" s="3548" t="s">
        <v>3685</v>
      </c>
      <c r="G137" s="3548" t="s">
        <v>3645</v>
      </c>
      <c r="H137" s="3548" t="s">
        <v>4125</v>
      </c>
      <c r="I137" s="3548" t="s">
        <v>4126</v>
      </c>
      <c r="J137" s="3548" t="s">
        <v>4127</v>
      </c>
      <c r="K137" s="3548" t="s">
        <v>4128</v>
      </c>
      <c r="L137" s="3548" t="s">
        <v>4129</v>
      </c>
    </row>
    <row r="138" spans="1:12" s="3545" customFormat="1" hidden="1">
      <c r="A138" s="3548" t="s">
        <v>4139</v>
      </c>
      <c r="B138" s="3548" t="s">
        <v>4140</v>
      </c>
      <c r="C138" s="3548" t="s">
        <v>4141</v>
      </c>
      <c r="D138" s="3548" t="s">
        <v>3632</v>
      </c>
      <c r="E138" s="3548" t="s">
        <v>3987</v>
      </c>
      <c r="F138" s="3548" t="s">
        <v>4142</v>
      </c>
      <c r="G138" s="3548" t="s">
        <v>3630</v>
      </c>
      <c r="H138" s="3548" t="s">
        <v>4143</v>
      </c>
      <c r="I138" s="3548" t="s">
        <v>4144</v>
      </c>
      <c r="J138" s="3548" t="s">
        <v>4145</v>
      </c>
      <c r="K138" s="3548" t="s">
        <v>4146</v>
      </c>
      <c r="L138" s="3548" t="s">
        <v>4147</v>
      </c>
    </row>
    <row r="139" spans="1:12" s="3545" customFormat="1" hidden="1">
      <c r="A139" s="3548" t="s">
        <v>4148</v>
      </c>
      <c r="B139" s="3548" t="s">
        <v>3676</v>
      </c>
      <c r="C139" s="3548" t="s">
        <v>4149</v>
      </c>
      <c r="D139" s="3548" t="s">
        <v>4149</v>
      </c>
      <c r="E139" s="3548" t="s">
        <v>3987</v>
      </c>
      <c r="F139" s="3548" t="s">
        <v>4097</v>
      </c>
      <c r="G139" s="3548" t="s">
        <v>3632</v>
      </c>
      <c r="H139" s="3548" t="s">
        <v>4150</v>
      </c>
      <c r="I139" s="3548" t="s">
        <v>4151</v>
      </c>
      <c r="J139" s="3548" t="s">
        <v>4152</v>
      </c>
      <c r="K139" s="3548" t="s">
        <v>4153</v>
      </c>
      <c r="L139" s="3548" t="s">
        <v>4154</v>
      </c>
    </row>
    <row r="140" spans="1:12" s="3545" customFormat="1" hidden="1">
      <c r="A140" s="3548" t="s">
        <v>4155</v>
      </c>
      <c r="B140" s="3548" t="s">
        <v>3728</v>
      </c>
      <c r="C140" s="3548" t="s">
        <v>4156</v>
      </c>
      <c r="D140" s="3548" t="s">
        <v>3632</v>
      </c>
      <c r="E140" s="3548" t="s">
        <v>3987</v>
      </c>
      <c r="F140" s="3548" t="s">
        <v>4157</v>
      </c>
      <c r="G140" s="3548" t="s">
        <v>3645</v>
      </c>
      <c r="H140" s="3548" t="s">
        <v>4158</v>
      </c>
      <c r="I140" s="3548" t="s">
        <v>4159</v>
      </c>
      <c r="J140" s="3548" t="s">
        <v>4160</v>
      </c>
      <c r="K140" s="3548" t="s">
        <v>4161</v>
      </c>
      <c r="L140" s="3548" t="s">
        <v>4162</v>
      </c>
    </row>
    <row r="141" spans="1:12" s="3545" customFormat="1">
      <c r="A141" s="3548" t="s">
        <v>4257</v>
      </c>
      <c r="B141" s="3548" t="s">
        <v>3699</v>
      </c>
      <c r="C141" s="3548" t="s">
        <v>3700</v>
      </c>
      <c r="D141" s="3548" t="s">
        <v>4033</v>
      </c>
      <c r="E141" s="3548" t="s">
        <v>3987</v>
      </c>
      <c r="F141" s="3548" t="s">
        <v>4258</v>
      </c>
      <c r="G141" s="3548" t="s">
        <v>3645</v>
      </c>
      <c r="H141" s="3548" t="s">
        <v>4259</v>
      </c>
      <c r="I141" s="3548" t="s">
        <v>4260</v>
      </c>
      <c r="J141" s="3548" t="s">
        <v>4261</v>
      </c>
      <c r="K141" s="3548" t="s">
        <v>4262</v>
      </c>
      <c r="L141" s="3548" t="s">
        <v>4038</v>
      </c>
    </row>
    <row r="142" spans="1:12" s="3545" customFormat="1" hidden="1">
      <c r="A142" s="3548" t="s">
        <v>4435</v>
      </c>
      <c r="B142" s="3548" t="s">
        <v>3676</v>
      </c>
      <c r="C142" s="3548" t="s">
        <v>4436</v>
      </c>
      <c r="D142" s="3548" t="s">
        <v>3632</v>
      </c>
      <c r="E142" s="3548" t="s">
        <v>3987</v>
      </c>
      <c r="F142" s="3548" t="s">
        <v>4437</v>
      </c>
      <c r="G142" s="3548" t="s">
        <v>3630</v>
      </c>
      <c r="H142" s="3548" t="s">
        <v>4438</v>
      </c>
      <c r="I142" s="3548" t="s">
        <v>4439</v>
      </c>
      <c r="J142" s="3548" t="s">
        <v>4440</v>
      </c>
      <c r="K142" s="3548" t="s">
        <v>4441</v>
      </c>
      <c r="L142" s="3548" t="s">
        <v>4442</v>
      </c>
    </row>
    <row r="143" spans="1:12" s="3545" customFormat="1" hidden="1">
      <c r="A143" s="3548" t="s">
        <v>4272</v>
      </c>
      <c r="B143" s="3548" t="s">
        <v>4273</v>
      </c>
      <c r="C143" s="3548" t="s">
        <v>4274</v>
      </c>
      <c r="D143" s="3548" t="s">
        <v>3632</v>
      </c>
      <c r="E143" s="3548" t="s">
        <v>3987</v>
      </c>
      <c r="F143" s="3548" t="s">
        <v>4275</v>
      </c>
      <c r="G143" s="3548" t="s">
        <v>3645</v>
      </c>
      <c r="H143" s="3548" t="s">
        <v>4276</v>
      </c>
      <c r="I143" s="3548" t="s">
        <v>4277</v>
      </c>
      <c r="J143" s="3548" t="s">
        <v>4278</v>
      </c>
      <c r="K143" s="3548" t="s">
        <v>4279</v>
      </c>
      <c r="L143" s="3548" t="s">
        <v>4280</v>
      </c>
    </row>
    <row r="144" spans="1:12" s="3545" customFormat="1" hidden="1">
      <c r="A144" s="3548" t="s">
        <v>4281</v>
      </c>
      <c r="B144" s="3548" t="s">
        <v>4264</v>
      </c>
      <c r="C144" s="3548" t="s">
        <v>4282</v>
      </c>
      <c r="D144" s="3548" t="s">
        <v>3632</v>
      </c>
      <c r="E144" s="3548" t="s">
        <v>3987</v>
      </c>
      <c r="F144" s="3548" t="s">
        <v>4283</v>
      </c>
      <c r="G144" s="3548" t="s">
        <v>3645</v>
      </c>
      <c r="H144" s="3548" t="s">
        <v>3632</v>
      </c>
      <c r="I144" s="3548" t="s">
        <v>3632</v>
      </c>
      <c r="J144" s="3548" t="s">
        <v>4284</v>
      </c>
      <c r="K144" s="3548" t="s">
        <v>4285</v>
      </c>
      <c r="L144" s="3548" t="s">
        <v>4286</v>
      </c>
    </row>
    <row r="145" spans="1:12" s="3545" customFormat="1" hidden="1">
      <c r="A145" s="3548" t="s">
        <v>4295</v>
      </c>
      <c r="B145" s="3548" t="s">
        <v>4089</v>
      </c>
      <c r="C145" s="3548" t="s">
        <v>3632</v>
      </c>
      <c r="D145" s="3548" t="s">
        <v>3632</v>
      </c>
      <c r="E145" s="3548" t="s">
        <v>3987</v>
      </c>
      <c r="F145" s="3548" t="s">
        <v>4296</v>
      </c>
      <c r="G145" s="3548" t="s">
        <v>3630</v>
      </c>
      <c r="H145" s="3548" t="s">
        <v>4297</v>
      </c>
      <c r="I145" s="3548" t="s">
        <v>4298</v>
      </c>
      <c r="J145" s="3548" t="s">
        <v>4299</v>
      </c>
      <c r="K145" s="3548" t="s">
        <v>4300</v>
      </c>
      <c r="L145" s="3548" t="s">
        <v>4301</v>
      </c>
    </row>
    <row r="146" spans="1:12" s="3545" customFormat="1" hidden="1">
      <c r="A146" s="3548" t="s">
        <v>4302</v>
      </c>
      <c r="B146" s="3548" t="s">
        <v>3625</v>
      </c>
      <c r="C146" s="3548" t="s">
        <v>3684</v>
      </c>
      <c r="D146" s="3548" t="s">
        <v>3632</v>
      </c>
      <c r="E146" s="3548" t="s">
        <v>3987</v>
      </c>
      <c r="F146" s="3548" t="s">
        <v>4303</v>
      </c>
      <c r="G146" s="3548" t="s">
        <v>3632</v>
      </c>
      <c r="H146" s="3548" t="s">
        <v>4304</v>
      </c>
      <c r="I146" s="3548" t="s">
        <v>4305</v>
      </c>
      <c r="J146" s="3548" t="s">
        <v>4306</v>
      </c>
      <c r="K146" s="3548" t="s">
        <v>4307</v>
      </c>
      <c r="L146" s="3548" t="s">
        <v>4308</v>
      </c>
    </row>
    <row r="147" spans="1:12" s="3545" customFormat="1" hidden="1">
      <c r="A147" s="3548" t="s">
        <v>4443</v>
      </c>
      <c r="B147" s="3548" t="s">
        <v>3986</v>
      </c>
      <c r="C147" s="3548" t="s">
        <v>3632</v>
      </c>
      <c r="D147" s="3548" t="s">
        <v>3632</v>
      </c>
      <c r="E147" s="3548" t="s">
        <v>3987</v>
      </c>
      <c r="F147" s="3548" t="s">
        <v>4444</v>
      </c>
      <c r="G147" s="3548" t="s">
        <v>3630</v>
      </c>
      <c r="H147" s="3548" t="s">
        <v>4445</v>
      </c>
      <c r="I147" s="3548" t="s">
        <v>4166</v>
      </c>
      <c r="J147" s="3548" t="s">
        <v>4446</v>
      </c>
      <c r="K147" s="3548" t="s">
        <v>4447</v>
      </c>
      <c r="L147" s="3548" t="s">
        <v>4448</v>
      </c>
    </row>
    <row r="148" spans="1:12" s="3545" customFormat="1" hidden="1">
      <c r="A148" s="3548" t="s">
        <v>4198</v>
      </c>
      <c r="B148" s="3548" t="s">
        <v>4089</v>
      </c>
      <c r="C148" s="3548" t="s">
        <v>4199</v>
      </c>
      <c r="D148" s="3548" t="s">
        <v>3632</v>
      </c>
      <c r="E148" s="3548" t="s">
        <v>3987</v>
      </c>
      <c r="F148" s="3548" t="s">
        <v>4200</v>
      </c>
      <c r="G148" s="3548" t="s">
        <v>4082</v>
      </c>
      <c r="H148" s="3548" t="s">
        <v>4201</v>
      </c>
      <c r="I148" s="3548" t="s">
        <v>4202</v>
      </c>
      <c r="J148" s="3548" t="s">
        <v>4203</v>
      </c>
      <c r="K148" s="3548" t="s">
        <v>3641</v>
      </c>
      <c r="L148" s="3548" t="s">
        <v>4204</v>
      </c>
    </row>
    <row r="149" spans="1:12" s="3545" customFormat="1" hidden="1">
      <c r="A149" s="3548" t="s">
        <v>4205</v>
      </c>
      <c r="B149" s="3548" t="s">
        <v>3830</v>
      </c>
      <c r="C149" s="3548" t="s">
        <v>4052</v>
      </c>
      <c r="D149" s="3548" t="s">
        <v>3632</v>
      </c>
      <c r="E149" s="3548" t="s">
        <v>3987</v>
      </c>
      <c r="F149" s="3548" t="s">
        <v>4206</v>
      </c>
      <c r="G149" s="3548" t="s">
        <v>3630</v>
      </c>
      <c r="H149" s="3548" t="s">
        <v>4207</v>
      </c>
      <c r="I149" s="3548" t="s">
        <v>4208</v>
      </c>
      <c r="J149" s="3548" t="s">
        <v>4209</v>
      </c>
      <c r="K149" s="3548" t="s">
        <v>4210</v>
      </c>
      <c r="L149" s="3548" t="s">
        <v>4211</v>
      </c>
    </row>
    <row r="150" spans="1:12" s="3545" customFormat="1" hidden="1">
      <c r="A150" s="3548" t="s">
        <v>4449</v>
      </c>
      <c r="B150" s="3548" t="s">
        <v>3751</v>
      </c>
      <c r="C150" s="3548" t="s">
        <v>4450</v>
      </c>
      <c r="D150" s="3548" t="s">
        <v>3632</v>
      </c>
      <c r="E150" s="3548" t="s">
        <v>3987</v>
      </c>
      <c r="F150" s="3548" t="s">
        <v>4451</v>
      </c>
      <c r="G150" s="3548" t="s">
        <v>3630</v>
      </c>
      <c r="H150" s="3548" t="s">
        <v>4452</v>
      </c>
      <c r="I150" s="3548" t="s">
        <v>4453</v>
      </c>
      <c r="J150" s="3548" t="s">
        <v>4454</v>
      </c>
      <c r="K150" s="3548" t="s">
        <v>4455</v>
      </c>
      <c r="L150" s="3548" t="s">
        <v>4456</v>
      </c>
    </row>
    <row r="151" spans="1:12" s="3545" customFormat="1">
      <c r="A151" s="3548" t="s">
        <v>4227</v>
      </c>
      <c r="B151" s="3548" t="s">
        <v>3699</v>
      </c>
      <c r="C151" s="3548" t="s">
        <v>3916</v>
      </c>
      <c r="D151" s="3548" t="s">
        <v>3632</v>
      </c>
      <c r="E151" s="3548" t="s">
        <v>3987</v>
      </c>
      <c r="F151" s="3548" t="s">
        <v>4228</v>
      </c>
      <c r="G151" s="3548" t="s">
        <v>3630</v>
      </c>
      <c r="H151" s="3548" t="s">
        <v>4229</v>
      </c>
      <c r="I151" s="3548" t="s">
        <v>4230</v>
      </c>
      <c r="J151" s="3548" t="s">
        <v>4231</v>
      </c>
      <c r="K151" s="3548" t="s">
        <v>4232</v>
      </c>
      <c r="L151" s="3548" t="s">
        <v>4233</v>
      </c>
    </row>
    <row r="152" spans="1:12" s="3545" customFormat="1" hidden="1">
      <c r="A152" s="3548" t="s">
        <v>4234</v>
      </c>
      <c r="B152" s="3548" t="s">
        <v>4235</v>
      </c>
      <c r="C152" s="3548" t="s">
        <v>4236</v>
      </c>
      <c r="D152" s="3548" t="s">
        <v>3632</v>
      </c>
      <c r="E152" s="3548" t="s">
        <v>3987</v>
      </c>
      <c r="F152" s="3548" t="s">
        <v>4237</v>
      </c>
      <c r="G152" s="3548" t="s">
        <v>3645</v>
      </c>
      <c r="H152" s="3548" t="s">
        <v>3647</v>
      </c>
      <c r="I152" s="3548" t="s">
        <v>4238</v>
      </c>
      <c r="J152" s="3548" t="s">
        <v>4239</v>
      </c>
      <c r="K152" s="3548" t="s">
        <v>4240</v>
      </c>
      <c r="L152" s="3548" t="s">
        <v>4241</v>
      </c>
    </row>
    <row r="153" spans="1:12" s="3545" customFormat="1" hidden="1">
      <c r="A153" s="3548" t="s">
        <v>4242</v>
      </c>
      <c r="B153" s="3548" t="s">
        <v>3830</v>
      </c>
      <c r="C153" s="3548" t="s">
        <v>3632</v>
      </c>
      <c r="D153" s="3548" t="s">
        <v>3632</v>
      </c>
      <c r="E153" s="3548" t="s">
        <v>3987</v>
      </c>
      <c r="F153" s="3548" t="s">
        <v>4243</v>
      </c>
      <c r="G153" s="3548" t="s">
        <v>3645</v>
      </c>
      <c r="H153" s="3548" t="s">
        <v>4244</v>
      </c>
      <c r="I153" s="3548" t="s">
        <v>4245</v>
      </c>
      <c r="J153" s="3548" t="s">
        <v>4246</v>
      </c>
      <c r="K153" s="3548" t="s">
        <v>4247</v>
      </c>
      <c r="L153" s="3548" t="s">
        <v>4248</v>
      </c>
    </row>
    <row r="154" spans="1:12" s="3545" customFormat="1" hidden="1">
      <c r="A154" s="3548" t="s">
        <v>4249</v>
      </c>
      <c r="B154" s="3548" t="s">
        <v>3676</v>
      </c>
      <c r="C154" s="3548" t="s">
        <v>4250</v>
      </c>
      <c r="D154" s="3548" t="s">
        <v>3632</v>
      </c>
      <c r="E154" s="3548" t="s">
        <v>3987</v>
      </c>
      <c r="F154" s="3548" t="s">
        <v>4251</v>
      </c>
      <c r="G154" s="3548" t="s">
        <v>3645</v>
      </c>
      <c r="H154" s="3548" t="s">
        <v>4252</v>
      </c>
      <c r="I154" s="3548" t="s">
        <v>4253</v>
      </c>
      <c r="J154" s="3548" t="s">
        <v>4254</v>
      </c>
      <c r="K154" s="3548" t="s">
        <v>4255</v>
      </c>
      <c r="L154" s="3548" t="s">
        <v>4256</v>
      </c>
    </row>
    <row r="155" spans="1:12" s="3545" customFormat="1" hidden="1">
      <c r="A155" s="3548" t="s">
        <v>4457</v>
      </c>
      <c r="B155" s="3548" t="s">
        <v>4458</v>
      </c>
      <c r="C155" s="3548" t="s">
        <v>4459</v>
      </c>
      <c r="D155" s="3548" t="s">
        <v>3632</v>
      </c>
      <c r="E155" s="3548" t="s">
        <v>3987</v>
      </c>
      <c r="F155" s="3548" t="s">
        <v>4460</v>
      </c>
      <c r="G155" s="3548" t="s">
        <v>3630</v>
      </c>
      <c r="H155" s="3548" t="s">
        <v>4461</v>
      </c>
      <c r="I155" s="3548" t="s">
        <v>4462</v>
      </c>
      <c r="J155" s="3548" t="s">
        <v>4463</v>
      </c>
      <c r="K155" s="3548" t="s">
        <v>3641</v>
      </c>
      <c r="L155" s="3548" t="s">
        <v>4464</v>
      </c>
    </row>
    <row r="156" spans="1:12" s="3545" customFormat="1" hidden="1">
      <c r="A156" s="3548" t="s">
        <v>4465</v>
      </c>
      <c r="B156" s="3548" t="s">
        <v>3728</v>
      </c>
      <c r="C156" s="3548" t="s">
        <v>4466</v>
      </c>
      <c r="D156" s="3548" t="s">
        <v>3632</v>
      </c>
      <c r="E156" s="3548" t="s">
        <v>3987</v>
      </c>
      <c r="F156" s="3548" t="s">
        <v>3693</v>
      </c>
      <c r="G156" s="3548" t="s">
        <v>3645</v>
      </c>
      <c r="H156" s="3548" t="s">
        <v>4467</v>
      </c>
      <c r="I156" s="3548" t="s">
        <v>4468</v>
      </c>
      <c r="J156" s="3548" t="s">
        <v>4469</v>
      </c>
      <c r="K156" s="3548" t="s">
        <v>4470</v>
      </c>
      <c r="L156" s="3548" t="s">
        <v>4471</v>
      </c>
    </row>
    <row r="157" spans="1:12" s="3545" customFormat="1" hidden="1">
      <c r="A157" s="3548" t="s">
        <v>4472</v>
      </c>
      <c r="B157" s="3548" t="s">
        <v>3625</v>
      </c>
      <c r="C157" s="3548" t="s">
        <v>3769</v>
      </c>
      <c r="D157" s="3548" t="s">
        <v>4124</v>
      </c>
      <c r="E157" s="3548" t="s">
        <v>3987</v>
      </c>
      <c r="F157" s="3548" t="s">
        <v>4473</v>
      </c>
      <c r="G157" s="3548" t="s">
        <v>3630</v>
      </c>
      <c r="H157" s="3548" t="s">
        <v>4474</v>
      </c>
      <c r="I157" s="3548" t="s">
        <v>4475</v>
      </c>
      <c r="J157" s="3548" t="s">
        <v>4476</v>
      </c>
      <c r="K157" s="3548" t="s">
        <v>4477</v>
      </c>
      <c r="L157" s="3548" t="s">
        <v>4478</v>
      </c>
    </row>
    <row r="158" spans="1:12" s="3545" customFormat="1" hidden="1">
      <c r="A158" s="3548" t="s">
        <v>4479</v>
      </c>
      <c r="B158" s="3548" t="s">
        <v>4131</v>
      </c>
      <c r="C158" s="3548" t="s">
        <v>4288</v>
      </c>
      <c r="D158" s="3548" t="s">
        <v>3632</v>
      </c>
      <c r="E158" s="3548" t="s">
        <v>3987</v>
      </c>
      <c r="F158" s="3548" t="s">
        <v>3959</v>
      </c>
      <c r="G158" s="3548" t="s">
        <v>3645</v>
      </c>
      <c r="H158" s="3548" t="s">
        <v>4480</v>
      </c>
      <c r="I158" s="3548" t="s">
        <v>4481</v>
      </c>
      <c r="J158" s="3548" t="s">
        <v>4482</v>
      </c>
      <c r="K158" s="3548" t="s">
        <v>4483</v>
      </c>
      <c r="L158" s="3548" t="s">
        <v>4484</v>
      </c>
    </row>
    <row r="159" spans="1:12" s="3545" customFormat="1">
      <c r="A159" s="3548" t="s">
        <v>4485</v>
      </c>
      <c r="B159" s="3548" t="s">
        <v>3699</v>
      </c>
      <c r="C159" s="3548" t="s">
        <v>4486</v>
      </c>
      <c r="D159" s="3548" t="s">
        <v>3632</v>
      </c>
      <c r="E159" s="3548" t="s">
        <v>3987</v>
      </c>
      <c r="F159" s="3548" t="s">
        <v>4487</v>
      </c>
      <c r="G159" s="3548" t="s">
        <v>3645</v>
      </c>
      <c r="H159" s="3548" t="s">
        <v>4488</v>
      </c>
      <c r="I159" s="3548" t="s">
        <v>3632</v>
      </c>
      <c r="J159" s="3548" t="s">
        <v>4489</v>
      </c>
      <c r="K159" s="3548" t="s">
        <v>4490</v>
      </c>
      <c r="L159" s="3548" t="s">
        <v>4491</v>
      </c>
    </row>
    <row r="160" spans="1:12" s="3545" customFormat="1" hidden="1">
      <c r="A160" s="3548" t="s">
        <v>4492</v>
      </c>
      <c r="B160" s="3548" t="s">
        <v>4493</v>
      </c>
      <c r="C160" s="3548" t="s">
        <v>3632</v>
      </c>
      <c r="D160" s="3548" t="s">
        <v>3632</v>
      </c>
      <c r="E160" s="3548" t="s">
        <v>3987</v>
      </c>
      <c r="F160" s="3548" t="s">
        <v>4494</v>
      </c>
      <c r="G160" s="3548" t="s">
        <v>3630</v>
      </c>
      <c r="H160" s="3548" t="s">
        <v>4495</v>
      </c>
      <c r="I160" s="3548" t="s">
        <v>3632</v>
      </c>
      <c r="J160" s="3548" t="s">
        <v>4496</v>
      </c>
      <c r="K160" s="3548" t="s">
        <v>4497</v>
      </c>
      <c r="L160" s="3548" t="s">
        <v>4498</v>
      </c>
    </row>
    <row r="161" spans="1:12" s="3545" customFormat="1" hidden="1">
      <c r="A161" s="3548" t="s">
        <v>4499</v>
      </c>
      <c r="B161" s="3548" t="s">
        <v>3636</v>
      </c>
      <c r="C161" s="3548" t="s">
        <v>4407</v>
      </c>
      <c r="D161" s="3548" t="s">
        <v>4500</v>
      </c>
      <c r="E161" s="3548" t="s">
        <v>3987</v>
      </c>
      <c r="F161" s="3548" t="s">
        <v>4501</v>
      </c>
      <c r="G161" s="3548" t="s">
        <v>3632</v>
      </c>
      <c r="H161" s="3548" t="s">
        <v>4502</v>
      </c>
      <c r="I161" s="3548" t="s">
        <v>4503</v>
      </c>
      <c r="J161" s="3548" t="s">
        <v>4504</v>
      </c>
      <c r="K161" s="3548" t="s">
        <v>3641</v>
      </c>
      <c r="L161" s="3548" t="s">
        <v>3836</v>
      </c>
    </row>
    <row r="162" spans="1:12" s="3545" customFormat="1" hidden="1">
      <c r="A162" s="3548" t="s">
        <v>4315</v>
      </c>
      <c r="B162" s="3548" t="s">
        <v>4140</v>
      </c>
      <c r="C162" s="3548" t="s">
        <v>4316</v>
      </c>
      <c r="D162" s="3548" t="s">
        <v>3632</v>
      </c>
      <c r="E162" s="3548" t="s">
        <v>3987</v>
      </c>
      <c r="F162" s="3548" t="s">
        <v>4317</v>
      </c>
      <c r="G162" s="3548" t="s">
        <v>3645</v>
      </c>
      <c r="H162" s="3548" t="s">
        <v>4318</v>
      </c>
      <c r="I162" s="3548" t="s">
        <v>4319</v>
      </c>
      <c r="J162" s="3548" t="s">
        <v>4320</v>
      </c>
      <c r="K162" s="3548" t="s">
        <v>4321</v>
      </c>
      <c r="L162" s="3548" t="s">
        <v>4322</v>
      </c>
    </row>
    <row r="163" spans="1:12" s="3545" customFormat="1" hidden="1">
      <c r="A163" s="3548" t="s">
        <v>4323</v>
      </c>
      <c r="B163" s="3548" t="s">
        <v>4324</v>
      </c>
      <c r="C163" s="3548" t="s">
        <v>4325</v>
      </c>
      <c r="D163" s="3548" t="s">
        <v>3632</v>
      </c>
      <c r="E163" s="3548" t="s">
        <v>3987</v>
      </c>
      <c r="F163" s="3548" t="s">
        <v>4157</v>
      </c>
      <c r="G163" s="3548" t="s">
        <v>3645</v>
      </c>
      <c r="H163" s="3548" t="s">
        <v>4326</v>
      </c>
      <c r="I163" s="3548" t="s">
        <v>4327</v>
      </c>
      <c r="J163" s="3548" t="s">
        <v>4328</v>
      </c>
      <c r="K163" s="3548" t="s">
        <v>4161</v>
      </c>
      <c r="L163" s="3548" t="s">
        <v>4162</v>
      </c>
    </row>
    <row r="164" spans="1:12" hidden="1">
      <c r="A164" s="3549" t="s">
        <v>4329</v>
      </c>
      <c r="B164" s="3549" t="s">
        <v>3709</v>
      </c>
      <c r="C164" s="3549" t="s">
        <v>4330</v>
      </c>
      <c r="D164" s="3549" t="s">
        <v>3632</v>
      </c>
      <c r="E164" s="3549" t="s">
        <v>3987</v>
      </c>
      <c r="F164" s="3549" t="s">
        <v>4331</v>
      </c>
      <c r="G164" s="3549" t="s">
        <v>3630</v>
      </c>
      <c r="H164" s="3549" t="s">
        <v>4332</v>
      </c>
      <c r="I164" s="3549" t="s">
        <v>4333</v>
      </c>
      <c r="J164" s="3549" t="s">
        <v>4334</v>
      </c>
      <c r="K164" s="3549" t="s">
        <v>4335</v>
      </c>
      <c r="L164" s="3549" t="s">
        <v>4336</v>
      </c>
    </row>
    <row r="165" spans="1:12" s="3545" customFormat="1" hidden="1">
      <c r="A165" s="3548" t="s">
        <v>4505</v>
      </c>
      <c r="B165" s="3548" t="s">
        <v>3751</v>
      </c>
      <c r="C165" s="3548" t="s">
        <v>4450</v>
      </c>
      <c r="D165" s="3548" t="s">
        <v>3632</v>
      </c>
      <c r="E165" s="3548" t="s">
        <v>3987</v>
      </c>
      <c r="F165" s="3548" t="s">
        <v>4506</v>
      </c>
      <c r="G165" s="3548" t="s">
        <v>3630</v>
      </c>
      <c r="H165" s="3548" t="s">
        <v>3632</v>
      </c>
      <c r="I165" s="3548" t="s">
        <v>3632</v>
      </c>
      <c r="J165" s="3548" t="s">
        <v>4507</v>
      </c>
      <c r="K165" s="3548" t="s">
        <v>4508</v>
      </c>
      <c r="L165" s="3548" t="s">
        <v>4509</v>
      </c>
    </row>
    <row r="166" spans="1:12" s="3545" customFormat="1" hidden="1">
      <c r="A166" s="3548" t="s">
        <v>4345</v>
      </c>
      <c r="B166" s="3548" t="s">
        <v>4089</v>
      </c>
      <c r="C166" s="3548" t="s">
        <v>3632</v>
      </c>
      <c r="D166" s="3548" t="s">
        <v>3632</v>
      </c>
      <c r="E166" s="3548" t="s">
        <v>3987</v>
      </c>
      <c r="F166" s="3548" t="s">
        <v>4346</v>
      </c>
      <c r="G166" s="3548" t="s">
        <v>3645</v>
      </c>
      <c r="H166" s="3548" t="s">
        <v>4347</v>
      </c>
      <c r="I166" s="3548" t="s">
        <v>4348</v>
      </c>
      <c r="J166" s="3548" t="s">
        <v>4349</v>
      </c>
      <c r="K166" s="3548" t="s">
        <v>3641</v>
      </c>
      <c r="L166" s="3548" t="s">
        <v>4350</v>
      </c>
    </row>
    <row r="167" spans="1:12" hidden="1">
      <c r="A167" s="3549" t="s">
        <v>4359</v>
      </c>
      <c r="B167" s="3549" t="s">
        <v>3709</v>
      </c>
      <c r="C167" s="3549" t="s">
        <v>4330</v>
      </c>
      <c r="D167" s="3549" t="s">
        <v>3632</v>
      </c>
      <c r="E167" s="3549" t="s">
        <v>3987</v>
      </c>
      <c r="F167" s="3549" t="s">
        <v>4360</v>
      </c>
      <c r="G167" s="3549" t="s">
        <v>4082</v>
      </c>
      <c r="H167" s="3549" t="s">
        <v>4361</v>
      </c>
      <c r="I167" s="3549" t="s">
        <v>4362</v>
      </c>
      <c r="J167" s="3549" t="s">
        <v>4363</v>
      </c>
      <c r="K167" s="3549" t="s">
        <v>3725</v>
      </c>
      <c r="L167" s="3549" t="s">
        <v>4364</v>
      </c>
    </row>
    <row r="168" spans="1:12" s="3545" customFormat="1" hidden="1">
      <c r="A168" s="3548" t="s">
        <v>4365</v>
      </c>
      <c r="B168" s="3548" t="s">
        <v>3636</v>
      </c>
      <c r="C168" s="3548" t="s">
        <v>4366</v>
      </c>
      <c r="D168" s="3548" t="s">
        <v>4367</v>
      </c>
      <c r="E168" s="3548" t="s">
        <v>3987</v>
      </c>
      <c r="F168" s="3548" t="s">
        <v>4368</v>
      </c>
      <c r="G168" s="3548" t="s">
        <v>3632</v>
      </c>
      <c r="H168" s="3548" t="s">
        <v>4369</v>
      </c>
      <c r="I168" s="3548" t="s">
        <v>4370</v>
      </c>
      <c r="J168" s="3548" t="s">
        <v>4371</v>
      </c>
      <c r="K168" s="3548" t="s">
        <v>4372</v>
      </c>
      <c r="L168" s="3548" t="s">
        <v>4373</v>
      </c>
    </row>
    <row r="169" spans="1:12" s="3545" customFormat="1" hidden="1">
      <c r="A169" s="3548" t="s">
        <v>4510</v>
      </c>
      <c r="B169" s="3548" t="s">
        <v>3625</v>
      </c>
      <c r="C169" s="3548" t="s">
        <v>4511</v>
      </c>
      <c r="D169" s="3548" t="s">
        <v>3632</v>
      </c>
      <c r="E169" s="3548" t="s">
        <v>3987</v>
      </c>
      <c r="F169" s="3548" t="s">
        <v>4451</v>
      </c>
      <c r="G169" s="3548" t="s">
        <v>3632</v>
      </c>
      <c r="H169" s="3548" t="s">
        <v>4512</v>
      </c>
      <c r="I169" s="3548" t="s">
        <v>4513</v>
      </c>
      <c r="J169" s="3548" t="s">
        <v>4514</v>
      </c>
      <c r="K169" s="3548" t="s">
        <v>4515</v>
      </c>
      <c r="L169" s="3548" t="s">
        <v>4456</v>
      </c>
    </row>
    <row r="170" spans="1:12" s="3545" customFormat="1" hidden="1">
      <c r="A170" s="3548" t="s">
        <v>4516</v>
      </c>
      <c r="B170" s="3548" t="s">
        <v>3830</v>
      </c>
      <c r="C170" s="3548" t="s">
        <v>3632</v>
      </c>
      <c r="D170" s="3548" t="s">
        <v>3632</v>
      </c>
      <c r="E170" s="3548" t="s">
        <v>3987</v>
      </c>
      <c r="F170" s="3548" t="s">
        <v>4517</v>
      </c>
      <c r="G170" s="3548" t="s">
        <v>3645</v>
      </c>
      <c r="H170" s="3548" t="s">
        <v>3632</v>
      </c>
      <c r="I170" s="3548" t="s">
        <v>3632</v>
      </c>
      <c r="J170" s="3548" t="s">
        <v>4518</v>
      </c>
      <c r="K170" s="3548" t="s">
        <v>4519</v>
      </c>
      <c r="L170" s="3548" t="s">
        <v>4520</v>
      </c>
    </row>
    <row r="171" spans="1:12" s="3545" customFormat="1" hidden="1">
      <c r="A171" s="3548" t="s">
        <v>4521</v>
      </c>
      <c r="B171" s="3548" t="s">
        <v>4522</v>
      </c>
      <c r="C171" s="3548" t="s">
        <v>4523</v>
      </c>
      <c r="D171" s="3548" t="s">
        <v>4523</v>
      </c>
      <c r="E171" s="3548" t="s">
        <v>3987</v>
      </c>
      <c r="F171" s="3548" t="s">
        <v>4524</v>
      </c>
      <c r="G171" s="3548" t="s">
        <v>3630</v>
      </c>
      <c r="H171" s="3548" t="s">
        <v>4525</v>
      </c>
      <c r="I171" s="3548" t="s">
        <v>4526</v>
      </c>
      <c r="J171" s="3548" t="s">
        <v>4527</v>
      </c>
      <c r="K171" s="3548" t="s">
        <v>4528</v>
      </c>
      <c r="L171" s="3548" t="s">
        <v>4529</v>
      </c>
    </row>
    <row r="172" spans="1:12" s="3545" customFormat="1" hidden="1">
      <c r="A172" s="3548" t="s">
        <v>4530</v>
      </c>
      <c r="B172" s="3548" t="s">
        <v>3830</v>
      </c>
      <c r="C172" s="3548" t="s">
        <v>3632</v>
      </c>
      <c r="D172" s="3548" t="s">
        <v>3632</v>
      </c>
      <c r="E172" s="3548" t="s">
        <v>3987</v>
      </c>
      <c r="F172" s="3548" t="s">
        <v>4531</v>
      </c>
      <c r="G172" s="3548" t="s">
        <v>3645</v>
      </c>
      <c r="H172" s="3548" t="s">
        <v>4532</v>
      </c>
      <c r="I172" s="3548" t="s">
        <v>4533</v>
      </c>
      <c r="J172" s="3548" t="s">
        <v>4534</v>
      </c>
      <c r="K172" s="3548" t="s">
        <v>4535</v>
      </c>
      <c r="L172" s="3548" t="s">
        <v>4536</v>
      </c>
    </row>
    <row r="173" spans="1:12" s="3545" customFormat="1" hidden="1">
      <c r="A173" s="3548" t="s">
        <v>4537</v>
      </c>
      <c r="B173" s="3548" t="s">
        <v>4538</v>
      </c>
      <c r="C173" s="3548" t="s">
        <v>4539</v>
      </c>
      <c r="D173" s="3548" t="s">
        <v>3632</v>
      </c>
      <c r="E173" s="3548" t="s">
        <v>3987</v>
      </c>
      <c r="F173" s="3548" t="s">
        <v>4540</v>
      </c>
      <c r="G173" s="3548" t="s">
        <v>3630</v>
      </c>
      <c r="H173" s="3548" t="s">
        <v>4541</v>
      </c>
      <c r="I173" s="3548" t="s">
        <v>4542</v>
      </c>
      <c r="J173" s="3548" t="s">
        <v>4543</v>
      </c>
      <c r="K173" s="3548" t="s">
        <v>4544</v>
      </c>
      <c r="L173" s="3548" t="s">
        <v>4545</v>
      </c>
    </row>
    <row r="174" spans="1:12" s="3545" customFormat="1" hidden="1">
      <c r="A174" s="3548" t="s">
        <v>4546</v>
      </c>
      <c r="B174" s="3548" t="s">
        <v>3751</v>
      </c>
      <c r="C174" s="3548" t="s">
        <v>4450</v>
      </c>
      <c r="D174" s="3548" t="s">
        <v>3632</v>
      </c>
      <c r="E174" s="3548" t="s">
        <v>3987</v>
      </c>
      <c r="F174" s="3548" t="s">
        <v>4451</v>
      </c>
      <c r="G174" s="3548" t="s">
        <v>3630</v>
      </c>
      <c r="H174" s="3548" t="s">
        <v>4547</v>
      </c>
      <c r="I174" s="3548" t="s">
        <v>4453</v>
      </c>
      <c r="J174" s="3548" t="s">
        <v>4548</v>
      </c>
      <c r="K174" s="3548" t="s">
        <v>4455</v>
      </c>
      <c r="L174" s="3548" t="s">
        <v>4456</v>
      </c>
    </row>
    <row r="175" spans="1:12" s="3545" customFormat="1" hidden="1">
      <c r="A175" s="3548" t="s">
        <v>4549</v>
      </c>
      <c r="B175" s="3548" t="s">
        <v>4550</v>
      </c>
      <c r="C175" s="3548" t="s">
        <v>3632</v>
      </c>
      <c r="D175" s="3548" t="s">
        <v>3632</v>
      </c>
      <c r="E175" s="3548" t="s">
        <v>3987</v>
      </c>
      <c r="F175" s="3548" t="s">
        <v>4368</v>
      </c>
      <c r="G175" s="3548" t="s">
        <v>3630</v>
      </c>
      <c r="H175" s="3548" t="s">
        <v>3632</v>
      </c>
      <c r="I175" s="3548" t="s">
        <v>3632</v>
      </c>
      <c r="J175" s="3548" t="s">
        <v>4551</v>
      </c>
      <c r="K175" s="3548" t="s">
        <v>4552</v>
      </c>
      <c r="L175" s="3548" t="s">
        <v>4553</v>
      </c>
    </row>
    <row r="176" spans="1:12" s="3545" customFormat="1" hidden="1">
      <c r="A176" s="3548" t="s">
        <v>4554</v>
      </c>
      <c r="B176" s="3548" t="s">
        <v>4555</v>
      </c>
      <c r="C176" s="3548" t="s">
        <v>4556</v>
      </c>
      <c r="D176" s="3548" t="s">
        <v>3632</v>
      </c>
      <c r="E176" s="3548" t="s">
        <v>3987</v>
      </c>
      <c r="F176" s="3548" t="s">
        <v>4557</v>
      </c>
      <c r="G176" s="3548" t="s">
        <v>3645</v>
      </c>
      <c r="H176" s="3548" t="s">
        <v>4558</v>
      </c>
      <c r="I176" s="3548" t="s">
        <v>4559</v>
      </c>
      <c r="J176" s="3548" t="s">
        <v>4560</v>
      </c>
      <c r="K176" s="3548" t="s">
        <v>3641</v>
      </c>
      <c r="L176" s="3548" t="s">
        <v>3836</v>
      </c>
    </row>
    <row r="177" spans="1:12" s="3545" customFormat="1" hidden="1">
      <c r="A177" s="3548" t="s">
        <v>4561</v>
      </c>
      <c r="B177" s="3548" t="s">
        <v>3625</v>
      </c>
      <c r="C177" s="3548" t="s">
        <v>3769</v>
      </c>
      <c r="D177" s="3548" t="s">
        <v>3632</v>
      </c>
      <c r="E177" s="3548" t="s">
        <v>3987</v>
      </c>
      <c r="F177" s="3548" t="s">
        <v>4562</v>
      </c>
      <c r="G177" s="3548" t="s">
        <v>3630</v>
      </c>
      <c r="H177" s="3548" t="s">
        <v>4563</v>
      </c>
      <c r="I177" s="3548" t="s">
        <v>4564</v>
      </c>
      <c r="J177" s="3548" t="s">
        <v>4565</v>
      </c>
      <c r="K177" s="3548" t="s">
        <v>4566</v>
      </c>
      <c r="L177" s="3548" t="s">
        <v>4567</v>
      </c>
    </row>
    <row r="178" spans="1:12" s="3545" customFormat="1" hidden="1">
      <c r="A178" s="3548" t="s">
        <v>4568</v>
      </c>
      <c r="B178" s="3548" t="s">
        <v>4047</v>
      </c>
      <c r="C178" s="3548" t="s">
        <v>4569</v>
      </c>
      <c r="D178" s="3548" t="s">
        <v>3632</v>
      </c>
      <c r="E178" s="3548" t="s">
        <v>3987</v>
      </c>
      <c r="F178" s="3548" t="s">
        <v>4570</v>
      </c>
      <c r="G178" s="3548" t="s">
        <v>3645</v>
      </c>
      <c r="H178" s="3548" t="s">
        <v>4571</v>
      </c>
      <c r="I178" s="3548" t="s">
        <v>4572</v>
      </c>
      <c r="J178" s="3548" t="s">
        <v>4573</v>
      </c>
      <c r="K178" s="3548" t="s">
        <v>4574</v>
      </c>
      <c r="L178" s="3548" t="s">
        <v>4575</v>
      </c>
    </row>
    <row r="179" spans="1:12" s="3545" customFormat="1" hidden="1">
      <c r="A179" s="3548" t="s">
        <v>4576</v>
      </c>
      <c r="B179" s="3548" t="s">
        <v>4047</v>
      </c>
      <c r="C179" s="3548" t="s">
        <v>4577</v>
      </c>
      <c r="D179" s="3548" t="s">
        <v>4577</v>
      </c>
      <c r="E179" s="3548" t="s">
        <v>3987</v>
      </c>
      <c r="F179" s="3548" t="s">
        <v>4578</v>
      </c>
      <c r="G179" s="3548" t="s">
        <v>3630</v>
      </c>
      <c r="H179" s="3548" t="s">
        <v>3632</v>
      </c>
      <c r="I179" s="3548" t="s">
        <v>3632</v>
      </c>
      <c r="J179" s="3548" t="s">
        <v>4579</v>
      </c>
      <c r="K179" s="3548" t="s">
        <v>4580</v>
      </c>
      <c r="L179" s="3548" t="s">
        <v>3836</v>
      </c>
    </row>
    <row r="180" spans="1:12" s="3545" customFormat="1" hidden="1">
      <c r="A180" s="3548" t="s">
        <v>4581</v>
      </c>
      <c r="B180" s="3548" t="s">
        <v>3636</v>
      </c>
      <c r="C180" s="3548" t="s">
        <v>3637</v>
      </c>
      <c r="D180" s="3548" t="s">
        <v>3632</v>
      </c>
      <c r="E180" s="3548" t="s">
        <v>3987</v>
      </c>
      <c r="F180" s="3548" t="s">
        <v>4582</v>
      </c>
      <c r="G180" s="3548" t="s">
        <v>3630</v>
      </c>
      <c r="H180" s="3548" t="s">
        <v>4583</v>
      </c>
      <c r="I180" s="3548" t="s">
        <v>4584</v>
      </c>
      <c r="J180" s="3548" t="s">
        <v>4585</v>
      </c>
      <c r="K180" s="3548" t="s">
        <v>4586</v>
      </c>
      <c r="L180" s="3548" t="s">
        <v>4587</v>
      </c>
    </row>
    <row r="181" spans="1:12" s="3545" customFormat="1" hidden="1">
      <c r="A181" s="3548" t="s">
        <v>4588</v>
      </c>
      <c r="B181" s="3548" t="s">
        <v>3636</v>
      </c>
      <c r="C181" s="3548" t="s">
        <v>3637</v>
      </c>
      <c r="D181" s="3548" t="s">
        <v>3632</v>
      </c>
      <c r="E181" s="3548" t="s">
        <v>3987</v>
      </c>
      <c r="F181" s="3548" t="s">
        <v>4589</v>
      </c>
      <c r="G181" s="3548" t="s">
        <v>3645</v>
      </c>
      <c r="H181" s="3548" t="s">
        <v>4590</v>
      </c>
      <c r="I181" s="3548" t="s">
        <v>4591</v>
      </c>
      <c r="J181" s="3548" t="s">
        <v>4592</v>
      </c>
      <c r="K181" s="3548" t="s">
        <v>3641</v>
      </c>
      <c r="L181" s="3548" t="s">
        <v>4593</v>
      </c>
    </row>
    <row r="182" spans="1:12" hidden="1">
      <c r="A182" s="3549" t="s">
        <v>4594</v>
      </c>
      <c r="B182" s="3549" t="s">
        <v>3709</v>
      </c>
      <c r="C182" s="3549" t="s">
        <v>3710</v>
      </c>
      <c r="D182" s="3549" t="s">
        <v>3632</v>
      </c>
      <c r="E182" s="3549" t="s">
        <v>3987</v>
      </c>
      <c r="F182" s="3549" t="s">
        <v>4524</v>
      </c>
      <c r="G182" s="3549" t="s">
        <v>3645</v>
      </c>
      <c r="H182" s="3549" t="s">
        <v>4595</v>
      </c>
      <c r="I182" s="3549" t="s">
        <v>4596</v>
      </c>
      <c r="J182" s="3549" t="s">
        <v>4597</v>
      </c>
      <c r="K182" s="3549" t="s">
        <v>4598</v>
      </c>
      <c r="L182" s="3549" t="s">
        <v>4599</v>
      </c>
    </row>
    <row r="183" spans="1:12" s="3545" customFormat="1" hidden="1">
      <c r="A183" s="3548" t="s">
        <v>4378</v>
      </c>
      <c r="B183" s="3548" t="s">
        <v>3830</v>
      </c>
      <c r="C183" s="3548" t="s">
        <v>3632</v>
      </c>
      <c r="D183" s="3548" t="s">
        <v>3632</v>
      </c>
      <c r="E183" s="3548" t="s">
        <v>3987</v>
      </c>
      <c r="F183" s="3548" t="s">
        <v>4600</v>
      </c>
      <c r="G183" s="3548" t="s">
        <v>3632</v>
      </c>
      <c r="H183" s="3548" t="s">
        <v>4380</v>
      </c>
      <c r="I183" s="3548" t="s">
        <v>4381</v>
      </c>
      <c r="J183" s="3548" t="s">
        <v>4382</v>
      </c>
      <c r="K183" s="3548" t="s">
        <v>4601</v>
      </c>
      <c r="L183" s="3548" t="s">
        <v>4602</v>
      </c>
    </row>
    <row r="184" spans="1:12" s="3545" customFormat="1" hidden="1">
      <c r="A184" s="3548" t="s">
        <v>4603</v>
      </c>
      <c r="B184" s="3548" t="s">
        <v>4458</v>
      </c>
      <c r="C184" s="3548" t="s">
        <v>4604</v>
      </c>
      <c r="D184" s="3548" t="s">
        <v>3632</v>
      </c>
      <c r="E184" s="3548" t="s">
        <v>3987</v>
      </c>
      <c r="F184" s="3548" t="s">
        <v>4605</v>
      </c>
      <c r="G184" s="3548" t="s">
        <v>3645</v>
      </c>
      <c r="H184" s="3548" t="s">
        <v>4606</v>
      </c>
      <c r="I184" s="3548" t="s">
        <v>4607</v>
      </c>
      <c r="J184" s="3548" t="s">
        <v>4608</v>
      </c>
      <c r="K184" s="3548" t="s">
        <v>4609</v>
      </c>
      <c r="L184" s="3548" t="s">
        <v>4610</v>
      </c>
    </row>
    <row r="185" spans="1:12" s="3545" customFormat="1" hidden="1">
      <c r="A185" s="3548" t="s">
        <v>4611</v>
      </c>
      <c r="B185" s="3548" t="s">
        <v>4612</v>
      </c>
      <c r="C185" s="3548" t="s">
        <v>4613</v>
      </c>
      <c r="D185" s="3548" t="s">
        <v>3632</v>
      </c>
      <c r="E185" s="3548" t="s">
        <v>3987</v>
      </c>
      <c r="F185" s="3548" t="s">
        <v>4614</v>
      </c>
      <c r="G185" s="3548" t="s">
        <v>3645</v>
      </c>
      <c r="H185" s="3548" t="s">
        <v>4615</v>
      </c>
      <c r="I185" s="3548" t="s">
        <v>4616</v>
      </c>
      <c r="J185" s="3548" t="s">
        <v>4617</v>
      </c>
      <c r="K185" s="3548" t="s">
        <v>4618</v>
      </c>
      <c r="L185" s="3548" t="s">
        <v>4619</v>
      </c>
    </row>
    <row r="186" spans="1:12" s="3545" customFormat="1" hidden="1">
      <c r="A186" s="3548" t="s">
        <v>4620</v>
      </c>
      <c r="B186" s="3548" t="s">
        <v>4458</v>
      </c>
      <c r="C186" s="3548" t="s">
        <v>4621</v>
      </c>
      <c r="D186" s="3548" t="s">
        <v>3632</v>
      </c>
      <c r="E186" s="3548" t="s">
        <v>3987</v>
      </c>
      <c r="F186" s="3548" t="s">
        <v>4622</v>
      </c>
      <c r="G186" s="3548" t="s">
        <v>4082</v>
      </c>
      <c r="H186" s="3548" t="s">
        <v>4623</v>
      </c>
      <c r="I186" s="3548" t="s">
        <v>4624</v>
      </c>
      <c r="J186" s="3548" t="s">
        <v>4625</v>
      </c>
      <c r="K186" s="3548" t="s">
        <v>3641</v>
      </c>
      <c r="L186" s="3548" t="s">
        <v>4626</v>
      </c>
    </row>
    <row r="187" spans="1:12" s="3545" customFormat="1" hidden="1">
      <c r="A187" s="3548" t="s">
        <v>4627</v>
      </c>
      <c r="B187" s="3548" t="s">
        <v>3994</v>
      </c>
      <c r="C187" s="3548" t="s">
        <v>3632</v>
      </c>
      <c r="D187" s="3548" t="s">
        <v>3632</v>
      </c>
      <c r="E187" s="3548" t="s">
        <v>3987</v>
      </c>
      <c r="F187" s="3548" t="s">
        <v>4628</v>
      </c>
      <c r="G187" s="3548" t="s">
        <v>3645</v>
      </c>
      <c r="H187" s="3548" t="s">
        <v>4629</v>
      </c>
      <c r="I187" s="3548" t="s">
        <v>4630</v>
      </c>
      <c r="J187" s="3548" t="s">
        <v>4631</v>
      </c>
      <c r="K187" s="3548" t="s">
        <v>3641</v>
      </c>
      <c r="L187" s="3548" t="s">
        <v>4632</v>
      </c>
    </row>
    <row r="188" spans="1:12" s="3545" customFormat="1" hidden="1">
      <c r="A188" s="3548" t="s">
        <v>4633</v>
      </c>
      <c r="B188" s="3548" t="s">
        <v>3830</v>
      </c>
      <c r="C188" s="3548" t="s">
        <v>3632</v>
      </c>
      <c r="D188" s="3548" t="s">
        <v>3632</v>
      </c>
      <c r="E188" s="3548" t="s">
        <v>3987</v>
      </c>
      <c r="F188" s="3548" t="s">
        <v>4634</v>
      </c>
      <c r="G188" s="3548" t="s">
        <v>4082</v>
      </c>
      <c r="H188" s="3548" t="s">
        <v>3632</v>
      </c>
      <c r="I188" s="3548" t="s">
        <v>3632</v>
      </c>
      <c r="J188" s="3548" t="s">
        <v>4635</v>
      </c>
      <c r="K188" s="3548" t="s">
        <v>4636</v>
      </c>
      <c r="L188" s="3548" t="s">
        <v>4637</v>
      </c>
    </row>
    <row r="189" spans="1:12" s="3545" customFormat="1" hidden="1">
      <c r="A189" s="3548" t="s">
        <v>4638</v>
      </c>
      <c r="B189" s="3548" t="s">
        <v>4213</v>
      </c>
      <c r="C189" s="3548" t="s">
        <v>3632</v>
      </c>
      <c r="D189" s="3548" t="s">
        <v>3632</v>
      </c>
      <c r="E189" s="3548" t="s">
        <v>3987</v>
      </c>
      <c r="F189" s="3548" t="s">
        <v>3959</v>
      </c>
      <c r="G189" s="3548" t="s">
        <v>4082</v>
      </c>
      <c r="H189" s="3548" t="s">
        <v>4639</v>
      </c>
      <c r="I189" s="3548" t="s">
        <v>4640</v>
      </c>
      <c r="J189" s="3548" t="s">
        <v>4641</v>
      </c>
      <c r="K189" s="3548" t="s">
        <v>3641</v>
      </c>
      <c r="L189" s="3548" t="s">
        <v>4642</v>
      </c>
    </row>
    <row r="190" spans="1:12" s="3545" customFormat="1" hidden="1">
      <c r="A190" s="3548" t="s">
        <v>4643</v>
      </c>
      <c r="B190" s="3548" t="s">
        <v>3625</v>
      </c>
      <c r="C190" s="3548" t="s">
        <v>3769</v>
      </c>
      <c r="D190" s="3548" t="s">
        <v>4644</v>
      </c>
      <c r="E190" s="3548" t="s">
        <v>3987</v>
      </c>
      <c r="F190" s="3548" t="s">
        <v>3959</v>
      </c>
      <c r="G190" s="3548" t="s">
        <v>3632</v>
      </c>
      <c r="H190" s="3548" t="s">
        <v>4645</v>
      </c>
      <c r="I190" s="3548" t="s">
        <v>3632</v>
      </c>
      <c r="J190" s="3548" t="s">
        <v>3632</v>
      </c>
      <c r="K190" s="3548" t="s">
        <v>4646</v>
      </c>
      <c r="L190" s="3548" t="s">
        <v>4647</v>
      </c>
    </row>
    <row r="191" spans="1:12" s="3545" customFormat="1" hidden="1">
      <c r="A191" s="3548" t="s">
        <v>4648</v>
      </c>
      <c r="B191" s="3548" t="s">
        <v>4649</v>
      </c>
      <c r="C191" s="3548" t="s">
        <v>4650</v>
      </c>
      <c r="D191" s="3548" t="s">
        <v>3632</v>
      </c>
      <c r="E191" s="3548" t="s">
        <v>3987</v>
      </c>
      <c r="F191" s="3548" t="s">
        <v>4651</v>
      </c>
      <c r="G191" s="3548" t="s">
        <v>3645</v>
      </c>
      <c r="H191" s="3548" t="s">
        <v>4652</v>
      </c>
      <c r="I191" s="3548" t="s">
        <v>4653</v>
      </c>
      <c r="J191" s="3548" t="s">
        <v>4654</v>
      </c>
      <c r="K191" s="3548" t="s">
        <v>4655</v>
      </c>
      <c r="L191" s="3548" t="s">
        <v>4656</v>
      </c>
    </row>
    <row r="192" spans="1:12" s="3545" customFormat="1" hidden="1">
      <c r="A192" s="3548" t="s">
        <v>4657</v>
      </c>
      <c r="B192" s="3548" t="s">
        <v>3830</v>
      </c>
      <c r="C192" s="3548" t="s">
        <v>4658</v>
      </c>
      <c r="D192" s="3548" t="s">
        <v>3632</v>
      </c>
      <c r="E192" s="3548" t="s">
        <v>3987</v>
      </c>
      <c r="F192" s="3548" t="s">
        <v>4659</v>
      </c>
      <c r="G192" s="3548" t="s">
        <v>4082</v>
      </c>
      <c r="H192" s="3548" t="s">
        <v>4660</v>
      </c>
      <c r="I192" s="3548" t="s">
        <v>4661</v>
      </c>
      <c r="J192" s="3548" t="s">
        <v>4662</v>
      </c>
      <c r="K192" s="3548" t="s">
        <v>4663</v>
      </c>
      <c r="L192" s="3548" t="s">
        <v>4664</v>
      </c>
    </row>
    <row r="193" spans="1:12" s="3545" customFormat="1" hidden="1">
      <c r="A193" s="3548" t="s">
        <v>4665</v>
      </c>
      <c r="B193" s="3548" t="s">
        <v>3751</v>
      </c>
      <c r="C193" s="3548" t="s">
        <v>4666</v>
      </c>
      <c r="D193" s="3548" t="s">
        <v>3632</v>
      </c>
      <c r="E193" s="3548" t="s">
        <v>3987</v>
      </c>
      <c r="F193" s="3548" t="s">
        <v>4667</v>
      </c>
      <c r="G193" s="3548" t="s">
        <v>4082</v>
      </c>
      <c r="H193" s="3548" t="s">
        <v>4668</v>
      </c>
      <c r="I193" s="3548" t="s">
        <v>4669</v>
      </c>
      <c r="J193" s="3548" t="s">
        <v>4670</v>
      </c>
      <c r="K193" s="3548" t="s">
        <v>3641</v>
      </c>
      <c r="L193" s="3548" t="s">
        <v>4671</v>
      </c>
    </row>
    <row r="194" spans="1:12" s="3545" customFormat="1" hidden="1">
      <c r="A194" s="3548" t="s">
        <v>4672</v>
      </c>
      <c r="B194" s="3548" t="s">
        <v>4673</v>
      </c>
      <c r="C194" s="3548" t="s">
        <v>4674</v>
      </c>
      <c r="D194" s="3548" t="s">
        <v>3632</v>
      </c>
      <c r="E194" s="3548" t="s">
        <v>3987</v>
      </c>
      <c r="F194" s="3548" t="s">
        <v>4675</v>
      </c>
      <c r="G194" s="3548" t="s">
        <v>4082</v>
      </c>
      <c r="H194" s="3548" t="s">
        <v>4676</v>
      </c>
      <c r="I194" s="3548" t="s">
        <v>4677</v>
      </c>
      <c r="J194" s="3548" t="s">
        <v>4678</v>
      </c>
      <c r="K194" s="3548" t="s">
        <v>3641</v>
      </c>
      <c r="L194" s="3548" t="s">
        <v>4679</v>
      </c>
    </row>
    <row r="195" spans="1:12" s="3545" customFormat="1" hidden="1">
      <c r="A195" s="3548" t="s">
        <v>4680</v>
      </c>
      <c r="B195" s="3548" t="s">
        <v>3625</v>
      </c>
      <c r="C195" s="3548" t="s">
        <v>4417</v>
      </c>
      <c r="D195" s="3548" t="s">
        <v>3632</v>
      </c>
      <c r="E195" s="3548" t="s">
        <v>3987</v>
      </c>
      <c r="F195" s="3548" t="s">
        <v>4681</v>
      </c>
      <c r="G195" s="3548" t="s">
        <v>3630</v>
      </c>
      <c r="H195" s="3548" t="s">
        <v>3632</v>
      </c>
      <c r="I195" s="3548" t="s">
        <v>3632</v>
      </c>
      <c r="J195" s="3548" t="s">
        <v>4682</v>
      </c>
      <c r="K195" s="3548" t="s">
        <v>4683</v>
      </c>
      <c r="L195" s="3548" t="s">
        <v>4684</v>
      </c>
    </row>
    <row r="196" spans="1:12" s="3545" customFormat="1" hidden="1">
      <c r="A196" s="3548" t="s">
        <v>4685</v>
      </c>
      <c r="B196" s="3548" t="s">
        <v>4686</v>
      </c>
      <c r="C196" s="3548" t="s">
        <v>3632</v>
      </c>
      <c r="D196" s="3548" t="s">
        <v>3632</v>
      </c>
      <c r="E196" s="3548" t="s">
        <v>3987</v>
      </c>
      <c r="F196" s="3548" t="s">
        <v>4067</v>
      </c>
      <c r="G196" s="3548" t="s">
        <v>3630</v>
      </c>
      <c r="H196" s="3548" t="s">
        <v>4687</v>
      </c>
      <c r="I196" s="3548" t="s">
        <v>3632</v>
      </c>
      <c r="J196" s="3548" t="s">
        <v>3632</v>
      </c>
      <c r="K196" s="3548" t="s">
        <v>4688</v>
      </c>
      <c r="L196" s="3548" t="s">
        <v>4689</v>
      </c>
    </row>
    <row r="197" spans="1:12" s="3545" customFormat="1" hidden="1">
      <c r="A197" s="3548" t="s">
        <v>4690</v>
      </c>
      <c r="B197" s="3548" t="s">
        <v>4047</v>
      </c>
      <c r="C197" s="3548" t="s">
        <v>3632</v>
      </c>
      <c r="D197" s="3548" t="s">
        <v>3632</v>
      </c>
      <c r="E197" s="3548" t="s">
        <v>3987</v>
      </c>
      <c r="F197" s="3548" t="s">
        <v>4691</v>
      </c>
      <c r="G197" s="3548" t="s">
        <v>3645</v>
      </c>
      <c r="H197" s="3548" t="s">
        <v>4692</v>
      </c>
      <c r="I197" s="3548" t="s">
        <v>4693</v>
      </c>
      <c r="J197" s="3548" t="s">
        <v>4694</v>
      </c>
      <c r="K197" s="3548" t="s">
        <v>4695</v>
      </c>
      <c r="L197" s="3548" t="s">
        <v>4696</v>
      </c>
    </row>
    <row r="198" spans="1:12" s="3545" customFormat="1" hidden="1">
      <c r="A198" s="3548" t="s">
        <v>4697</v>
      </c>
      <c r="B198" s="3548" t="s">
        <v>4458</v>
      </c>
      <c r="C198" s="3548" t="s">
        <v>4698</v>
      </c>
      <c r="D198" s="3548" t="s">
        <v>3632</v>
      </c>
      <c r="E198" s="3548" t="s">
        <v>3987</v>
      </c>
      <c r="F198" s="3548" t="s">
        <v>4699</v>
      </c>
      <c r="G198" s="3548" t="s">
        <v>4082</v>
      </c>
      <c r="H198" s="3548" t="s">
        <v>3632</v>
      </c>
      <c r="I198" s="3548" t="s">
        <v>3632</v>
      </c>
      <c r="J198" s="3548" t="s">
        <v>4700</v>
      </c>
      <c r="K198" s="3548" t="s">
        <v>3641</v>
      </c>
      <c r="L198" s="3548" t="s">
        <v>4701</v>
      </c>
    </row>
    <row r="199" spans="1:12" s="3545" customFormat="1" hidden="1">
      <c r="A199" s="3548" t="s">
        <v>4702</v>
      </c>
      <c r="B199" s="3548" t="s">
        <v>3625</v>
      </c>
      <c r="C199" s="3548" t="s">
        <v>3769</v>
      </c>
      <c r="D199" s="3548" t="s">
        <v>3632</v>
      </c>
      <c r="E199" s="3548" t="s">
        <v>3987</v>
      </c>
      <c r="F199" s="3548" t="s">
        <v>4703</v>
      </c>
      <c r="G199" s="3548" t="s">
        <v>3632</v>
      </c>
      <c r="H199" s="3548" t="s">
        <v>3632</v>
      </c>
      <c r="I199" s="3548" t="s">
        <v>3632</v>
      </c>
      <c r="J199" s="3548" t="s">
        <v>4704</v>
      </c>
      <c r="K199" s="3548" t="s">
        <v>3641</v>
      </c>
      <c r="L199" s="3548" t="s">
        <v>4705</v>
      </c>
    </row>
    <row r="200" spans="1:12" s="3545" customFormat="1" hidden="1">
      <c r="A200" s="3548" t="s">
        <v>4706</v>
      </c>
      <c r="B200" s="3548" t="s">
        <v>4213</v>
      </c>
      <c r="C200" s="3548" t="s">
        <v>3632</v>
      </c>
      <c r="D200" s="3548" t="s">
        <v>3632</v>
      </c>
      <c r="E200" s="3548" t="s">
        <v>3987</v>
      </c>
      <c r="F200" s="3548" t="s">
        <v>4707</v>
      </c>
      <c r="G200" s="3548" t="s">
        <v>3630</v>
      </c>
      <c r="H200" s="3548" t="s">
        <v>4708</v>
      </c>
      <c r="I200" s="3548" t="s">
        <v>4640</v>
      </c>
      <c r="J200" s="3548" t="s">
        <v>4709</v>
      </c>
      <c r="K200" s="3548" t="s">
        <v>3641</v>
      </c>
      <c r="L200" s="3548" t="s">
        <v>4642</v>
      </c>
    </row>
    <row r="201" spans="1:12" s="3545" customFormat="1" hidden="1">
      <c r="A201" s="3548" t="s">
        <v>4710</v>
      </c>
      <c r="B201" s="3548" t="s">
        <v>4711</v>
      </c>
      <c r="C201" s="3548" t="s">
        <v>4712</v>
      </c>
      <c r="D201" s="3548" t="s">
        <v>3632</v>
      </c>
      <c r="E201" s="3548" t="s">
        <v>3987</v>
      </c>
      <c r="F201" s="3548" t="s">
        <v>4713</v>
      </c>
      <c r="G201" s="3548" t="s">
        <v>3630</v>
      </c>
      <c r="H201" s="3548" t="s">
        <v>4714</v>
      </c>
      <c r="I201" s="3548" t="s">
        <v>4715</v>
      </c>
      <c r="J201" s="3548" t="s">
        <v>4716</v>
      </c>
      <c r="K201" s="3548" t="s">
        <v>4717</v>
      </c>
      <c r="L201" s="3548" t="s">
        <v>4718</v>
      </c>
    </row>
    <row r="202" spans="1:12" s="3545" customFormat="1" hidden="1">
      <c r="A202" s="3548" t="s">
        <v>4431</v>
      </c>
      <c r="B202" s="3548" t="s">
        <v>3636</v>
      </c>
      <c r="C202" s="3548" t="s">
        <v>4018</v>
      </c>
      <c r="D202" s="3548" t="s">
        <v>3632</v>
      </c>
      <c r="E202" s="3548" t="s">
        <v>3987</v>
      </c>
      <c r="F202" s="3548" t="s">
        <v>4432</v>
      </c>
      <c r="G202" s="3548" t="s">
        <v>3645</v>
      </c>
      <c r="H202" s="3548" t="s">
        <v>3640</v>
      </c>
      <c r="I202" s="3548" t="s">
        <v>4433</v>
      </c>
      <c r="J202" s="3548" t="s">
        <v>4434</v>
      </c>
      <c r="K202" s="3548" t="s">
        <v>3641</v>
      </c>
      <c r="L202" s="3548" t="s">
        <v>3836</v>
      </c>
    </row>
    <row r="203" spans="1:12" s="3545" customFormat="1" hidden="1">
      <c r="A203" s="3548" t="s">
        <v>4719</v>
      </c>
      <c r="B203" s="3548" t="s">
        <v>4720</v>
      </c>
      <c r="C203" s="3548" t="s">
        <v>3632</v>
      </c>
      <c r="D203" s="3548" t="s">
        <v>3632</v>
      </c>
      <c r="E203" s="3548" t="s">
        <v>3987</v>
      </c>
      <c r="F203" s="3548" t="s">
        <v>4296</v>
      </c>
      <c r="G203" s="3548" t="s">
        <v>3630</v>
      </c>
      <c r="H203" s="3548" t="s">
        <v>4721</v>
      </c>
      <c r="I203" s="3548" t="s">
        <v>4411</v>
      </c>
      <c r="J203" s="3548" t="s">
        <v>4722</v>
      </c>
      <c r="K203" s="3548" t="s">
        <v>4723</v>
      </c>
      <c r="L203" s="3548" t="s">
        <v>4724</v>
      </c>
    </row>
    <row r="204" spans="1:12" s="3545" customFormat="1" hidden="1">
      <c r="A204" s="3548" t="s">
        <v>4725</v>
      </c>
      <c r="B204" s="3548" t="s">
        <v>4264</v>
      </c>
      <c r="C204" s="3548" t="s">
        <v>4265</v>
      </c>
      <c r="D204" s="3548" t="s">
        <v>3632</v>
      </c>
      <c r="E204" s="3548" t="s">
        <v>3987</v>
      </c>
      <c r="F204" s="3548" t="s">
        <v>4157</v>
      </c>
      <c r="G204" s="3548" t="s">
        <v>3645</v>
      </c>
      <c r="H204" s="3548" t="s">
        <v>4726</v>
      </c>
      <c r="I204" s="3548" t="s">
        <v>4327</v>
      </c>
      <c r="J204" s="3548" t="s">
        <v>4727</v>
      </c>
      <c r="K204" s="3548" t="s">
        <v>4161</v>
      </c>
      <c r="L204" s="3548" t="s">
        <v>4162</v>
      </c>
    </row>
    <row r="205" spans="1:12" s="3545" customFormat="1" hidden="1">
      <c r="A205" s="3548" t="s">
        <v>4728</v>
      </c>
      <c r="B205" s="3548" t="s">
        <v>3636</v>
      </c>
      <c r="C205" s="3548" t="s">
        <v>4407</v>
      </c>
      <c r="D205" s="3548" t="s">
        <v>4408</v>
      </c>
      <c r="E205" s="3548" t="s">
        <v>3987</v>
      </c>
      <c r="F205" s="3548" t="s">
        <v>4729</v>
      </c>
      <c r="G205" s="3548" t="s">
        <v>3630</v>
      </c>
      <c r="H205" s="3548" t="s">
        <v>4730</v>
      </c>
      <c r="I205" s="3548" t="s">
        <v>4731</v>
      </c>
      <c r="J205" s="3548" t="s">
        <v>4732</v>
      </c>
      <c r="K205" s="3548" t="s">
        <v>4733</v>
      </c>
      <c r="L205" s="3548" t="s">
        <v>4734</v>
      </c>
    </row>
    <row r="206" spans="1:12" s="3545" customFormat="1" hidden="1">
      <c r="A206" s="3548" t="s">
        <v>4735</v>
      </c>
      <c r="B206" s="3548" t="s">
        <v>4104</v>
      </c>
      <c r="C206" s="3548" t="s">
        <v>4170</v>
      </c>
      <c r="D206" s="3548" t="s">
        <v>3632</v>
      </c>
      <c r="E206" s="3548" t="s">
        <v>3987</v>
      </c>
      <c r="F206" s="3548" t="s">
        <v>4736</v>
      </c>
      <c r="G206" s="3548" t="s">
        <v>4082</v>
      </c>
      <c r="H206" s="3548" t="s">
        <v>4737</v>
      </c>
      <c r="I206" s="3548" t="s">
        <v>4738</v>
      </c>
      <c r="J206" s="3548" t="s">
        <v>4739</v>
      </c>
      <c r="K206" s="3548" t="s">
        <v>4740</v>
      </c>
      <c r="L206" s="3548" t="s">
        <v>4741</v>
      </c>
    </row>
    <row r="207" spans="1:12" s="3545" customFormat="1" hidden="1">
      <c r="A207" s="3548" t="s">
        <v>4742</v>
      </c>
      <c r="B207" s="3548" t="s">
        <v>4458</v>
      </c>
      <c r="C207" s="3548" t="s">
        <v>3632</v>
      </c>
      <c r="D207" s="3548" t="s">
        <v>3632</v>
      </c>
      <c r="E207" s="3548" t="s">
        <v>3987</v>
      </c>
      <c r="F207" s="3548" t="s">
        <v>4743</v>
      </c>
      <c r="G207" s="3548" t="s">
        <v>4082</v>
      </c>
      <c r="H207" s="3548" t="s">
        <v>3632</v>
      </c>
      <c r="I207" s="3548" t="s">
        <v>3632</v>
      </c>
      <c r="J207" s="3548" t="s">
        <v>4744</v>
      </c>
      <c r="K207" s="3548" t="s">
        <v>4745</v>
      </c>
      <c r="L207" s="3548" t="s">
        <v>4746</v>
      </c>
    </row>
    <row r="208" spans="1:12" hidden="1">
      <c r="A208" s="3549" t="s">
        <v>4747</v>
      </c>
      <c r="B208" s="3549" t="s">
        <v>3709</v>
      </c>
      <c r="C208" s="3549" t="s">
        <v>4026</v>
      </c>
      <c r="D208" s="3549" t="s">
        <v>3632</v>
      </c>
      <c r="E208" s="3549" t="s">
        <v>3987</v>
      </c>
      <c r="F208" s="3549" t="s">
        <v>4748</v>
      </c>
      <c r="G208" s="3549" t="s">
        <v>3645</v>
      </c>
      <c r="H208" s="3549" t="s">
        <v>4749</v>
      </c>
      <c r="I208" s="3549" t="s">
        <v>4750</v>
      </c>
      <c r="J208" s="3549" t="s">
        <v>4751</v>
      </c>
      <c r="K208" s="3549" t="s">
        <v>4752</v>
      </c>
      <c r="L208" s="3549" t="s">
        <v>4753</v>
      </c>
    </row>
    <row r="209" spans="1:12" s="3545" customFormat="1" hidden="1">
      <c r="A209" s="3548" t="s">
        <v>4754</v>
      </c>
      <c r="B209" s="3548" t="s">
        <v>3636</v>
      </c>
      <c r="C209" s="3548" t="s">
        <v>4366</v>
      </c>
      <c r="D209" s="3548" t="s">
        <v>4755</v>
      </c>
      <c r="E209" s="3548" t="s">
        <v>3987</v>
      </c>
      <c r="F209" s="3548" t="s">
        <v>4756</v>
      </c>
      <c r="G209" s="3548" t="s">
        <v>3632</v>
      </c>
      <c r="H209" s="3548" t="s">
        <v>4757</v>
      </c>
      <c r="I209" s="3548" t="s">
        <v>4758</v>
      </c>
      <c r="J209" s="3548" t="s">
        <v>4759</v>
      </c>
      <c r="K209" s="3548" t="s">
        <v>4760</v>
      </c>
      <c r="L209" s="3548" t="s">
        <v>3836</v>
      </c>
    </row>
    <row r="210" spans="1:12" s="3545" customFormat="1" hidden="1">
      <c r="A210" s="3548" t="s">
        <v>4761</v>
      </c>
      <c r="B210" s="3548" t="s">
        <v>3676</v>
      </c>
      <c r="C210" s="3548" t="s">
        <v>4149</v>
      </c>
      <c r="D210" s="3548" t="s">
        <v>3632</v>
      </c>
      <c r="E210" s="3548" t="s">
        <v>3987</v>
      </c>
      <c r="F210" s="3548" t="s">
        <v>4266</v>
      </c>
      <c r="G210" s="3548" t="s">
        <v>3645</v>
      </c>
      <c r="H210" s="3548" t="s">
        <v>4762</v>
      </c>
      <c r="I210" s="3548" t="s">
        <v>4763</v>
      </c>
      <c r="J210" s="3548" t="s">
        <v>4764</v>
      </c>
      <c r="K210" s="3548" t="s">
        <v>4270</v>
      </c>
      <c r="L210" s="3548" t="s">
        <v>3689</v>
      </c>
    </row>
    <row r="211" spans="1:12" s="3545" customFormat="1" hidden="1">
      <c r="A211" s="3548" t="s">
        <v>4765</v>
      </c>
      <c r="B211" s="3548" t="s">
        <v>4766</v>
      </c>
      <c r="C211" s="3548" t="s">
        <v>3632</v>
      </c>
      <c r="D211" s="3548" t="s">
        <v>3632</v>
      </c>
      <c r="E211" s="3548" t="s">
        <v>3987</v>
      </c>
      <c r="F211" s="3548" t="s">
        <v>4767</v>
      </c>
      <c r="G211" s="3548" t="s">
        <v>3630</v>
      </c>
      <c r="H211" s="3548" t="s">
        <v>3632</v>
      </c>
      <c r="I211" s="3548" t="s">
        <v>3632</v>
      </c>
      <c r="J211" s="3548" t="s">
        <v>3632</v>
      </c>
      <c r="K211" s="3548" t="s">
        <v>4768</v>
      </c>
      <c r="L211" s="3548" t="s">
        <v>4769</v>
      </c>
    </row>
    <row r="212" spans="1:12" s="3545" customFormat="1" hidden="1">
      <c r="A212" s="3548" t="s">
        <v>4770</v>
      </c>
      <c r="B212" s="3548" t="s">
        <v>4397</v>
      </c>
      <c r="C212" s="3548" t="s">
        <v>4398</v>
      </c>
      <c r="D212" s="3548" t="s">
        <v>3632</v>
      </c>
      <c r="E212" s="3548" t="s">
        <v>3987</v>
      </c>
      <c r="F212" s="3548" t="s">
        <v>4097</v>
      </c>
      <c r="G212" s="3548" t="s">
        <v>3630</v>
      </c>
      <c r="H212" s="3548" t="s">
        <v>4771</v>
      </c>
      <c r="I212" s="3548" t="s">
        <v>4772</v>
      </c>
      <c r="J212" s="3548" t="s">
        <v>4773</v>
      </c>
      <c r="K212" s="3548" t="s">
        <v>4774</v>
      </c>
      <c r="L212" s="3548" t="s">
        <v>4775</v>
      </c>
    </row>
    <row r="213" spans="1:12" s="3545" customFormat="1" hidden="1">
      <c r="A213" s="3548" t="s">
        <v>4776</v>
      </c>
      <c r="B213" s="3548" t="s">
        <v>3636</v>
      </c>
      <c r="C213" s="3548" t="s">
        <v>4777</v>
      </c>
      <c r="D213" s="3548" t="s">
        <v>3658</v>
      </c>
      <c r="E213" s="3548" t="s">
        <v>3987</v>
      </c>
      <c r="F213" s="3548" t="s">
        <v>4778</v>
      </c>
      <c r="G213" s="3548" t="s">
        <v>3632</v>
      </c>
      <c r="H213" s="3548" t="s">
        <v>4779</v>
      </c>
      <c r="I213" s="3548" t="s">
        <v>4780</v>
      </c>
      <c r="J213" s="3548" t="s">
        <v>4781</v>
      </c>
      <c r="K213" s="3548" t="s">
        <v>4782</v>
      </c>
      <c r="L213" s="3548" t="s">
        <v>4783</v>
      </c>
    </row>
    <row r="214" spans="1:12" s="3545" customFormat="1" hidden="1">
      <c r="A214" s="3548" t="s">
        <v>4784</v>
      </c>
      <c r="B214" s="3548" t="s">
        <v>3830</v>
      </c>
      <c r="C214" s="3548" t="s">
        <v>3632</v>
      </c>
      <c r="D214" s="3548" t="s">
        <v>3632</v>
      </c>
      <c r="E214" s="3548" t="s">
        <v>3987</v>
      </c>
      <c r="F214" s="3548" t="s">
        <v>4785</v>
      </c>
      <c r="G214" s="3548" t="s">
        <v>3645</v>
      </c>
      <c r="H214" s="3548" t="s">
        <v>3632</v>
      </c>
      <c r="I214" s="3548" t="s">
        <v>3632</v>
      </c>
      <c r="J214" s="3548" t="s">
        <v>4786</v>
      </c>
      <c r="K214" s="3548" t="s">
        <v>4646</v>
      </c>
      <c r="L214" s="3548" t="s">
        <v>4787</v>
      </c>
    </row>
    <row r="215" spans="1:12" s="3545" customFormat="1" hidden="1">
      <c r="A215" s="3548" t="s">
        <v>4788</v>
      </c>
      <c r="B215" s="3548" t="s">
        <v>3625</v>
      </c>
      <c r="C215" s="3548" t="s">
        <v>3632</v>
      </c>
      <c r="D215" s="3548" t="s">
        <v>3632</v>
      </c>
      <c r="E215" s="3548" t="s">
        <v>3987</v>
      </c>
      <c r="F215" s="3548" t="s">
        <v>3959</v>
      </c>
      <c r="G215" s="3548" t="s">
        <v>3632</v>
      </c>
      <c r="H215" s="3548" t="s">
        <v>4789</v>
      </c>
      <c r="I215" s="3548" t="s">
        <v>3632</v>
      </c>
      <c r="J215" s="3548" t="s">
        <v>3632</v>
      </c>
      <c r="K215" s="3548" t="s">
        <v>4790</v>
      </c>
      <c r="L215" s="3548" t="s">
        <v>4791</v>
      </c>
    </row>
    <row r="216" spans="1:12" s="3545" customFormat="1" hidden="1">
      <c r="A216" s="3548" t="s">
        <v>4792</v>
      </c>
      <c r="B216" s="3548" t="s">
        <v>3830</v>
      </c>
      <c r="C216" s="3548" t="s">
        <v>4658</v>
      </c>
      <c r="D216" s="3548" t="s">
        <v>3632</v>
      </c>
      <c r="E216" s="3548" t="s">
        <v>3987</v>
      </c>
      <c r="F216" s="3548" t="s">
        <v>4793</v>
      </c>
      <c r="G216" s="3548" t="s">
        <v>3645</v>
      </c>
      <c r="H216" s="3548" t="s">
        <v>4794</v>
      </c>
      <c r="I216" s="3548" t="s">
        <v>4795</v>
      </c>
      <c r="J216" s="3548" t="s">
        <v>4796</v>
      </c>
      <c r="K216" s="3548" t="s">
        <v>4797</v>
      </c>
      <c r="L216" s="3548" t="s">
        <v>4798</v>
      </c>
    </row>
    <row r="217" spans="1:12" s="3545" customFormat="1" hidden="1">
      <c r="A217" s="3548" t="s">
        <v>4799</v>
      </c>
      <c r="B217" s="3548" t="s">
        <v>4800</v>
      </c>
      <c r="C217" s="3548" t="s">
        <v>4801</v>
      </c>
      <c r="D217" s="3548" t="s">
        <v>3632</v>
      </c>
      <c r="E217" s="3548" t="s">
        <v>3987</v>
      </c>
      <c r="F217" s="3548" t="s">
        <v>4802</v>
      </c>
      <c r="G217" s="3548" t="s">
        <v>3630</v>
      </c>
      <c r="H217" s="3548" t="s">
        <v>4803</v>
      </c>
      <c r="I217" s="3548" t="s">
        <v>4804</v>
      </c>
      <c r="J217" s="3548" t="s">
        <v>4805</v>
      </c>
      <c r="K217" s="3548" t="s">
        <v>4806</v>
      </c>
      <c r="L217" s="3548" t="s">
        <v>4807</v>
      </c>
    </row>
    <row r="218" spans="1:12" s="3545" customFormat="1" hidden="1">
      <c r="A218" s="3548" t="s">
        <v>4808</v>
      </c>
      <c r="B218" s="3548" t="s">
        <v>4131</v>
      </c>
      <c r="C218" s="3548" t="s">
        <v>4132</v>
      </c>
      <c r="D218" s="3548" t="s">
        <v>3632</v>
      </c>
      <c r="E218" s="3548" t="s">
        <v>3987</v>
      </c>
      <c r="F218" s="3548" t="s">
        <v>4809</v>
      </c>
      <c r="G218" s="3548" t="s">
        <v>4082</v>
      </c>
      <c r="H218" s="3548" t="s">
        <v>4810</v>
      </c>
      <c r="I218" s="3548" t="s">
        <v>4811</v>
      </c>
      <c r="J218" s="3548" t="s">
        <v>4812</v>
      </c>
      <c r="K218" s="3548" t="s">
        <v>4813</v>
      </c>
      <c r="L218" s="3548" t="s">
        <v>4814</v>
      </c>
    </row>
    <row r="219" spans="1:12" s="3545" customFormat="1" hidden="1">
      <c r="A219" s="3548" t="s">
        <v>4815</v>
      </c>
      <c r="B219" s="3548" t="s">
        <v>3625</v>
      </c>
      <c r="C219" s="3548" t="s">
        <v>3952</v>
      </c>
      <c r="D219" s="3548" t="s">
        <v>3632</v>
      </c>
      <c r="E219" s="3548" t="s">
        <v>3987</v>
      </c>
      <c r="F219" s="3548" t="s">
        <v>4816</v>
      </c>
      <c r="G219" s="3548" t="s">
        <v>3630</v>
      </c>
      <c r="H219" s="3548" t="s">
        <v>4817</v>
      </c>
      <c r="I219" s="3548" t="s">
        <v>4818</v>
      </c>
      <c r="J219" s="3548" t="s">
        <v>4819</v>
      </c>
      <c r="K219" s="3548" t="s">
        <v>4820</v>
      </c>
      <c r="L219" s="3548" t="s">
        <v>4821</v>
      </c>
    </row>
    <row r="220" spans="1:12" s="3545" customFormat="1" hidden="1">
      <c r="A220" s="3548" t="s">
        <v>4822</v>
      </c>
      <c r="B220" s="3548" t="s">
        <v>4612</v>
      </c>
      <c r="C220" s="3548" t="s">
        <v>4823</v>
      </c>
      <c r="D220" s="3548" t="s">
        <v>3632</v>
      </c>
      <c r="E220" s="3548" t="s">
        <v>3987</v>
      </c>
      <c r="F220" s="3548" t="s">
        <v>3865</v>
      </c>
      <c r="G220" s="3548" t="s">
        <v>3645</v>
      </c>
      <c r="H220" s="3548" t="s">
        <v>4824</v>
      </c>
      <c r="I220" s="3548" t="s">
        <v>4825</v>
      </c>
      <c r="J220" s="3548" t="s">
        <v>4826</v>
      </c>
      <c r="K220" s="3548" t="s">
        <v>4827</v>
      </c>
      <c r="L220" s="3548" t="s">
        <v>4828</v>
      </c>
    </row>
    <row r="221" spans="1:12" s="3545" customFormat="1" hidden="1">
      <c r="A221" s="3548" t="s">
        <v>4829</v>
      </c>
      <c r="B221" s="3548" t="s">
        <v>4830</v>
      </c>
      <c r="C221" s="3548" t="s">
        <v>4831</v>
      </c>
      <c r="D221" s="3548" t="s">
        <v>3632</v>
      </c>
      <c r="E221" s="3548" t="s">
        <v>3987</v>
      </c>
      <c r="F221" s="3548" t="s">
        <v>3746</v>
      </c>
      <c r="G221" s="3548" t="s">
        <v>3645</v>
      </c>
      <c r="H221" s="3548" t="s">
        <v>4832</v>
      </c>
      <c r="I221" s="3548" t="s">
        <v>4833</v>
      </c>
      <c r="J221" s="3548" t="s">
        <v>4834</v>
      </c>
      <c r="K221" s="3548" t="s">
        <v>4835</v>
      </c>
      <c r="L221" s="3548" t="s">
        <v>4836</v>
      </c>
    </row>
    <row r="222" spans="1:12" s="3545" customFormat="1" hidden="1">
      <c r="A222" s="3548" t="s">
        <v>4837</v>
      </c>
      <c r="B222" s="3548" t="s">
        <v>3625</v>
      </c>
      <c r="C222" s="3548" t="s">
        <v>4838</v>
      </c>
      <c r="D222" s="3548" t="s">
        <v>3632</v>
      </c>
      <c r="E222" s="3548" t="s">
        <v>3987</v>
      </c>
      <c r="F222" s="3548" t="s">
        <v>4005</v>
      </c>
      <c r="G222" s="3548" t="s">
        <v>3645</v>
      </c>
      <c r="H222" s="3548" t="s">
        <v>4839</v>
      </c>
      <c r="I222" s="3548" t="s">
        <v>4840</v>
      </c>
      <c r="J222" s="3548" t="s">
        <v>4841</v>
      </c>
      <c r="K222" s="3548" t="s">
        <v>4842</v>
      </c>
      <c r="L222" s="3548" t="s">
        <v>4843</v>
      </c>
    </row>
    <row r="223" spans="1:12" s="3545" customFormat="1" hidden="1">
      <c r="A223" s="3548" t="s">
        <v>4499</v>
      </c>
      <c r="B223" s="3548" t="s">
        <v>3636</v>
      </c>
      <c r="C223" s="3548" t="s">
        <v>4407</v>
      </c>
      <c r="D223" s="3548" t="s">
        <v>4500</v>
      </c>
      <c r="E223" s="3548" t="s">
        <v>3987</v>
      </c>
      <c r="F223" s="3548" t="s">
        <v>4501</v>
      </c>
      <c r="G223" s="3548" t="s">
        <v>3632</v>
      </c>
      <c r="H223" s="3548" t="s">
        <v>4502</v>
      </c>
      <c r="I223" s="3548" t="s">
        <v>4503</v>
      </c>
      <c r="J223" s="3548" t="s">
        <v>4504</v>
      </c>
      <c r="K223" s="3548" t="s">
        <v>3641</v>
      </c>
      <c r="L223" s="3548" t="s">
        <v>3836</v>
      </c>
    </row>
    <row r="224" spans="1:12" s="3545" customFormat="1" hidden="1">
      <c r="A224" s="3548" t="s">
        <v>4844</v>
      </c>
      <c r="B224" s="3548" t="s">
        <v>4140</v>
      </c>
      <c r="C224" s="3548" t="s">
        <v>4845</v>
      </c>
      <c r="D224" s="3548" t="s">
        <v>3632</v>
      </c>
      <c r="E224" s="3548" t="s">
        <v>3987</v>
      </c>
      <c r="F224" s="3548" t="s">
        <v>4622</v>
      </c>
      <c r="G224" s="3548" t="s">
        <v>3630</v>
      </c>
      <c r="H224" s="3548" t="s">
        <v>4846</v>
      </c>
      <c r="I224" s="3548" t="s">
        <v>4847</v>
      </c>
      <c r="J224" s="3548" t="s">
        <v>4848</v>
      </c>
      <c r="K224" s="3548" t="s">
        <v>4849</v>
      </c>
      <c r="L224" s="3548" t="s">
        <v>4850</v>
      </c>
    </row>
    <row r="225" spans="1:12" s="3545" customFormat="1" hidden="1">
      <c r="A225" s="3548" t="s">
        <v>4851</v>
      </c>
      <c r="B225" s="3548" t="s">
        <v>4538</v>
      </c>
      <c r="C225" s="3548" t="s">
        <v>4852</v>
      </c>
      <c r="D225" s="3548" t="s">
        <v>3632</v>
      </c>
      <c r="E225" s="3548" t="s">
        <v>3987</v>
      </c>
      <c r="F225" s="3548" t="s">
        <v>4853</v>
      </c>
      <c r="G225" s="3548" t="s">
        <v>3645</v>
      </c>
      <c r="H225" s="3548" t="s">
        <v>4571</v>
      </c>
      <c r="I225" s="3548" t="s">
        <v>4854</v>
      </c>
      <c r="J225" s="3548" t="s">
        <v>4855</v>
      </c>
      <c r="K225" s="3548" t="s">
        <v>4856</v>
      </c>
      <c r="L225" s="3548" t="s">
        <v>4423</v>
      </c>
    </row>
    <row r="226" spans="1:12" s="3545" customFormat="1" hidden="1">
      <c r="A226" s="3548" t="s">
        <v>4857</v>
      </c>
      <c r="B226" s="3548" t="s">
        <v>4858</v>
      </c>
      <c r="C226" s="3548" t="s">
        <v>4859</v>
      </c>
      <c r="D226" s="3548" t="s">
        <v>3632</v>
      </c>
      <c r="E226" s="3548" t="s">
        <v>3987</v>
      </c>
      <c r="F226" s="3548" t="s">
        <v>4860</v>
      </c>
      <c r="G226" s="3548" t="s">
        <v>3645</v>
      </c>
      <c r="H226" s="3548" t="s">
        <v>3632</v>
      </c>
      <c r="I226" s="3548" t="s">
        <v>3632</v>
      </c>
      <c r="J226" s="3548" t="s">
        <v>4861</v>
      </c>
      <c r="K226" s="3548" t="s">
        <v>4862</v>
      </c>
      <c r="L226" s="3548" t="s">
        <v>4863</v>
      </c>
    </row>
    <row r="227" spans="1:12" s="3545" customFormat="1" hidden="1">
      <c r="A227" s="3548" t="s">
        <v>4864</v>
      </c>
      <c r="B227" s="3548" t="s">
        <v>4865</v>
      </c>
      <c r="C227" s="3548" t="s">
        <v>4866</v>
      </c>
      <c r="D227" s="3548" t="s">
        <v>3632</v>
      </c>
      <c r="E227" s="3548" t="s">
        <v>3987</v>
      </c>
      <c r="F227" s="3548" t="s">
        <v>4867</v>
      </c>
      <c r="G227" s="3548" t="s">
        <v>3630</v>
      </c>
      <c r="H227" s="3548" t="s">
        <v>4868</v>
      </c>
      <c r="I227" s="3548" t="s">
        <v>4869</v>
      </c>
      <c r="J227" s="3548" t="s">
        <v>4870</v>
      </c>
      <c r="K227" s="3548" t="s">
        <v>3641</v>
      </c>
      <c r="L227" s="3548" t="s">
        <v>4871</v>
      </c>
    </row>
    <row r="228" spans="1:12" s="3545" customFormat="1" hidden="1">
      <c r="A228" s="3548" t="s">
        <v>4872</v>
      </c>
      <c r="B228" s="3548" t="s">
        <v>4766</v>
      </c>
      <c r="C228" s="3548" t="s">
        <v>3632</v>
      </c>
      <c r="D228" s="3548" t="s">
        <v>3632</v>
      </c>
      <c r="E228" s="3548" t="s">
        <v>3987</v>
      </c>
      <c r="F228" s="3548" t="s">
        <v>4873</v>
      </c>
      <c r="G228" s="3548" t="s">
        <v>3630</v>
      </c>
      <c r="H228" s="3548" t="s">
        <v>3632</v>
      </c>
      <c r="I228" s="3548" t="s">
        <v>3632</v>
      </c>
      <c r="J228" s="3548" t="s">
        <v>3632</v>
      </c>
      <c r="K228" s="3548" t="s">
        <v>4874</v>
      </c>
      <c r="L228" s="3548" t="s">
        <v>4875</v>
      </c>
    </row>
    <row r="229" spans="1:12" s="3545" customFormat="1" hidden="1">
      <c r="A229" s="3548" t="s">
        <v>4876</v>
      </c>
      <c r="B229" s="3548" t="s">
        <v>3636</v>
      </c>
      <c r="C229" s="3548" t="s">
        <v>4407</v>
      </c>
      <c r="D229" s="3548" t="s">
        <v>4408</v>
      </c>
      <c r="E229" s="3548" t="s">
        <v>3987</v>
      </c>
      <c r="F229" s="3548" t="s">
        <v>4877</v>
      </c>
      <c r="G229" s="3548" t="s">
        <v>3632</v>
      </c>
      <c r="H229" s="3548" t="s">
        <v>4878</v>
      </c>
      <c r="I229" s="3548" t="s">
        <v>3632</v>
      </c>
      <c r="J229" s="3548" t="s">
        <v>3632</v>
      </c>
      <c r="K229" s="3548" t="s">
        <v>4879</v>
      </c>
      <c r="L229" s="3548" t="s">
        <v>4880</v>
      </c>
    </row>
    <row r="230" spans="1:12" s="3545" customFormat="1">
      <c r="A230" s="3548" t="s">
        <v>4881</v>
      </c>
      <c r="B230" s="3548" t="s">
        <v>3699</v>
      </c>
      <c r="C230" s="3548" t="s">
        <v>3700</v>
      </c>
      <c r="D230" s="3548" t="s">
        <v>3632</v>
      </c>
      <c r="E230" s="3548" t="s">
        <v>3987</v>
      </c>
      <c r="F230" s="3548" t="s">
        <v>4882</v>
      </c>
      <c r="G230" s="3548" t="s">
        <v>3645</v>
      </c>
      <c r="H230" s="3548" t="s">
        <v>4883</v>
      </c>
      <c r="I230" s="3548" t="s">
        <v>4884</v>
      </c>
      <c r="J230" s="3548" t="s">
        <v>4885</v>
      </c>
      <c r="K230" s="3548" t="s">
        <v>4886</v>
      </c>
      <c r="L230" s="3548" t="s">
        <v>3836</v>
      </c>
    </row>
    <row r="231" spans="1:12" s="3545" customFormat="1" hidden="1">
      <c r="A231" s="3548" t="s">
        <v>4887</v>
      </c>
      <c r="B231" s="3548" t="s">
        <v>4649</v>
      </c>
      <c r="C231" s="3548" t="s">
        <v>4888</v>
      </c>
      <c r="D231" s="3548" t="s">
        <v>3632</v>
      </c>
      <c r="E231" s="3548" t="s">
        <v>3987</v>
      </c>
      <c r="F231" s="3548" t="s">
        <v>4889</v>
      </c>
      <c r="G231" s="3548" t="s">
        <v>3645</v>
      </c>
      <c r="H231" s="3548" t="s">
        <v>4890</v>
      </c>
      <c r="I231" s="3548" t="s">
        <v>4891</v>
      </c>
      <c r="J231" s="3548" t="s">
        <v>4892</v>
      </c>
      <c r="K231" s="3548" t="s">
        <v>3641</v>
      </c>
      <c r="L231" s="3548" t="s">
        <v>4893</v>
      </c>
    </row>
    <row r="232" spans="1:12" s="3545" customFormat="1" hidden="1">
      <c r="A232" s="3548" t="s">
        <v>4894</v>
      </c>
      <c r="B232" s="3548" t="s">
        <v>4397</v>
      </c>
      <c r="C232" s="3548" t="s">
        <v>4895</v>
      </c>
      <c r="D232" s="3548" t="s">
        <v>3632</v>
      </c>
      <c r="E232" s="3548" t="s">
        <v>3987</v>
      </c>
      <c r="F232" s="3548" t="s">
        <v>4896</v>
      </c>
      <c r="G232" s="3548" t="s">
        <v>3645</v>
      </c>
      <c r="H232" s="3548" t="s">
        <v>4897</v>
      </c>
      <c r="I232" s="3548" t="s">
        <v>4898</v>
      </c>
      <c r="J232" s="3548" t="s">
        <v>4899</v>
      </c>
      <c r="K232" s="3548" t="s">
        <v>4900</v>
      </c>
      <c r="L232" s="3548" t="s">
        <v>4901</v>
      </c>
    </row>
    <row r="233" spans="1:12" s="3545" customFormat="1" hidden="1">
      <c r="A233" s="3548" t="s">
        <v>4902</v>
      </c>
      <c r="B233" s="3548" t="s">
        <v>3986</v>
      </c>
      <c r="C233" s="3548" t="s">
        <v>3632</v>
      </c>
      <c r="D233" s="3548" t="s">
        <v>3632</v>
      </c>
      <c r="E233" s="3548" t="s">
        <v>3987</v>
      </c>
      <c r="F233" s="3548" t="s">
        <v>4451</v>
      </c>
      <c r="G233" s="3548" t="s">
        <v>3630</v>
      </c>
      <c r="H233" s="3548" t="s">
        <v>4903</v>
      </c>
      <c r="I233" s="3548" t="s">
        <v>4904</v>
      </c>
      <c r="J233" s="3548" t="s">
        <v>4905</v>
      </c>
      <c r="K233" s="3548" t="s">
        <v>4455</v>
      </c>
      <c r="L233" s="3548" t="s">
        <v>4456</v>
      </c>
    </row>
    <row r="234" spans="1:12" s="3545" customFormat="1" hidden="1">
      <c r="A234" s="3548" t="s">
        <v>4906</v>
      </c>
      <c r="B234" s="3548" t="s">
        <v>3718</v>
      </c>
      <c r="C234" s="3548" t="s">
        <v>4907</v>
      </c>
      <c r="D234" s="3548" t="s">
        <v>3632</v>
      </c>
      <c r="E234" s="3548" t="s">
        <v>3987</v>
      </c>
      <c r="F234" s="3548" t="s">
        <v>4506</v>
      </c>
      <c r="G234" s="3548" t="s">
        <v>3630</v>
      </c>
      <c r="H234" s="3548" t="s">
        <v>3632</v>
      </c>
      <c r="I234" s="3548" t="s">
        <v>3632</v>
      </c>
      <c r="J234" s="3548" t="s">
        <v>4908</v>
      </c>
      <c r="K234" s="3548" t="s">
        <v>4508</v>
      </c>
      <c r="L234" s="3548" t="s">
        <v>4509</v>
      </c>
    </row>
    <row r="235" spans="1:12" s="3545" customFormat="1" hidden="1">
      <c r="A235" s="3548" t="s">
        <v>4909</v>
      </c>
      <c r="B235" s="3548" t="s">
        <v>4910</v>
      </c>
      <c r="C235" s="3548" t="s">
        <v>4911</v>
      </c>
      <c r="D235" s="3548" t="s">
        <v>3632</v>
      </c>
      <c r="E235" s="3548" t="s">
        <v>3987</v>
      </c>
      <c r="F235" s="3548" t="s">
        <v>4266</v>
      </c>
      <c r="G235" s="3548" t="s">
        <v>3645</v>
      </c>
      <c r="H235" s="3548" t="s">
        <v>4912</v>
      </c>
      <c r="I235" s="3548" t="s">
        <v>4913</v>
      </c>
      <c r="J235" s="3548" t="s">
        <v>4914</v>
      </c>
      <c r="K235" s="3548" t="s">
        <v>4161</v>
      </c>
      <c r="L235" s="3548" t="s">
        <v>4271</v>
      </c>
    </row>
    <row r="236" spans="1:12" s="3545" customFormat="1" hidden="1">
      <c r="A236" s="3548" t="s">
        <v>4915</v>
      </c>
      <c r="B236" s="3548" t="s">
        <v>4458</v>
      </c>
      <c r="C236" s="3548" t="s">
        <v>4916</v>
      </c>
      <c r="D236" s="3548" t="s">
        <v>3632</v>
      </c>
      <c r="E236" s="3548" t="s">
        <v>3987</v>
      </c>
      <c r="F236" s="3548" t="s">
        <v>4097</v>
      </c>
      <c r="G236" s="3548" t="s">
        <v>3630</v>
      </c>
      <c r="H236" s="3548" t="s">
        <v>4917</v>
      </c>
      <c r="I236" s="3548" t="s">
        <v>4918</v>
      </c>
      <c r="J236" s="3548" t="s">
        <v>4919</v>
      </c>
      <c r="K236" s="3548" t="s">
        <v>3641</v>
      </c>
      <c r="L236" s="3548" t="s">
        <v>4920</v>
      </c>
    </row>
    <row r="237" spans="1:12" s="3545" customFormat="1" hidden="1">
      <c r="A237" s="3548" t="s">
        <v>4921</v>
      </c>
      <c r="B237" s="3548" t="s">
        <v>3625</v>
      </c>
      <c r="C237" s="3548" t="s">
        <v>3769</v>
      </c>
      <c r="D237" s="3548" t="s">
        <v>4922</v>
      </c>
      <c r="E237" s="3548" t="s">
        <v>3987</v>
      </c>
      <c r="F237" s="3548" t="s">
        <v>3685</v>
      </c>
      <c r="G237" s="3548" t="s">
        <v>3645</v>
      </c>
      <c r="H237" s="3548" t="s">
        <v>3632</v>
      </c>
      <c r="I237" s="3548" t="s">
        <v>3632</v>
      </c>
      <c r="J237" s="3548" t="s">
        <v>4786</v>
      </c>
      <c r="K237" s="3548" t="s">
        <v>4923</v>
      </c>
      <c r="L237" s="3548" t="s">
        <v>4924</v>
      </c>
    </row>
    <row r="238" spans="1:12" s="3545" customFormat="1" hidden="1">
      <c r="A238" s="3548" t="s">
        <v>4554</v>
      </c>
      <c r="B238" s="3548" t="s">
        <v>4555</v>
      </c>
      <c r="C238" s="3548" t="s">
        <v>4556</v>
      </c>
      <c r="D238" s="3548" t="s">
        <v>3632</v>
      </c>
      <c r="E238" s="3548" t="s">
        <v>3987</v>
      </c>
      <c r="F238" s="3548" t="s">
        <v>4557</v>
      </c>
      <c r="G238" s="3548" t="s">
        <v>3645</v>
      </c>
      <c r="H238" s="3548" t="s">
        <v>4558</v>
      </c>
      <c r="I238" s="3548" t="s">
        <v>4559</v>
      </c>
      <c r="J238" s="3548" t="s">
        <v>4560</v>
      </c>
      <c r="K238" s="3548" t="s">
        <v>3641</v>
      </c>
      <c r="L238" s="3548" t="s">
        <v>3836</v>
      </c>
    </row>
    <row r="239" spans="1:12" s="3545" customFormat="1" hidden="1">
      <c r="A239" s="3548" t="s">
        <v>4925</v>
      </c>
      <c r="B239" s="3548" t="s">
        <v>3625</v>
      </c>
      <c r="C239" s="3548" t="s">
        <v>4425</v>
      </c>
      <c r="D239" s="3548" t="s">
        <v>3632</v>
      </c>
      <c r="E239" s="3548" t="s">
        <v>3987</v>
      </c>
      <c r="F239" s="3548" t="s">
        <v>4506</v>
      </c>
      <c r="G239" s="3548" t="s">
        <v>3632</v>
      </c>
      <c r="H239" s="3548" t="s">
        <v>3632</v>
      </c>
      <c r="I239" s="3548" t="s">
        <v>3632</v>
      </c>
      <c r="J239" s="3548" t="s">
        <v>4926</v>
      </c>
      <c r="K239" s="3548" t="s">
        <v>4508</v>
      </c>
      <c r="L239" s="3548" t="s">
        <v>4509</v>
      </c>
    </row>
    <row r="240" spans="1:12" s="3545" customFormat="1" hidden="1">
      <c r="A240" s="3548" t="s">
        <v>4927</v>
      </c>
      <c r="B240" s="3548" t="s">
        <v>3830</v>
      </c>
      <c r="C240" s="3548" t="s">
        <v>3632</v>
      </c>
      <c r="D240" s="3548" t="s">
        <v>3632</v>
      </c>
      <c r="E240" s="3548" t="s">
        <v>3987</v>
      </c>
      <c r="F240" s="3548" t="s">
        <v>4517</v>
      </c>
      <c r="G240" s="3548" t="s">
        <v>3645</v>
      </c>
      <c r="H240" s="3548" t="s">
        <v>3632</v>
      </c>
      <c r="I240" s="3548" t="s">
        <v>3632</v>
      </c>
      <c r="J240" s="3548" t="s">
        <v>4928</v>
      </c>
      <c r="K240" s="3548" t="s">
        <v>4519</v>
      </c>
      <c r="L240" s="3548" t="s">
        <v>4520</v>
      </c>
    </row>
    <row r="241" spans="1:12" s="3545" customFormat="1" hidden="1">
      <c r="A241" s="3548" t="s">
        <v>4929</v>
      </c>
      <c r="B241" s="3548" t="s">
        <v>4686</v>
      </c>
      <c r="C241" s="3548" t="s">
        <v>4930</v>
      </c>
      <c r="D241" s="3548" t="s">
        <v>3632</v>
      </c>
      <c r="E241" s="3548" t="s">
        <v>3987</v>
      </c>
      <c r="F241" s="3548" t="s">
        <v>3959</v>
      </c>
      <c r="G241" s="3548" t="s">
        <v>3630</v>
      </c>
      <c r="H241" s="3548" t="s">
        <v>4931</v>
      </c>
      <c r="I241" s="3548" t="s">
        <v>4932</v>
      </c>
      <c r="J241" s="3548" t="s">
        <v>4933</v>
      </c>
      <c r="K241" s="3548" t="s">
        <v>4934</v>
      </c>
      <c r="L241" s="3548" t="s">
        <v>4935</v>
      </c>
    </row>
    <row r="242" spans="1:12" s="3545" customFormat="1" hidden="1">
      <c r="A242" s="3548" t="s">
        <v>4936</v>
      </c>
      <c r="B242" s="3548" t="s">
        <v>4264</v>
      </c>
      <c r="C242" s="3548" t="s">
        <v>4265</v>
      </c>
      <c r="D242" s="3548" t="s">
        <v>3632</v>
      </c>
      <c r="E242" s="3548" t="s">
        <v>3987</v>
      </c>
      <c r="F242" s="3548" t="s">
        <v>4937</v>
      </c>
      <c r="G242" s="3548" t="s">
        <v>4082</v>
      </c>
      <c r="H242" s="3548" t="s">
        <v>4938</v>
      </c>
      <c r="I242" s="3548" t="s">
        <v>4939</v>
      </c>
      <c r="J242" s="3548" t="s">
        <v>4940</v>
      </c>
      <c r="K242" s="3548" t="s">
        <v>3641</v>
      </c>
      <c r="L242" s="3548" t="s">
        <v>4941</v>
      </c>
    </row>
    <row r="243" spans="1:12" s="3545" customFormat="1" hidden="1">
      <c r="A243" s="3548" t="s">
        <v>4374</v>
      </c>
      <c r="B243" s="3548" t="s">
        <v>4213</v>
      </c>
      <c r="C243" s="3548" t="s">
        <v>3632</v>
      </c>
      <c r="D243" s="3548" t="s">
        <v>3632</v>
      </c>
      <c r="E243" s="3548" t="s">
        <v>3987</v>
      </c>
      <c r="F243" s="3548" t="s">
        <v>4157</v>
      </c>
      <c r="G243" s="3548" t="s">
        <v>3645</v>
      </c>
      <c r="H243" s="3548" t="s">
        <v>4375</v>
      </c>
      <c r="I243" s="3548" t="s">
        <v>4376</v>
      </c>
      <c r="J243" s="3548" t="s">
        <v>4377</v>
      </c>
      <c r="K243" s="3548" t="s">
        <v>4161</v>
      </c>
      <c r="L243" s="3548" t="s">
        <v>4162</v>
      </c>
    </row>
    <row r="244" spans="1:12" s="3545" customFormat="1" hidden="1">
      <c r="A244" s="3548" t="s">
        <v>4378</v>
      </c>
      <c r="B244" s="3548" t="s">
        <v>3830</v>
      </c>
      <c r="C244" s="3548" t="s">
        <v>4117</v>
      </c>
      <c r="D244" s="3548" t="s">
        <v>3632</v>
      </c>
      <c r="E244" s="3548" t="s">
        <v>3987</v>
      </c>
      <c r="F244" s="3548" t="s">
        <v>4379</v>
      </c>
      <c r="G244" s="3548" t="s">
        <v>3645</v>
      </c>
      <c r="H244" s="3548" t="s">
        <v>4380</v>
      </c>
      <c r="I244" s="3548" t="s">
        <v>4381</v>
      </c>
      <c r="J244" s="3548" t="s">
        <v>4382</v>
      </c>
      <c r="K244" s="3548" t="s">
        <v>4383</v>
      </c>
      <c r="L244" s="3548" t="s">
        <v>4384</v>
      </c>
    </row>
    <row r="245" spans="1:12" s="3545" customFormat="1" hidden="1">
      <c r="A245" s="3548" t="s">
        <v>4942</v>
      </c>
      <c r="B245" s="3548" t="s">
        <v>4089</v>
      </c>
      <c r="C245" s="3548" t="s">
        <v>3632</v>
      </c>
      <c r="D245" s="3548" t="s">
        <v>3632</v>
      </c>
      <c r="E245" s="3548" t="s">
        <v>3987</v>
      </c>
      <c r="F245" s="3548" t="s">
        <v>4289</v>
      </c>
      <c r="G245" s="3548" t="s">
        <v>3645</v>
      </c>
      <c r="H245" s="3548" t="s">
        <v>4943</v>
      </c>
      <c r="I245" s="3548" t="s">
        <v>4944</v>
      </c>
      <c r="J245" s="3548" t="s">
        <v>4945</v>
      </c>
      <c r="K245" s="3548" t="s">
        <v>3641</v>
      </c>
      <c r="L245" s="3548" t="s">
        <v>4946</v>
      </c>
    </row>
    <row r="246" spans="1:12" s="3545" customFormat="1" hidden="1">
      <c r="A246" s="3548" t="s">
        <v>4521</v>
      </c>
      <c r="B246" s="3548" t="s">
        <v>4522</v>
      </c>
      <c r="C246" s="3548" t="s">
        <v>4523</v>
      </c>
      <c r="D246" s="3548" t="s">
        <v>4523</v>
      </c>
      <c r="E246" s="3548" t="s">
        <v>3987</v>
      </c>
      <c r="F246" s="3548" t="s">
        <v>4524</v>
      </c>
      <c r="G246" s="3548" t="s">
        <v>3630</v>
      </c>
      <c r="H246" s="3548" t="s">
        <v>4525</v>
      </c>
      <c r="I246" s="3548" t="s">
        <v>4526</v>
      </c>
      <c r="J246" s="3548" t="s">
        <v>4527</v>
      </c>
      <c r="K246" s="3548" t="s">
        <v>4528</v>
      </c>
      <c r="L246" s="3548" t="s">
        <v>4529</v>
      </c>
    </row>
    <row r="247" spans="1:12" s="3545" customFormat="1" hidden="1">
      <c r="A247" s="3548" t="s">
        <v>4947</v>
      </c>
      <c r="B247" s="3548" t="s">
        <v>3986</v>
      </c>
      <c r="C247" s="3548" t="s">
        <v>3632</v>
      </c>
      <c r="D247" s="3548" t="s">
        <v>3632</v>
      </c>
      <c r="E247" s="3548" t="s">
        <v>3987</v>
      </c>
      <c r="F247" s="3548" t="s">
        <v>4067</v>
      </c>
      <c r="G247" s="3548" t="s">
        <v>3630</v>
      </c>
      <c r="H247" s="3548" t="s">
        <v>4948</v>
      </c>
      <c r="I247" s="3548" t="s">
        <v>3632</v>
      </c>
      <c r="J247" s="3548" t="s">
        <v>3632</v>
      </c>
      <c r="K247" s="3548" t="s">
        <v>4949</v>
      </c>
      <c r="L247" s="3548" t="s">
        <v>4689</v>
      </c>
    </row>
    <row r="248" spans="1:12" s="3545" customFormat="1" hidden="1">
      <c r="A248" s="3548" t="s">
        <v>4950</v>
      </c>
      <c r="B248" s="3548" t="s">
        <v>4951</v>
      </c>
      <c r="C248" s="3548" t="s">
        <v>4952</v>
      </c>
      <c r="D248" s="3548" t="s">
        <v>3632</v>
      </c>
      <c r="E248" s="3548" t="s">
        <v>3987</v>
      </c>
      <c r="F248" s="3548" t="s">
        <v>4953</v>
      </c>
      <c r="G248" s="3548" t="s">
        <v>3645</v>
      </c>
      <c r="H248" s="3548" t="s">
        <v>4954</v>
      </c>
      <c r="I248" s="3548" t="s">
        <v>4955</v>
      </c>
      <c r="J248" s="3548" t="s">
        <v>4956</v>
      </c>
      <c r="K248" s="3548" t="s">
        <v>4957</v>
      </c>
      <c r="L248" s="3548" t="s">
        <v>4958</v>
      </c>
    </row>
    <row r="249" spans="1:12" s="3545" customFormat="1" hidden="1">
      <c r="A249" s="3548" t="s">
        <v>4959</v>
      </c>
      <c r="B249" s="3548" t="s">
        <v>4140</v>
      </c>
      <c r="C249" s="3548" t="s">
        <v>4960</v>
      </c>
      <c r="D249" s="3548" t="s">
        <v>3632</v>
      </c>
      <c r="E249" s="3548" t="s">
        <v>3987</v>
      </c>
      <c r="F249" s="3548" t="s">
        <v>4961</v>
      </c>
      <c r="G249" s="3548" t="s">
        <v>3630</v>
      </c>
      <c r="H249" s="3548" t="s">
        <v>4962</v>
      </c>
      <c r="I249" s="3548" t="s">
        <v>3632</v>
      </c>
      <c r="J249" s="3548" t="s">
        <v>3632</v>
      </c>
      <c r="K249" s="3548" t="s">
        <v>3641</v>
      </c>
      <c r="L249" s="3548" t="s">
        <v>4963</v>
      </c>
    </row>
    <row r="250" spans="1:12" s="3545" customFormat="1" hidden="1">
      <c r="A250" s="3548" t="s">
        <v>4964</v>
      </c>
      <c r="B250" s="3548" t="s">
        <v>3751</v>
      </c>
      <c r="C250" s="3548" t="s">
        <v>3752</v>
      </c>
      <c r="D250" s="3548" t="s">
        <v>3632</v>
      </c>
      <c r="E250" s="3548" t="s">
        <v>3987</v>
      </c>
      <c r="F250" s="3548" t="s">
        <v>4965</v>
      </c>
      <c r="G250" s="3548" t="s">
        <v>4082</v>
      </c>
      <c r="H250" s="3548" t="s">
        <v>4966</v>
      </c>
      <c r="I250" s="3548" t="s">
        <v>4967</v>
      </c>
      <c r="J250" s="3548" t="s">
        <v>4968</v>
      </c>
      <c r="K250" s="3548" t="s">
        <v>4969</v>
      </c>
      <c r="L250" s="3548" t="s">
        <v>4970</v>
      </c>
    </row>
    <row r="251" spans="1:12" s="3545" customFormat="1" hidden="1">
      <c r="A251" s="3548" t="s">
        <v>4402</v>
      </c>
      <c r="B251" s="3548" t="s">
        <v>4403</v>
      </c>
      <c r="C251" s="3548" t="s">
        <v>3632</v>
      </c>
      <c r="D251" s="3548" t="s">
        <v>3632</v>
      </c>
      <c r="E251" s="3548" t="s">
        <v>3987</v>
      </c>
      <c r="F251" s="3548" t="s">
        <v>4404</v>
      </c>
      <c r="G251" s="3548" t="s">
        <v>3630</v>
      </c>
      <c r="H251" s="3548" t="s">
        <v>3632</v>
      </c>
      <c r="I251" s="3548" t="s">
        <v>3632</v>
      </c>
      <c r="J251" s="3548" t="s">
        <v>3632</v>
      </c>
      <c r="K251" s="3548" t="s">
        <v>3641</v>
      </c>
      <c r="L251" s="3548" t="s">
        <v>4405</v>
      </c>
    </row>
    <row r="252" spans="1:12" s="3545" customFormat="1" hidden="1">
      <c r="A252" s="3548" t="s">
        <v>4079</v>
      </c>
      <c r="B252" s="3548" t="s">
        <v>3728</v>
      </c>
      <c r="C252" s="3548" t="s">
        <v>4080</v>
      </c>
      <c r="D252" s="3548" t="s">
        <v>3632</v>
      </c>
      <c r="E252" s="3548" t="s">
        <v>3987</v>
      </c>
      <c r="F252" s="3548" t="s">
        <v>4081</v>
      </c>
      <c r="G252" s="3548" t="s">
        <v>4082</v>
      </c>
      <c r="H252" s="3548" t="s">
        <v>4083</v>
      </c>
      <c r="I252" s="3548" t="s">
        <v>4084</v>
      </c>
      <c r="J252" s="3548" t="s">
        <v>4085</v>
      </c>
      <c r="K252" s="3548" t="s">
        <v>4086</v>
      </c>
      <c r="L252" s="3548" t="s">
        <v>4087</v>
      </c>
    </row>
    <row r="253" spans="1:12" s="3545" customFormat="1" hidden="1">
      <c r="A253" s="3548" t="s">
        <v>4971</v>
      </c>
      <c r="B253" s="3548" t="s">
        <v>3718</v>
      </c>
      <c r="C253" s="3548" t="s">
        <v>4972</v>
      </c>
      <c r="D253" s="3548" t="s">
        <v>3632</v>
      </c>
      <c r="E253" s="3548" t="s">
        <v>3987</v>
      </c>
      <c r="F253" s="3548" t="s">
        <v>4973</v>
      </c>
      <c r="G253" s="3548" t="s">
        <v>3630</v>
      </c>
      <c r="H253" s="3548" t="s">
        <v>4318</v>
      </c>
      <c r="I253" s="3548" t="s">
        <v>4693</v>
      </c>
      <c r="J253" s="3548" t="s">
        <v>4974</v>
      </c>
      <c r="K253" s="3548" t="s">
        <v>4975</v>
      </c>
      <c r="L253" s="3548" t="s">
        <v>4976</v>
      </c>
    </row>
    <row r="254" spans="1:12" s="3545" customFormat="1" hidden="1">
      <c r="A254" s="3548" t="s">
        <v>4977</v>
      </c>
      <c r="B254" s="3548" t="s">
        <v>3994</v>
      </c>
      <c r="C254" s="3548" t="s">
        <v>3632</v>
      </c>
      <c r="D254" s="3548" t="s">
        <v>3632</v>
      </c>
      <c r="E254" s="3548" t="s">
        <v>3987</v>
      </c>
      <c r="F254" s="3548" t="s">
        <v>4978</v>
      </c>
      <c r="G254" s="3548" t="s">
        <v>3630</v>
      </c>
      <c r="H254" s="3548" t="s">
        <v>4979</v>
      </c>
      <c r="I254" s="3548" t="s">
        <v>4980</v>
      </c>
      <c r="J254" s="3548" t="s">
        <v>4981</v>
      </c>
      <c r="K254" s="3548" t="s">
        <v>4982</v>
      </c>
      <c r="L254" s="3548" t="s">
        <v>4983</v>
      </c>
    </row>
    <row r="255" spans="1:12" s="3545" customFormat="1" hidden="1">
      <c r="A255" s="3548" t="s">
        <v>4984</v>
      </c>
      <c r="B255" s="3548" t="s">
        <v>4985</v>
      </c>
      <c r="C255" s="3548" t="s">
        <v>3632</v>
      </c>
      <c r="D255" s="3548" t="s">
        <v>3632</v>
      </c>
      <c r="E255" s="3548" t="s">
        <v>3987</v>
      </c>
      <c r="F255" s="3548" t="s">
        <v>4578</v>
      </c>
      <c r="G255" s="3548" t="s">
        <v>3630</v>
      </c>
      <c r="H255" s="3548" t="s">
        <v>4986</v>
      </c>
      <c r="I255" s="3548" t="s">
        <v>4987</v>
      </c>
      <c r="J255" s="3548" t="s">
        <v>4988</v>
      </c>
      <c r="K255" s="3548" t="s">
        <v>4989</v>
      </c>
      <c r="L255" s="3548" t="s">
        <v>4990</v>
      </c>
    </row>
    <row r="256" spans="1:12" s="3545" customFormat="1" hidden="1">
      <c r="A256" s="3548" t="s">
        <v>3985</v>
      </c>
      <c r="B256" s="3548" t="s">
        <v>3986</v>
      </c>
      <c r="C256" s="3548" t="s">
        <v>3632</v>
      </c>
      <c r="D256" s="3548" t="s">
        <v>3632</v>
      </c>
      <c r="E256" s="3548" t="s">
        <v>3987</v>
      </c>
      <c r="F256" s="3548" t="s">
        <v>3988</v>
      </c>
      <c r="G256" s="3548" t="s">
        <v>3645</v>
      </c>
      <c r="H256" s="3548" t="s">
        <v>3989</v>
      </c>
      <c r="I256" s="3548" t="s">
        <v>3990</v>
      </c>
      <c r="J256" s="3548" t="s">
        <v>3991</v>
      </c>
      <c r="K256" s="3548" t="s">
        <v>3641</v>
      </c>
      <c r="L256" s="3548" t="s">
        <v>3992</v>
      </c>
    </row>
    <row r="257" spans="1:12" s="3545" customFormat="1" hidden="1">
      <c r="A257" s="3548" t="s">
        <v>4991</v>
      </c>
      <c r="B257" s="3548" t="s">
        <v>3986</v>
      </c>
      <c r="C257" s="3548" t="s">
        <v>3632</v>
      </c>
      <c r="D257" s="3548" t="s">
        <v>3632</v>
      </c>
      <c r="E257" s="3548" t="s">
        <v>3987</v>
      </c>
      <c r="F257" s="3548" t="s">
        <v>4451</v>
      </c>
      <c r="G257" s="3548" t="s">
        <v>3630</v>
      </c>
      <c r="H257" s="3548" t="s">
        <v>4992</v>
      </c>
      <c r="I257" s="3548" t="s">
        <v>4904</v>
      </c>
      <c r="J257" s="3548" t="s">
        <v>4254</v>
      </c>
      <c r="K257" s="3548" t="s">
        <v>4455</v>
      </c>
      <c r="L257" s="3548" t="s">
        <v>4456</v>
      </c>
    </row>
    <row r="258" spans="1:12" s="3545" customFormat="1" hidden="1">
      <c r="A258" s="3548" t="s">
        <v>4003</v>
      </c>
      <c r="B258" s="3548" t="s">
        <v>3718</v>
      </c>
      <c r="C258" s="3548" t="s">
        <v>4004</v>
      </c>
      <c r="D258" s="3548" t="s">
        <v>3632</v>
      </c>
      <c r="E258" s="3548" t="s">
        <v>3987</v>
      </c>
      <c r="F258" s="3548" t="s">
        <v>4005</v>
      </c>
      <c r="G258" s="3548" t="s">
        <v>3645</v>
      </c>
      <c r="H258" s="3548" t="s">
        <v>3632</v>
      </c>
      <c r="I258" s="3548" t="s">
        <v>3632</v>
      </c>
      <c r="J258" s="3548" t="s">
        <v>4006</v>
      </c>
      <c r="K258" s="3548" t="s">
        <v>4007</v>
      </c>
      <c r="L258" s="3548" t="s">
        <v>4008</v>
      </c>
    </row>
    <row r="259" spans="1:12" s="3545" customFormat="1" hidden="1">
      <c r="A259" s="3548" t="s">
        <v>4009</v>
      </c>
      <c r="B259" s="3548" t="s">
        <v>3651</v>
      </c>
      <c r="C259" s="3548" t="s">
        <v>4010</v>
      </c>
      <c r="D259" s="3548" t="s">
        <v>3632</v>
      </c>
      <c r="E259" s="3548" t="s">
        <v>3987</v>
      </c>
      <c r="F259" s="3548" t="s">
        <v>4011</v>
      </c>
      <c r="G259" s="3548" t="s">
        <v>3645</v>
      </c>
      <c r="H259" s="3548" t="s">
        <v>4012</v>
      </c>
      <c r="I259" s="3548" t="s">
        <v>4013</v>
      </c>
      <c r="J259" s="3548" t="s">
        <v>4014</v>
      </c>
      <c r="K259" s="3548" t="s">
        <v>4015</v>
      </c>
      <c r="L259" s="3548" t="s">
        <v>4016</v>
      </c>
    </row>
    <row r="260" spans="1:12" s="3545" customFormat="1" hidden="1">
      <c r="A260" s="3548" t="s">
        <v>4017</v>
      </c>
      <c r="B260" s="3548" t="s">
        <v>3636</v>
      </c>
      <c r="C260" s="3548" t="s">
        <v>4018</v>
      </c>
      <c r="D260" s="3548" t="s">
        <v>3632</v>
      </c>
      <c r="E260" s="3548" t="s">
        <v>3987</v>
      </c>
      <c r="F260" s="3548" t="s">
        <v>4019</v>
      </c>
      <c r="G260" s="3548" t="s">
        <v>3645</v>
      </c>
      <c r="H260" s="3548" t="s">
        <v>4020</v>
      </c>
      <c r="I260" s="3548" t="s">
        <v>4021</v>
      </c>
      <c r="J260" s="3548" t="s">
        <v>4022</v>
      </c>
      <c r="K260" s="3548" t="s">
        <v>4023</v>
      </c>
      <c r="L260" s="3548" t="s">
        <v>4024</v>
      </c>
    </row>
    <row r="261" spans="1:12" s="3545" customFormat="1" hidden="1">
      <c r="A261" s="3548" t="s">
        <v>4385</v>
      </c>
      <c r="B261" s="3548" t="s">
        <v>4131</v>
      </c>
      <c r="C261" s="3548" t="s">
        <v>4288</v>
      </c>
      <c r="D261" s="3548" t="s">
        <v>3632</v>
      </c>
      <c r="E261" s="3548" t="s">
        <v>3987</v>
      </c>
      <c r="F261" s="3548" t="s">
        <v>4386</v>
      </c>
      <c r="G261" s="3548" t="s">
        <v>4082</v>
      </c>
      <c r="H261" s="3548" t="s">
        <v>4387</v>
      </c>
      <c r="I261" s="3548" t="s">
        <v>4388</v>
      </c>
      <c r="J261" s="3548" t="s">
        <v>4389</v>
      </c>
      <c r="K261" s="3548" t="s">
        <v>3725</v>
      </c>
      <c r="L261" s="3548" t="s">
        <v>4390</v>
      </c>
    </row>
    <row r="262" spans="1:12" s="3545" customFormat="1" hidden="1">
      <c r="A262" s="3548" t="s">
        <v>4391</v>
      </c>
      <c r="B262" s="3548" t="s">
        <v>3994</v>
      </c>
      <c r="C262" s="3548" t="s">
        <v>3632</v>
      </c>
      <c r="D262" s="3548" t="s">
        <v>3632</v>
      </c>
      <c r="E262" s="3548" t="s">
        <v>3987</v>
      </c>
      <c r="F262" s="3548" t="s">
        <v>3770</v>
      </c>
      <c r="G262" s="3548" t="s">
        <v>3645</v>
      </c>
      <c r="H262" s="3548" t="s">
        <v>4392</v>
      </c>
      <c r="I262" s="3548" t="s">
        <v>4393</v>
      </c>
      <c r="J262" s="3548" t="s">
        <v>4394</v>
      </c>
      <c r="K262" s="3548" t="s">
        <v>4395</v>
      </c>
      <c r="L262" s="3548" t="s">
        <v>3836</v>
      </c>
    </row>
    <row r="263" spans="1:12" s="3545" customFormat="1">
      <c r="A263" s="3548" t="s">
        <v>4032</v>
      </c>
      <c r="B263" s="3548" t="s">
        <v>3699</v>
      </c>
      <c r="C263" s="3548" t="s">
        <v>3700</v>
      </c>
      <c r="D263" s="3548" t="s">
        <v>4033</v>
      </c>
      <c r="E263" s="3548" t="s">
        <v>3987</v>
      </c>
      <c r="F263" s="3548" t="s">
        <v>4034</v>
      </c>
      <c r="G263" s="3548" t="s">
        <v>3632</v>
      </c>
      <c r="H263" s="3548" t="s">
        <v>4035</v>
      </c>
      <c r="I263" s="3548" t="s">
        <v>4036</v>
      </c>
      <c r="J263" s="3548" t="s">
        <v>4037</v>
      </c>
      <c r="K263" s="3548" t="s">
        <v>3641</v>
      </c>
      <c r="L263" s="3548" t="s">
        <v>4038</v>
      </c>
    </row>
    <row r="264" spans="1:12" s="3545" customFormat="1" hidden="1">
      <c r="A264" s="3548" t="s">
        <v>4155</v>
      </c>
      <c r="B264" s="3548" t="s">
        <v>3728</v>
      </c>
      <c r="C264" s="3548" t="s">
        <v>4156</v>
      </c>
      <c r="D264" s="3548" t="s">
        <v>3632</v>
      </c>
      <c r="E264" s="3548" t="s">
        <v>3987</v>
      </c>
      <c r="F264" s="3548" t="s">
        <v>4157</v>
      </c>
      <c r="G264" s="3548" t="s">
        <v>3645</v>
      </c>
      <c r="H264" s="3548" t="s">
        <v>4158</v>
      </c>
      <c r="I264" s="3548" t="s">
        <v>4159</v>
      </c>
      <c r="J264" s="3548" t="s">
        <v>4160</v>
      </c>
      <c r="K264" s="3548" t="s">
        <v>4161</v>
      </c>
      <c r="L264" s="3548" t="s">
        <v>4162</v>
      </c>
    </row>
    <row r="265" spans="1:12" hidden="1">
      <c r="A265" s="3549" t="s">
        <v>4111</v>
      </c>
      <c r="B265" s="3549" t="s">
        <v>3709</v>
      </c>
      <c r="C265" s="3549" t="s">
        <v>4112</v>
      </c>
      <c r="D265" s="3549" t="s">
        <v>3632</v>
      </c>
      <c r="E265" s="3549" t="s">
        <v>3987</v>
      </c>
      <c r="F265" s="3549" t="s">
        <v>3639</v>
      </c>
      <c r="G265" s="3549" t="s">
        <v>3632</v>
      </c>
      <c r="H265" s="3549" t="s">
        <v>4113</v>
      </c>
      <c r="I265" s="3549" t="s">
        <v>3632</v>
      </c>
      <c r="J265" s="3549" t="s">
        <v>3632</v>
      </c>
      <c r="K265" s="3549" t="s">
        <v>4114</v>
      </c>
      <c r="L265" s="3549" t="s">
        <v>4115</v>
      </c>
    </row>
    <row r="266" spans="1:12" hidden="1">
      <c r="A266" s="3549" t="s">
        <v>4025</v>
      </c>
      <c r="B266" s="3549" t="s">
        <v>3709</v>
      </c>
      <c r="C266" s="3549" t="s">
        <v>4026</v>
      </c>
      <c r="D266" s="3549" t="s">
        <v>3632</v>
      </c>
      <c r="E266" s="3549" t="s">
        <v>3987</v>
      </c>
      <c r="F266" s="3549" t="s">
        <v>4027</v>
      </c>
      <c r="G266" s="3549" t="s">
        <v>3630</v>
      </c>
      <c r="H266" s="3549" t="s">
        <v>4028</v>
      </c>
      <c r="I266" s="3549" t="s">
        <v>3632</v>
      </c>
      <c r="J266" s="3549" t="s">
        <v>4029</v>
      </c>
      <c r="K266" s="3549" t="s">
        <v>4030</v>
      </c>
      <c r="L266" s="3549" t="s">
        <v>4031</v>
      </c>
    </row>
    <row r="267" spans="1:12" s="3545" customFormat="1" hidden="1">
      <c r="A267" s="3548" t="s">
        <v>4046</v>
      </c>
      <c r="B267" s="3548" t="s">
        <v>4047</v>
      </c>
      <c r="C267" s="3548" t="s">
        <v>3632</v>
      </c>
      <c r="D267" s="3548" t="s">
        <v>3632</v>
      </c>
      <c r="E267" s="3548" t="s">
        <v>3987</v>
      </c>
      <c r="F267" s="3548" t="s">
        <v>4048</v>
      </c>
      <c r="G267" s="3548" t="s">
        <v>3645</v>
      </c>
      <c r="H267" s="3548" t="s">
        <v>3632</v>
      </c>
      <c r="I267" s="3548" t="s">
        <v>3632</v>
      </c>
      <c r="J267" s="3548" t="s">
        <v>4049</v>
      </c>
      <c r="K267" s="3548" t="s">
        <v>4050</v>
      </c>
      <c r="L267" s="3548" t="s">
        <v>3836</v>
      </c>
    </row>
    <row r="268" spans="1:12" hidden="1">
      <c r="A268" s="3549" t="s">
        <v>4066</v>
      </c>
      <c r="B268" s="3549" t="s">
        <v>3709</v>
      </c>
      <c r="C268" s="3549" t="s">
        <v>3632</v>
      </c>
      <c r="D268" s="3549" t="s">
        <v>3632</v>
      </c>
      <c r="E268" s="3549" t="s">
        <v>3987</v>
      </c>
      <c r="F268" s="3549" t="s">
        <v>4067</v>
      </c>
      <c r="G268" s="3549" t="s">
        <v>3630</v>
      </c>
      <c r="H268" s="3549" t="s">
        <v>4000</v>
      </c>
      <c r="I268" s="3549" t="s">
        <v>3632</v>
      </c>
      <c r="J268" s="3549" t="s">
        <v>3632</v>
      </c>
      <c r="K268" s="3549" t="s">
        <v>4068</v>
      </c>
      <c r="L268" s="3549" t="s">
        <v>4069</v>
      </c>
    </row>
    <row r="269" spans="1:12" s="3545" customFormat="1" hidden="1">
      <c r="A269" s="3548" t="s">
        <v>4070</v>
      </c>
      <c r="B269" s="3548" t="s">
        <v>4071</v>
      </c>
      <c r="C269" s="3548" t="s">
        <v>4072</v>
      </c>
      <c r="D269" s="3548" t="s">
        <v>3632</v>
      </c>
      <c r="E269" s="3548" t="s">
        <v>3987</v>
      </c>
      <c r="F269" s="3548" t="s">
        <v>4073</v>
      </c>
      <c r="G269" s="3548" t="s">
        <v>3645</v>
      </c>
      <c r="H269" s="3548" t="s">
        <v>4074</v>
      </c>
      <c r="I269" s="3548" t="s">
        <v>4075</v>
      </c>
      <c r="J269" s="3548" t="s">
        <v>4076</v>
      </c>
      <c r="K269" s="3548" t="s">
        <v>4077</v>
      </c>
      <c r="L269" s="3548" t="s">
        <v>4078</v>
      </c>
    </row>
    <row r="270" spans="1:12" s="3545" customFormat="1" hidden="1">
      <c r="A270" s="3548" t="s">
        <v>4088</v>
      </c>
      <c r="B270" s="3548" t="s">
        <v>4089</v>
      </c>
      <c r="C270" s="3548" t="s">
        <v>4090</v>
      </c>
      <c r="D270" s="3548" t="s">
        <v>3632</v>
      </c>
      <c r="E270" s="3548" t="s">
        <v>3987</v>
      </c>
      <c r="F270" s="3548" t="s">
        <v>4027</v>
      </c>
      <c r="G270" s="3548" t="s">
        <v>4082</v>
      </c>
      <c r="H270" s="3548" t="s">
        <v>4091</v>
      </c>
      <c r="I270" s="3548" t="s">
        <v>4092</v>
      </c>
      <c r="J270" s="3548" t="s">
        <v>4093</v>
      </c>
      <c r="K270" s="3548" t="s">
        <v>3641</v>
      </c>
      <c r="L270" s="3548" t="s">
        <v>4094</v>
      </c>
    </row>
    <row r="271" spans="1:12" s="3545" customFormat="1" hidden="1">
      <c r="A271" s="3548" t="s">
        <v>4095</v>
      </c>
      <c r="B271" s="3548" t="s">
        <v>3830</v>
      </c>
      <c r="C271" s="3548" t="s">
        <v>4096</v>
      </c>
      <c r="D271" s="3548" t="s">
        <v>3632</v>
      </c>
      <c r="E271" s="3548" t="s">
        <v>3987</v>
      </c>
      <c r="F271" s="3548" t="s">
        <v>4097</v>
      </c>
      <c r="G271" s="3548" t="s">
        <v>3630</v>
      </c>
      <c r="H271" s="3548" t="s">
        <v>4098</v>
      </c>
      <c r="I271" s="3548" t="s">
        <v>4099</v>
      </c>
      <c r="J271" s="3548" t="s">
        <v>4100</v>
      </c>
      <c r="K271" s="3548" t="s">
        <v>4101</v>
      </c>
      <c r="L271" s="3548" t="s">
        <v>4102</v>
      </c>
    </row>
    <row r="272" spans="1:12" s="3545" customFormat="1" hidden="1">
      <c r="A272" s="3548" t="s">
        <v>4116</v>
      </c>
      <c r="B272" s="3548" t="s">
        <v>3830</v>
      </c>
      <c r="C272" s="3548" t="s">
        <v>4117</v>
      </c>
      <c r="D272" s="3548" t="s">
        <v>3632</v>
      </c>
      <c r="E272" s="3548" t="s">
        <v>3987</v>
      </c>
      <c r="F272" s="3548" t="s">
        <v>4118</v>
      </c>
      <c r="G272" s="3548" t="s">
        <v>3645</v>
      </c>
      <c r="H272" s="3548" t="s">
        <v>4119</v>
      </c>
      <c r="I272" s="3548" t="s">
        <v>4120</v>
      </c>
      <c r="J272" s="3548" t="s">
        <v>4121</v>
      </c>
      <c r="K272" s="3548" t="s">
        <v>3641</v>
      </c>
      <c r="L272" s="3548" t="s">
        <v>4122</v>
      </c>
    </row>
    <row r="273" spans="1:12" s="3545" customFormat="1" hidden="1">
      <c r="A273" s="3548" t="s">
        <v>4123</v>
      </c>
      <c r="B273" s="3548" t="s">
        <v>3625</v>
      </c>
      <c r="C273" s="3548" t="s">
        <v>3769</v>
      </c>
      <c r="D273" s="3548" t="s">
        <v>4124</v>
      </c>
      <c r="E273" s="3548" t="s">
        <v>3987</v>
      </c>
      <c r="F273" s="3548" t="s">
        <v>3685</v>
      </c>
      <c r="G273" s="3548" t="s">
        <v>3645</v>
      </c>
      <c r="H273" s="3548" t="s">
        <v>4125</v>
      </c>
      <c r="I273" s="3548" t="s">
        <v>4126</v>
      </c>
      <c r="J273" s="3548" t="s">
        <v>4127</v>
      </c>
      <c r="K273" s="3548" t="s">
        <v>4128</v>
      </c>
      <c r="L273" s="3548" t="s">
        <v>4129</v>
      </c>
    </row>
    <row r="274" spans="1:12" s="3545" customFormat="1" hidden="1">
      <c r="A274" s="3548" t="s">
        <v>4993</v>
      </c>
      <c r="B274" s="3548" t="s">
        <v>3728</v>
      </c>
      <c r="C274" s="3548" t="s">
        <v>4994</v>
      </c>
      <c r="D274" s="3548" t="s">
        <v>3632</v>
      </c>
      <c r="E274" s="3548" t="s">
        <v>3987</v>
      </c>
      <c r="F274" s="3548" t="s">
        <v>4995</v>
      </c>
      <c r="G274" s="3548" t="s">
        <v>4082</v>
      </c>
      <c r="H274" s="3548" t="s">
        <v>4996</v>
      </c>
      <c r="I274" s="3548" t="s">
        <v>4997</v>
      </c>
      <c r="J274" s="3548" t="s">
        <v>4998</v>
      </c>
      <c r="K274" s="3548" t="s">
        <v>4999</v>
      </c>
      <c r="L274" s="3548" t="s">
        <v>5000</v>
      </c>
    </row>
    <row r="275" spans="1:12" s="3545" customFormat="1" hidden="1">
      <c r="A275" s="3548" t="s">
        <v>3993</v>
      </c>
      <c r="B275" s="3548" t="s">
        <v>3994</v>
      </c>
      <c r="C275" s="3548" t="s">
        <v>3632</v>
      </c>
      <c r="D275" s="3548" t="s">
        <v>3632</v>
      </c>
      <c r="E275" s="3548" t="s">
        <v>3987</v>
      </c>
      <c r="F275" s="3548" t="s">
        <v>3959</v>
      </c>
      <c r="G275" s="3548" t="s">
        <v>3630</v>
      </c>
      <c r="H275" s="3548" t="s">
        <v>3995</v>
      </c>
      <c r="I275" s="3548" t="s">
        <v>3996</v>
      </c>
      <c r="J275" s="3548" t="s">
        <v>3997</v>
      </c>
      <c r="K275" s="3548" t="s">
        <v>3641</v>
      </c>
      <c r="L275" s="3548" t="s">
        <v>3998</v>
      </c>
    </row>
    <row r="276" spans="1:12" s="3545" customFormat="1" hidden="1">
      <c r="A276" s="3548" t="s">
        <v>3999</v>
      </c>
      <c r="B276" s="3548" t="s">
        <v>3625</v>
      </c>
      <c r="C276" s="3548" t="s">
        <v>3838</v>
      </c>
      <c r="D276" s="3548" t="s">
        <v>3632</v>
      </c>
      <c r="E276" s="3548" t="s">
        <v>3987</v>
      </c>
      <c r="F276" s="3548" t="s">
        <v>3959</v>
      </c>
      <c r="G276" s="3548" t="s">
        <v>3632</v>
      </c>
      <c r="H276" s="3548" t="s">
        <v>4000</v>
      </c>
      <c r="I276" s="3548" t="s">
        <v>3632</v>
      </c>
      <c r="J276" s="3548" t="s">
        <v>3632</v>
      </c>
      <c r="K276" s="3548" t="s">
        <v>4001</v>
      </c>
      <c r="L276" s="3548" t="s">
        <v>4002</v>
      </c>
    </row>
    <row r="277" spans="1:12" s="3545" customFormat="1" hidden="1">
      <c r="A277" s="3548" t="s">
        <v>5001</v>
      </c>
      <c r="B277" s="3548" t="s">
        <v>4910</v>
      </c>
      <c r="C277" s="3548" t="s">
        <v>5002</v>
      </c>
      <c r="D277" s="3548" t="s">
        <v>3632</v>
      </c>
      <c r="E277" s="3548" t="s">
        <v>5003</v>
      </c>
      <c r="F277" s="3548" t="s">
        <v>5004</v>
      </c>
      <c r="G277" s="3548" t="s">
        <v>3632</v>
      </c>
      <c r="H277" s="3548" t="s">
        <v>3632</v>
      </c>
      <c r="I277" s="3548" t="s">
        <v>3632</v>
      </c>
      <c r="J277" s="3548" t="s">
        <v>5005</v>
      </c>
      <c r="K277" s="3548" t="s">
        <v>5006</v>
      </c>
      <c r="L277" s="3548" t="s">
        <v>5007</v>
      </c>
    </row>
    <row r="278" spans="1:12" s="3545" customFormat="1" hidden="1">
      <c r="A278" s="3548" t="s">
        <v>5008</v>
      </c>
      <c r="B278" s="3548" t="s">
        <v>3718</v>
      </c>
      <c r="C278" s="3548" t="s">
        <v>3719</v>
      </c>
      <c r="D278" s="3548" t="s">
        <v>3632</v>
      </c>
      <c r="E278" s="3548" t="s">
        <v>5003</v>
      </c>
      <c r="F278" s="3548" t="s">
        <v>5009</v>
      </c>
      <c r="G278" s="3548" t="s">
        <v>3630</v>
      </c>
      <c r="H278" s="3548" t="s">
        <v>5010</v>
      </c>
      <c r="I278" s="3548" t="s">
        <v>5011</v>
      </c>
      <c r="J278" s="3548" t="s">
        <v>5012</v>
      </c>
      <c r="K278" s="3548" t="s">
        <v>5013</v>
      </c>
      <c r="L278" s="3548" t="s">
        <v>5014</v>
      </c>
    </row>
    <row r="279" spans="1:12" s="3545" customFormat="1" hidden="1">
      <c r="A279" s="3548" t="s">
        <v>5015</v>
      </c>
      <c r="B279" s="3548" t="s">
        <v>3636</v>
      </c>
      <c r="C279" s="3548" t="s">
        <v>4366</v>
      </c>
      <c r="D279" s="3548" t="s">
        <v>3632</v>
      </c>
      <c r="E279" s="3548" t="s">
        <v>5003</v>
      </c>
      <c r="F279" s="3548" t="s">
        <v>5016</v>
      </c>
      <c r="G279" s="3548" t="s">
        <v>3632</v>
      </c>
      <c r="H279" s="3548" t="s">
        <v>5017</v>
      </c>
      <c r="I279" s="3548" t="s">
        <v>5018</v>
      </c>
      <c r="J279" s="3548" t="s">
        <v>5019</v>
      </c>
      <c r="K279" s="3548" t="s">
        <v>5020</v>
      </c>
      <c r="L279" s="3548" t="s">
        <v>3836</v>
      </c>
    </row>
    <row r="280" spans="1:12" s="3545" customFormat="1" hidden="1">
      <c r="A280" s="3548" t="s">
        <v>5021</v>
      </c>
      <c r="B280" s="3548" t="s">
        <v>3728</v>
      </c>
      <c r="C280" s="3548" t="s">
        <v>3943</v>
      </c>
      <c r="D280" s="3548" t="s">
        <v>5022</v>
      </c>
      <c r="E280" s="3548" t="s">
        <v>5003</v>
      </c>
      <c r="F280" s="3548" t="s">
        <v>5023</v>
      </c>
      <c r="G280" s="3548" t="s">
        <v>3630</v>
      </c>
      <c r="H280" s="3548" t="s">
        <v>3632</v>
      </c>
      <c r="I280" s="3548" t="s">
        <v>3632</v>
      </c>
      <c r="J280" s="3548" t="s">
        <v>4434</v>
      </c>
      <c r="K280" s="3548" t="s">
        <v>5024</v>
      </c>
      <c r="L280" s="3548" t="s">
        <v>5025</v>
      </c>
    </row>
    <row r="281" spans="1:12" s="3545" customFormat="1" hidden="1">
      <c r="A281" s="3548" t="s">
        <v>5026</v>
      </c>
      <c r="B281" s="3548" t="s">
        <v>3994</v>
      </c>
      <c r="C281" s="3548" t="s">
        <v>3632</v>
      </c>
      <c r="D281" s="3548" t="s">
        <v>3632</v>
      </c>
      <c r="E281" s="3548" t="s">
        <v>5003</v>
      </c>
      <c r="F281" s="3548" t="s">
        <v>5027</v>
      </c>
      <c r="G281" s="3548" t="s">
        <v>3645</v>
      </c>
      <c r="H281" s="3548" t="s">
        <v>5028</v>
      </c>
      <c r="I281" s="3548" t="s">
        <v>5029</v>
      </c>
      <c r="J281" s="3548" t="s">
        <v>5030</v>
      </c>
      <c r="K281" s="3548" t="s">
        <v>5031</v>
      </c>
      <c r="L281" s="3548" t="s">
        <v>5032</v>
      </c>
    </row>
    <row r="282" spans="1:12" s="3545" customFormat="1" hidden="1">
      <c r="A282" s="3548" t="s">
        <v>5033</v>
      </c>
      <c r="B282" s="3548" t="s">
        <v>3718</v>
      </c>
      <c r="C282" s="3548" t="s">
        <v>5034</v>
      </c>
      <c r="D282" s="3548" t="s">
        <v>5034</v>
      </c>
      <c r="E282" s="3548" t="s">
        <v>5003</v>
      </c>
      <c r="F282" s="3548" t="s">
        <v>5035</v>
      </c>
      <c r="G282" s="3548" t="s">
        <v>3645</v>
      </c>
      <c r="H282" s="3548" t="s">
        <v>5036</v>
      </c>
      <c r="I282" s="3548" t="s">
        <v>3632</v>
      </c>
      <c r="J282" s="3548" t="s">
        <v>3632</v>
      </c>
      <c r="K282" s="3548" t="s">
        <v>5037</v>
      </c>
      <c r="L282" s="3548" t="s">
        <v>5038</v>
      </c>
    </row>
    <row r="283" spans="1:12" s="3551" customFormat="1">
      <c r="A283" s="3550" t="s">
        <v>5039</v>
      </c>
      <c r="B283" s="3550" t="s">
        <v>3699</v>
      </c>
      <c r="C283" s="3550" t="s">
        <v>5040</v>
      </c>
      <c r="D283" s="3550" t="s">
        <v>3632</v>
      </c>
      <c r="E283" s="3550" t="s">
        <v>5003</v>
      </c>
      <c r="F283" s="3550" t="s">
        <v>4973</v>
      </c>
      <c r="G283" s="3550" t="s">
        <v>3632</v>
      </c>
      <c r="H283" s="3550" t="s">
        <v>5041</v>
      </c>
      <c r="I283" s="3550" t="s">
        <v>5042</v>
      </c>
      <c r="J283" s="3550" t="s">
        <v>5043</v>
      </c>
      <c r="K283" s="3550" t="s">
        <v>5044</v>
      </c>
      <c r="L283" s="3550" t="s">
        <v>5045</v>
      </c>
    </row>
    <row r="284" spans="1:12" s="3545" customFormat="1" hidden="1">
      <c r="A284" s="3548" t="s">
        <v>5046</v>
      </c>
      <c r="B284" s="3548" t="s">
        <v>4131</v>
      </c>
      <c r="C284" s="3548" t="s">
        <v>5047</v>
      </c>
      <c r="D284" s="3548" t="s">
        <v>3632</v>
      </c>
      <c r="E284" s="3548" t="s">
        <v>5003</v>
      </c>
      <c r="F284" s="3548" t="s">
        <v>4600</v>
      </c>
      <c r="G284" s="3548" t="s">
        <v>4082</v>
      </c>
      <c r="H284" s="3548" t="s">
        <v>5048</v>
      </c>
      <c r="I284" s="3548" t="s">
        <v>5049</v>
      </c>
      <c r="J284" s="3548" t="s">
        <v>5050</v>
      </c>
      <c r="K284" s="3548" t="s">
        <v>3641</v>
      </c>
      <c r="L284" s="3548" t="s">
        <v>5051</v>
      </c>
    </row>
    <row r="285" spans="1:12" s="3545" customFormat="1" hidden="1">
      <c r="A285" s="3548" t="s">
        <v>5052</v>
      </c>
      <c r="B285" s="3548" t="s">
        <v>4324</v>
      </c>
      <c r="C285" s="3548" t="s">
        <v>5053</v>
      </c>
      <c r="D285" s="3548" t="s">
        <v>3632</v>
      </c>
      <c r="E285" s="3548" t="s">
        <v>5003</v>
      </c>
      <c r="F285" s="3548" t="s">
        <v>5054</v>
      </c>
      <c r="G285" s="3548" t="s">
        <v>3645</v>
      </c>
      <c r="H285" s="3548" t="s">
        <v>5055</v>
      </c>
      <c r="I285" s="3548" t="s">
        <v>5056</v>
      </c>
      <c r="J285" s="3548" t="s">
        <v>5057</v>
      </c>
      <c r="K285" s="3548" t="s">
        <v>5058</v>
      </c>
      <c r="L285" s="3548" t="s">
        <v>5059</v>
      </c>
    </row>
    <row r="286" spans="1:12" s="3545" customFormat="1" hidden="1">
      <c r="A286" s="3548" t="s">
        <v>5060</v>
      </c>
      <c r="B286" s="3548" t="s">
        <v>4612</v>
      </c>
      <c r="C286" s="3548" t="s">
        <v>5061</v>
      </c>
      <c r="D286" s="3548" t="s">
        <v>3632</v>
      </c>
      <c r="E286" s="3548" t="s">
        <v>5003</v>
      </c>
      <c r="F286" s="3548" t="s">
        <v>5062</v>
      </c>
      <c r="G286" s="3548" t="s">
        <v>3630</v>
      </c>
      <c r="H286" s="3548" t="s">
        <v>5063</v>
      </c>
      <c r="I286" s="3548" t="s">
        <v>5064</v>
      </c>
      <c r="J286" s="3548" t="s">
        <v>5065</v>
      </c>
      <c r="K286" s="3548" t="s">
        <v>3641</v>
      </c>
      <c r="L286" s="3548" t="s">
        <v>3836</v>
      </c>
    </row>
    <row r="287" spans="1:12" s="3545" customFormat="1" hidden="1">
      <c r="A287" s="3548" t="s">
        <v>5066</v>
      </c>
      <c r="B287" s="3548" t="s">
        <v>4140</v>
      </c>
      <c r="C287" s="3548" t="s">
        <v>4316</v>
      </c>
      <c r="D287" s="3548" t="s">
        <v>3632</v>
      </c>
      <c r="E287" s="3548" t="s">
        <v>5003</v>
      </c>
      <c r="F287" s="3548" t="s">
        <v>4667</v>
      </c>
      <c r="G287" s="3548" t="s">
        <v>3645</v>
      </c>
      <c r="H287" s="3548" t="s">
        <v>3632</v>
      </c>
      <c r="I287" s="3548" t="s">
        <v>3632</v>
      </c>
      <c r="J287" s="3548" t="s">
        <v>5067</v>
      </c>
      <c r="K287" s="3548" t="s">
        <v>5068</v>
      </c>
      <c r="L287" s="3548" t="s">
        <v>5069</v>
      </c>
    </row>
    <row r="288" spans="1:12" s="3545" customFormat="1">
      <c r="A288" s="3548" t="s">
        <v>5070</v>
      </c>
      <c r="B288" s="3548" t="s">
        <v>3699</v>
      </c>
      <c r="C288" s="3548" t="s">
        <v>3700</v>
      </c>
      <c r="D288" s="3548" t="s">
        <v>5071</v>
      </c>
      <c r="E288" s="3548" t="s">
        <v>5003</v>
      </c>
      <c r="F288" s="3548" t="s">
        <v>3670</v>
      </c>
      <c r="G288" s="3548" t="s">
        <v>3645</v>
      </c>
      <c r="H288" s="3548" t="s">
        <v>5072</v>
      </c>
      <c r="I288" s="3548" t="s">
        <v>3632</v>
      </c>
      <c r="J288" s="3548" t="s">
        <v>5073</v>
      </c>
      <c r="K288" s="3548" t="s">
        <v>3673</v>
      </c>
      <c r="L288" s="3548" t="s">
        <v>3674</v>
      </c>
    </row>
    <row r="289" spans="1:12" s="3545" customFormat="1">
      <c r="A289" s="3548" t="s">
        <v>5074</v>
      </c>
      <c r="B289" s="3548" t="s">
        <v>3699</v>
      </c>
      <c r="C289" s="3548" t="s">
        <v>3700</v>
      </c>
      <c r="D289" s="3548" t="s">
        <v>3761</v>
      </c>
      <c r="E289" s="3548" t="s">
        <v>5003</v>
      </c>
      <c r="F289" s="3548" t="s">
        <v>5075</v>
      </c>
      <c r="G289" s="3548" t="s">
        <v>3630</v>
      </c>
      <c r="H289" s="3548" t="s">
        <v>3632</v>
      </c>
      <c r="I289" s="3548" t="s">
        <v>3632</v>
      </c>
      <c r="J289" s="3548" t="s">
        <v>5076</v>
      </c>
      <c r="K289" s="3548" t="s">
        <v>5077</v>
      </c>
      <c r="L289" s="3548" t="s">
        <v>5078</v>
      </c>
    </row>
    <row r="290" spans="1:12" s="3545" customFormat="1" hidden="1">
      <c r="A290" s="3548" t="s">
        <v>5079</v>
      </c>
      <c r="B290" s="3548" t="s">
        <v>5080</v>
      </c>
      <c r="C290" s="3548" t="s">
        <v>5081</v>
      </c>
      <c r="D290" s="3548" t="s">
        <v>3632</v>
      </c>
      <c r="E290" s="3548" t="s">
        <v>5003</v>
      </c>
      <c r="F290" s="3548" t="s">
        <v>5082</v>
      </c>
      <c r="G290" s="3548" t="s">
        <v>3645</v>
      </c>
      <c r="H290" s="3548" t="s">
        <v>5083</v>
      </c>
      <c r="I290" s="3548" t="s">
        <v>5084</v>
      </c>
      <c r="J290" s="3548" t="s">
        <v>5085</v>
      </c>
      <c r="K290" s="3548" t="s">
        <v>5086</v>
      </c>
      <c r="L290" s="3548" t="s">
        <v>5087</v>
      </c>
    </row>
    <row r="291" spans="1:12" s="3545" customFormat="1" hidden="1">
      <c r="A291" s="3548" t="s">
        <v>5088</v>
      </c>
      <c r="B291" s="3548" t="s">
        <v>3809</v>
      </c>
      <c r="C291" s="3548" t="s">
        <v>3810</v>
      </c>
      <c r="D291" s="3548" t="s">
        <v>3632</v>
      </c>
      <c r="E291" s="3548" t="s">
        <v>5003</v>
      </c>
      <c r="F291" s="3548" t="s">
        <v>5089</v>
      </c>
      <c r="G291" s="3548" t="s">
        <v>3630</v>
      </c>
      <c r="H291" s="3548" t="s">
        <v>5090</v>
      </c>
      <c r="I291" s="3548" t="s">
        <v>5091</v>
      </c>
      <c r="J291" s="3548" t="s">
        <v>5092</v>
      </c>
      <c r="K291" s="3548" t="s">
        <v>5093</v>
      </c>
      <c r="L291" s="3548" t="s">
        <v>5094</v>
      </c>
    </row>
    <row r="292" spans="1:12" s="3545" customFormat="1" hidden="1">
      <c r="A292" s="3548" t="s">
        <v>5095</v>
      </c>
      <c r="B292" s="3548" t="s">
        <v>4397</v>
      </c>
      <c r="C292" s="3548" t="s">
        <v>5096</v>
      </c>
      <c r="D292" s="3548" t="s">
        <v>3632</v>
      </c>
      <c r="E292" s="3548" t="s">
        <v>5003</v>
      </c>
      <c r="F292" s="3548" t="s">
        <v>5097</v>
      </c>
      <c r="G292" s="3548" t="s">
        <v>3645</v>
      </c>
      <c r="H292" s="3548" t="s">
        <v>5098</v>
      </c>
      <c r="I292" s="3548" t="s">
        <v>5099</v>
      </c>
      <c r="J292" s="3548" t="s">
        <v>5100</v>
      </c>
      <c r="K292" s="3548" t="s">
        <v>5101</v>
      </c>
      <c r="L292" s="3548" t="s">
        <v>5102</v>
      </c>
    </row>
    <row r="293" spans="1:12" s="3545" customFormat="1" hidden="1">
      <c r="A293" s="3548" t="s">
        <v>5103</v>
      </c>
      <c r="B293" s="3548" t="s">
        <v>3830</v>
      </c>
      <c r="C293" s="3548" t="s">
        <v>5104</v>
      </c>
      <c r="D293" s="3548" t="s">
        <v>3632</v>
      </c>
      <c r="E293" s="3548" t="s">
        <v>5003</v>
      </c>
      <c r="F293" s="3548" t="s">
        <v>4729</v>
      </c>
      <c r="G293" s="3548" t="s">
        <v>3630</v>
      </c>
      <c r="H293" s="3548" t="s">
        <v>3632</v>
      </c>
      <c r="I293" s="3548" t="s">
        <v>3632</v>
      </c>
      <c r="J293" s="3548" t="s">
        <v>5105</v>
      </c>
      <c r="K293" s="3548" t="s">
        <v>5106</v>
      </c>
      <c r="L293" s="3548" t="s">
        <v>5107</v>
      </c>
    </row>
    <row r="294" spans="1:12" s="3545" customFormat="1" hidden="1">
      <c r="A294" s="3548" t="s">
        <v>5108</v>
      </c>
      <c r="B294" s="3548" t="s">
        <v>4324</v>
      </c>
      <c r="C294" s="3548" t="s">
        <v>5109</v>
      </c>
      <c r="D294" s="3548" t="s">
        <v>3632</v>
      </c>
      <c r="E294" s="3548" t="s">
        <v>5003</v>
      </c>
      <c r="F294" s="3548" t="s">
        <v>5110</v>
      </c>
      <c r="G294" s="3548" t="s">
        <v>3630</v>
      </c>
      <c r="H294" s="3548" t="s">
        <v>5111</v>
      </c>
      <c r="I294" s="3548" t="s">
        <v>5112</v>
      </c>
      <c r="J294" s="3548" t="s">
        <v>5113</v>
      </c>
      <c r="K294" s="3548" t="s">
        <v>5114</v>
      </c>
      <c r="L294" s="3548" t="s">
        <v>5115</v>
      </c>
    </row>
    <row r="295" spans="1:12" s="3545" customFormat="1" hidden="1">
      <c r="A295" s="3548" t="s">
        <v>5116</v>
      </c>
      <c r="B295" s="3548" t="s">
        <v>4720</v>
      </c>
      <c r="C295" s="3548" t="s">
        <v>5117</v>
      </c>
      <c r="D295" s="3548" t="s">
        <v>3632</v>
      </c>
      <c r="E295" s="3548" t="s">
        <v>5003</v>
      </c>
      <c r="F295" s="3548" t="s">
        <v>5118</v>
      </c>
      <c r="G295" s="3548" t="s">
        <v>3645</v>
      </c>
      <c r="H295" s="3548" t="s">
        <v>5119</v>
      </c>
      <c r="I295" s="3548" t="s">
        <v>3632</v>
      </c>
      <c r="J295" s="3548" t="s">
        <v>5120</v>
      </c>
      <c r="K295" s="3548" t="s">
        <v>5121</v>
      </c>
      <c r="L295" s="3548" t="s">
        <v>5122</v>
      </c>
    </row>
    <row r="296" spans="1:12" s="3545" customFormat="1" hidden="1">
      <c r="A296" s="3548" t="s">
        <v>5123</v>
      </c>
      <c r="B296" s="3548" t="s">
        <v>3994</v>
      </c>
      <c r="C296" s="3548" t="s">
        <v>3632</v>
      </c>
      <c r="D296" s="3548" t="s">
        <v>3632</v>
      </c>
      <c r="E296" s="3548" t="s">
        <v>5003</v>
      </c>
      <c r="F296" s="3548" t="s">
        <v>5124</v>
      </c>
      <c r="G296" s="3548" t="s">
        <v>3645</v>
      </c>
      <c r="H296" s="3548" t="s">
        <v>5125</v>
      </c>
      <c r="I296" s="3548" t="s">
        <v>5126</v>
      </c>
      <c r="J296" s="3548" t="s">
        <v>5127</v>
      </c>
      <c r="K296" s="3548" t="s">
        <v>5031</v>
      </c>
      <c r="L296" s="3548" t="s">
        <v>3836</v>
      </c>
    </row>
    <row r="297" spans="1:12" s="3545" customFormat="1">
      <c r="A297" s="3548" t="s">
        <v>5128</v>
      </c>
      <c r="B297" s="3548" t="s">
        <v>3699</v>
      </c>
      <c r="C297" s="3548" t="s">
        <v>3700</v>
      </c>
      <c r="D297" s="3548" t="s">
        <v>3632</v>
      </c>
      <c r="E297" s="3548" t="s">
        <v>5003</v>
      </c>
      <c r="F297" s="3548" t="s">
        <v>5129</v>
      </c>
      <c r="G297" s="3548" t="s">
        <v>3645</v>
      </c>
      <c r="H297" s="3548" t="s">
        <v>5130</v>
      </c>
      <c r="I297" s="3548" t="s">
        <v>5131</v>
      </c>
      <c r="J297" s="3548" t="s">
        <v>5132</v>
      </c>
      <c r="K297" s="3548" t="s">
        <v>5133</v>
      </c>
      <c r="L297" s="3548" t="s">
        <v>5115</v>
      </c>
    </row>
    <row r="298" spans="1:12" s="3545" customFormat="1">
      <c r="A298" s="3548" t="s">
        <v>5134</v>
      </c>
      <c r="B298" s="3548" t="s">
        <v>3699</v>
      </c>
      <c r="C298" s="3548" t="s">
        <v>5135</v>
      </c>
      <c r="D298" s="3548" t="s">
        <v>3632</v>
      </c>
      <c r="E298" s="3548" t="s">
        <v>5003</v>
      </c>
      <c r="F298" s="3548" t="s">
        <v>5136</v>
      </c>
      <c r="G298" s="3548" t="s">
        <v>3630</v>
      </c>
      <c r="H298" s="3548" t="s">
        <v>5137</v>
      </c>
      <c r="I298" s="3548" t="s">
        <v>5138</v>
      </c>
      <c r="J298" s="3548" t="s">
        <v>5139</v>
      </c>
      <c r="K298" s="3548" t="s">
        <v>4255</v>
      </c>
      <c r="L298" s="3548" t="s">
        <v>5140</v>
      </c>
    </row>
    <row r="299" spans="1:12" s="3545" customFormat="1" hidden="1">
      <c r="A299" s="3548" t="s">
        <v>5141</v>
      </c>
      <c r="B299" s="3548" t="s">
        <v>3625</v>
      </c>
      <c r="C299" s="3548" t="s">
        <v>3978</v>
      </c>
      <c r="D299" s="3548" t="s">
        <v>5142</v>
      </c>
      <c r="E299" s="3548" t="s">
        <v>5003</v>
      </c>
      <c r="F299" s="3548" t="s">
        <v>5143</v>
      </c>
      <c r="G299" s="3548" t="s">
        <v>3630</v>
      </c>
      <c r="H299" s="3548" t="s">
        <v>4276</v>
      </c>
      <c r="I299" s="3548" t="s">
        <v>5144</v>
      </c>
      <c r="J299" s="3548" t="s">
        <v>5145</v>
      </c>
      <c r="K299" s="3548" t="s">
        <v>5146</v>
      </c>
      <c r="L299" s="3548" t="s">
        <v>5147</v>
      </c>
    </row>
    <row r="300" spans="1:12" s="3545" customFormat="1" hidden="1">
      <c r="A300" s="3548" t="s">
        <v>5148</v>
      </c>
      <c r="B300" s="3548" t="s">
        <v>3636</v>
      </c>
      <c r="C300" s="3548" t="s">
        <v>3644</v>
      </c>
      <c r="D300" s="3548" t="s">
        <v>3632</v>
      </c>
      <c r="E300" s="3548" t="s">
        <v>5003</v>
      </c>
      <c r="F300" s="3548" t="s">
        <v>5149</v>
      </c>
      <c r="G300" s="3548" t="s">
        <v>3630</v>
      </c>
      <c r="H300" s="3548" t="s">
        <v>3632</v>
      </c>
      <c r="I300" s="3548" t="s">
        <v>3632</v>
      </c>
      <c r="J300" s="3548" t="s">
        <v>5076</v>
      </c>
      <c r="K300" s="3548" t="s">
        <v>5150</v>
      </c>
      <c r="L300" s="3548" t="s">
        <v>4850</v>
      </c>
    </row>
    <row r="301" spans="1:12" s="3545" customFormat="1">
      <c r="A301" s="3548" t="s">
        <v>5151</v>
      </c>
      <c r="B301" s="3548" t="s">
        <v>3699</v>
      </c>
      <c r="C301" s="3548" t="s">
        <v>3700</v>
      </c>
      <c r="D301" s="3548" t="s">
        <v>3632</v>
      </c>
      <c r="E301" s="3548" t="s">
        <v>5003</v>
      </c>
      <c r="F301" s="3548" t="s">
        <v>5152</v>
      </c>
      <c r="G301" s="3548" t="s">
        <v>3632</v>
      </c>
      <c r="H301" s="3548" t="s">
        <v>3632</v>
      </c>
      <c r="I301" s="3548" t="s">
        <v>3632</v>
      </c>
      <c r="J301" s="3548" t="s">
        <v>5153</v>
      </c>
      <c r="K301" s="3548" t="s">
        <v>5154</v>
      </c>
      <c r="L301" s="3548" t="s">
        <v>3836</v>
      </c>
    </row>
  </sheetData>
  <autoFilter ref="A1:L301">
    <filterColumn colId="1">
      <filters>
        <filter val="北京"/>
      </filters>
    </filterColumn>
  </autoFilter>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1768</v>
      </c>
      <c r="B4" s="355"/>
      <c r="C4" s="3764" t="s">
        <v>1769</v>
      </c>
      <c r="D4" s="3765"/>
      <c r="E4" s="3766" t="s">
        <v>1770</v>
      </c>
      <c r="F4" s="3767"/>
      <c r="G4" s="3764" t="s">
        <v>1771</v>
      </c>
      <c r="H4" s="3765"/>
      <c r="I4" s="3764" t="s">
        <v>1772</v>
      </c>
      <c r="J4" s="3765"/>
      <c r="K4" s="558" t="s">
        <v>1773</v>
      </c>
      <c r="L4" s="2714"/>
      <c r="M4" s="2715"/>
      <c r="N4" s="2715"/>
      <c r="O4" s="2715"/>
      <c r="P4" s="3768" t="s">
        <v>1774</v>
      </c>
      <c r="Q4" s="3769"/>
      <c r="R4" s="3751" t="s">
        <v>1770</v>
      </c>
      <c r="S4" s="3752"/>
      <c r="T4" s="3751" t="s">
        <v>1771</v>
      </c>
      <c r="U4" s="3752"/>
      <c r="V4" s="3748" t="s">
        <v>1772</v>
      </c>
      <c r="W4" s="3748"/>
      <c r="X4" s="1354"/>
      <c r="Y4" s="3751" t="s">
        <v>1774</v>
      </c>
      <c r="Z4" s="3752"/>
      <c r="AA4" s="3745" t="s">
        <v>1770</v>
      </c>
      <c r="AB4" s="3746" t="s">
        <v>1771</v>
      </c>
      <c r="AC4" s="3745" t="s">
        <v>1772</v>
      </c>
    </row>
    <row r="5" spans="1:30" ht="15">
      <c r="A5" s="357"/>
      <c r="B5" s="358"/>
      <c r="C5" s="3757" t="s">
        <v>1672</v>
      </c>
      <c r="D5" s="3758"/>
      <c r="E5" s="3818" t="s">
        <v>1673</v>
      </c>
      <c r="F5" s="3756"/>
      <c r="G5" s="3757" t="s">
        <v>1674</v>
      </c>
      <c r="H5" s="3758"/>
      <c r="I5" s="3757" t="s">
        <v>1675</v>
      </c>
      <c r="J5" s="3758"/>
      <c r="K5" s="558"/>
      <c r="L5" s="2714"/>
      <c r="M5" s="2715"/>
      <c r="N5" s="2715"/>
      <c r="O5" s="2715"/>
      <c r="P5" s="3770"/>
      <c r="Q5" s="3771"/>
      <c r="R5" s="3753"/>
      <c r="S5" s="3754"/>
      <c r="T5" s="3753"/>
      <c r="U5" s="3754"/>
      <c r="V5" s="3748"/>
      <c r="W5" s="3748"/>
      <c r="X5" s="1354"/>
      <c r="Y5" s="3753"/>
      <c r="Z5" s="3754"/>
      <c r="AA5" s="3746"/>
      <c r="AB5" s="3746"/>
      <c r="AC5" s="3746"/>
    </row>
    <row r="6" spans="1:30" ht="15.75" thickBot="1">
      <c r="A6" s="359"/>
      <c r="B6" s="360"/>
      <c r="C6" s="3759" t="s">
        <v>1676</v>
      </c>
      <c r="D6" s="3760"/>
      <c r="E6" s="3761" t="s">
        <v>1676</v>
      </c>
      <c r="F6" s="3762"/>
      <c r="G6" s="3759" t="s">
        <v>1676</v>
      </c>
      <c r="H6" s="3760"/>
      <c r="I6" s="3759" t="s">
        <v>1676</v>
      </c>
      <c r="J6" s="3760"/>
      <c r="K6" s="558" t="s">
        <v>1677</v>
      </c>
      <c r="L6" s="2714"/>
      <c r="M6" s="2715"/>
      <c r="N6" s="2715"/>
      <c r="O6" s="2715"/>
      <c r="P6" s="3772"/>
      <c r="Q6" s="3773"/>
      <c r="R6" s="3753"/>
      <c r="S6" s="3754"/>
      <c r="T6" s="3774"/>
      <c r="U6" s="3775"/>
      <c r="V6" s="3748"/>
      <c r="W6" s="3748"/>
      <c r="X6" s="1354"/>
      <c r="Y6" s="3774"/>
      <c r="Z6" s="3775"/>
      <c r="AA6" s="3747"/>
      <c r="AB6" s="3747"/>
      <c r="AC6" s="3747"/>
    </row>
    <row r="7" spans="1:30" s="107" customFormat="1" ht="15.75" thickBot="1">
      <c r="A7" s="361" t="s">
        <v>1678</v>
      </c>
      <c r="B7" s="362"/>
      <c r="C7" s="363">
        <f>'数据-取费表'!B2</f>
        <v>45105</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49" t="s">
        <v>1679</v>
      </c>
      <c r="Q7" s="3777"/>
      <c r="R7" s="700" t="s">
        <v>14</v>
      </c>
      <c r="S7" s="701">
        <f t="shared" ref="S7:S15" si="0">F7</f>
        <v>0</v>
      </c>
      <c r="T7" s="700" t="s">
        <v>14</v>
      </c>
      <c r="U7" s="701">
        <f t="shared" ref="U7:U15" si="1">H7</f>
        <v>0</v>
      </c>
      <c r="V7" s="700" t="s">
        <v>14</v>
      </c>
      <c r="W7" s="701">
        <f t="shared" ref="W7:W15" si="2">J7</f>
        <v>0</v>
      </c>
      <c r="X7" s="702"/>
      <c r="Y7" s="3749" t="s">
        <v>1679</v>
      </c>
      <c r="Z7" s="3750"/>
      <c r="AA7" s="703" t="e">
        <f>D7/F7</f>
        <v>#DIV/0!</v>
      </c>
      <c r="AB7" s="703" t="e">
        <f>D7/H7</f>
        <v>#DIV/0!</v>
      </c>
      <c r="AC7" s="703" t="e">
        <f>D7/J7</f>
        <v>#DIV/0!</v>
      </c>
    </row>
    <row r="8" spans="1:30" s="107"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49" t="s">
        <v>1682</v>
      </c>
      <c r="Q8" s="3750"/>
      <c r="R8" s="700" t="s">
        <v>14</v>
      </c>
      <c r="S8" s="701">
        <f t="shared" si="0"/>
        <v>0</v>
      </c>
      <c r="T8" s="700" t="s">
        <v>14</v>
      </c>
      <c r="U8" s="701">
        <f t="shared" si="1"/>
        <v>0</v>
      </c>
      <c r="V8" s="700" t="s">
        <v>14</v>
      </c>
      <c r="W8" s="701">
        <f t="shared" si="2"/>
        <v>0</v>
      </c>
      <c r="X8" s="702"/>
      <c r="Y8" s="3749" t="s">
        <v>1682</v>
      </c>
      <c r="Z8" s="3750"/>
      <c r="AA8" s="703" t="e">
        <f t="shared" ref="AA8:AA45" si="3">D8/F8</f>
        <v>#DIV/0!</v>
      </c>
      <c r="AB8" s="703" t="e">
        <f t="shared" ref="AB8:AB45" si="4">D8/H8</f>
        <v>#DIV/0!</v>
      </c>
      <c r="AC8" s="703" t="e">
        <f t="shared" ref="AC8:AC45" si="5">D8/J8</f>
        <v>#DIV/0!</v>
      </c>
    </row>
    <row r="9" spans="1:30" s="107" customFormat="1">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0"/>
      <c r="P9" s="3787" t="s">
        <v>1685</v>
      </c>
      <c r="Q9" s="1342" t="str">
        <f t="shared" ref="Q9:Q15" si="6">B9</f>
        <v>用途</v>
      </c>
      <c r="R9" s="700" t="s">
        <v>14</v>
      </c>
      <c r="S9" s="701">
        <f t="shared" si="0"/>
        <v>100</v>
      </c>
      <c r="T9" s="700" t="s">
        <v>14</v>
      </c>
      <c r="U9" s="701">
        <f t="shared" si="1"/>
        <v>100</v>
      </c>
      <c r="V9" s="700" t="s">
        <v>14</v>
      </c>
      <c r="W9" s="701">
        <f t="shared" si="2"/>
        <v>100</v>
      </c>
      <c r="X9" s="702"/>
      <c r="Y9" s="3718" t="s">
        <v>1686</v>
      </c>
      <c r="Z9" s="52"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171</v>
      </c>
      <c r="G10" s="413"/>
      <c r="H10" s="126">
        <f>ROUND(100/'数据-取费表'!G16,0)</f>
        <v>171</v>
      </c>
      <c r="I10" s="413"/>
      <c r="J10" s="126">
        <f>ROUND(100/'数据-取费表'!G16,0)</f>
        <v>171</v>
      </c>
      <c r="K10" s="619"/>
      <c r="L10" s="2718"/>
      <c r="M10" s="2719"/>
      <c r="N10" s="2719"/>
      <c r="O10" s="2771"/>
      <c r="P10" s="3787"/>
      <c r="Q10" s="1342" t="str">
        <f t="shared" si="6"/>
        <v>土地使用年限（年）</v>
      </c>
      <c r="R10" s="700" t="s">
        <v>14</v>
      </c>
      <c r="S10" s="701">
        <f t="shared" si="0"/>
        <v>171</v>
      </c>
      <c r="T10" s="700" t="s">
        <v>14</v>
      </c>
      <c r="U10" s="701">
        <f t="shared" si="1"/>
        <v>171</v>
      </c>
      <c r="V10" s="700" t="s">
        <v>14</v>
      </c>
      <c r="W10" s="701">
        <f t="shared" si="2"/>
        <v>171</v>
      </c>
      <c r="X10" s="702"/>
      <c r="Y10" s="3718"/>
      <c r="Z10" s="52" t="str">
        <f t="shared" si="7"/>
        <v>土地使用年限（年）</v>
      </c>
      <c r="AA10" s="703">
        <f t="shared" si="3"/>
        <v>0.58479532163742687</v>
      </c>
      <c r="AB10" s="703">
        <f t="shared" si="4"/>
        <v>0.58479532163742687</v>
      </c>
      <c r="AC10" s="703">
        <f t="shared" si="5"/>
        <v>0.58479532163742687</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2"/>
      <c r="P11" s="3787"/>
      <c r="Q11" s="1342" t="str">
        <f t="shared" si="6"/>
        <v>容积率</v>
      </c>
      <c r="R11" s="700" t="s">
        <v>14</v>
      </c>
      <c r="S11" s="701" t="e">
        <f t="shared" si="0"/>
        <v>#N/A</v>
      </c>
      <c r="T11" s="700" t="s">
        <v>14</v>
      </c>
      <c r="U11" s="701" t="e">
        <f t="shared" si="1"/>
        <v>#N/A</v>
      </c>
      <c r="V11" s="700" t="s">
        <v>14</v>
      </c>
      <c r="W11" s="701" t="e">
        <f t="shared" si="2"/>
        <v>#N/A</v>
      </c>
      <c r="X11" s="702"/>
      <c r="Y11" s="3718"/>
      <c r="Z11" s="52" t="str">
        <f t="shared" si="7"/>
        <v>容积率</v>
      </c>
      <c r="AA11" s="703" t="e">
        <f t="shared" si="3"/>
        <v>#N/A</v>
      </c>
      <c r="AB11" s="703" t="e">
        <f t="shared" si="4"/>
        <v>#N/A</v>
      </c>
      <c r="AC11" s="703" t="e">
        <f t="shared" si="5"/>
        <v>#N/A</v>
      </c>
    </row>
    <row r="12" spans="1:30" s="107"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0"/>
      <c r="P12" s="3787"/>
      <c r="Q12" s="1342" t="str">
        <f t="shared" si="6"/>
        <v>配建</v>
      </c>
      <c r="R12" s="700" t="s">
        <v>14</v>
      </c>
      <c r="S12" s="701">
        <f t="shared" si="0"/>
        <v>100</v>
      </c>
      <c r="T12" s="700" t="s">
        <v>14</v>
      </c>
      <c r="U12" s="701">
        <f t="shared" si="1"/>
        <v>100</v>
      </c>
      <c r="V12" s="700" t="s">
        <v>14</v>
      </c>
      <c r="W12" s="701">
        <f t="shared" si="2"/>
        <v>100</v>
      </c>
      <c r="X12" s="702"/>
      <c r="Y12" s="3718"/>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2"/>
      <c r="P13" s="3787"/>
      <c r="Q13" s="1342">
        <f t="shared" si="6"/>
        <v>111</v>
      </c>
      <c r="R13" s="700" t="s">
        <v>14</v>
      </c>
      <c r="S13" s="701">
        <f t="shared" si="0"/>
        <v>100</v>
      </c>
      <c r="T13" s="700" t="s">
        <v>14</v>
      </c>
      <c r="U13" s="701">
        <f t="shared" si="1"/>
        <v>100</v>
      </c>
      <c r="V13" s="700" t="s">
        <v>14</v>
      </c>
      <c r="W13" s="701">
        <f t="shared" si="2"/>
        <v>100</v>
      </c>
      <c r="X13" s="702"/>
      <c r="Y13" s="3718"/>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2"/>
      <c r="P14" s="3787"/>
      <c r="Q14" s="1342">
        <f t="shared" si="6"/>
        <v>111</v>
      </c>
      <c r="R14" s="700" t="s">
        <v>14</v>
      </c>
      <c r="S14" s="701">
        <f t="shared" si="0"/>
        <v>100</v>
      </c>
      <c r="T14" s="700" t="s">
        <v>14</v>
      </c>
      <c r="U14" s="701">
        <f t="shared" si="1"/>
        <v>100</v>
      </c>
      <c r="V14" s="700" t="s">
        <v>14</v>
      </c>
      <c r="W14" s="701">
        <f t="shared" si="2"/>
        <v>100</v>
      </c>
      <c r="X14" s="702"/>
      <c r="Y14" s="3718"/>
      <c r="Z14" s="52">
        <f t="shared" si="7"/>
        <v>111</v>
      </c>
      <c r="AA14" s="703">
        <f>D14/F14</f>
        <v>1</v>
      </c>
      <c r="AB14" s="703">
        <f>D14/H14</f>
        <v>1</v>
      </c>
      <c r="AC14" s="703">
        <f>D14/J14</f>
        <v>1</v>
      </c>
    </row>
    <row r="15" spans="1:30" ht="99.75">
      <c r="A15" s="390" t="s">
        <v>1689</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2"/>
      <c r="P15" s="3780" t="s">
        <v>1690</v>
      </c>
      <c r="Q15" s="1351" t="str">
        <f t="shared" si="6"/>
        <v>居住社区成熟度</v>
      </c>
      <c r="R15" s="704" t="s">
        <v>14</v>
      </c>
      <c r="S15" s="705">
        <f t="shared" si="0"/>
        <v>100</v>
      </c>
      <c r="T15" s="704" t="s">
        <v>14</v>
      </c>
      <c r="U15" s="705">
        <f t="shared" si="1"/>
        <v>100</v>
      </c>
      <c r="V15" s="704" t="s">
        <v>14</v>
      </c>
      <c r="W15" s="705">
        <f t="shared" si="2"/>
        <v>100</v>
      </c>
      <c r="X15" s="1354"/>
      <c r="Y15" s="3780"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2"/>
      <c r="P16" s="3781"/>
      <c r="Q16" s="1351"/>
      <c r="R16" s="704"/>
      <c r="S16" s="705"/>
      <c r="T16" s="704"/>
      <c r="U16" s="705"/>
      <c r="V16" s="704"/>
      <c r="W16" s="705"/>
      <c r="X16" s="1354"/>
      <c r="Y16" s="3781"/>
      <c r="Z16" s="1355"/>
      <c r="AA16" s="1352">
        <v>1</v>
      </c>
      <c r="AB16" s="1352">
        <v>1</v>
      </c>
      <c r="AC16" s="1352">
        <v>1</v>
      </c>
    </row>
    <row r="17" spans="1:29" ht="71.25">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2"/>
      <c r="P17" s="3781"/>
      <c r="Q17" s="1351" t="str">
        <f>B17</f>
        <v>商业繁华度</v>
      </c>
      <c r="R17" s="704" t="s">
        <v>14</v>
      </c>
      <c r="S17" s="705">
        <f>F17</f>
        <v>100</v>
      </c>
      <c r="T17" s="704" t="s">
        <v>14</v>
      </c>
      <c r="U17" s="705">
        <f>H17</f>
        <v>100</v>
      </c>
      <c r="V17" s="704" t="s">
        <v>14</v>
      </c>
      <c r="W17" s="705">
        <f>J17</f>
        <v>100</v>
      </c>
      <c r="X17" s="1354"/>
      <c r="Y17" s="3781"/>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2"/>
      <c r="P18" s="3781"/>
      <c r="Q18" s="1351"/>
      <c r="R18" s="704"/>
      <c r="S18" s="705"/>
      <c r="T18" s="704"/>
      <c r="U18" s="705"/>
      <c r="V18" s="704"/>
      <c r="W18" s="705"/>
      <c r="X18" s="1354"/>
      <c r="Y18" s="3781"/>
      <c r="Z18" s="1355"/>
      <c r="AA18" s="1352">
        <v>1</v>
      </c>
      <c r="AB18" s="1352">
        <v>1</v>
      </c>
      <c r="AC18" s="1352">
        <v>1</v>
      </c>
    </row>
    <row r="19" spans="1:29" ht="71.25">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2"/>
      <c r="P19" s="3781"/>
      <c r="Q19" s="1351" t="str">
        <f>B19</f>
        <v>办公集聚程度</v>
      </c>
      <c r="R19" s="704" t="s">
        <v>14</v>
      </c>
      <c r="S19" s="705">
        <f>F19</f>
        <v>100</v>
      </c>
      <c r="T19" s="704" t="s">
        <v>14</v>
      </c>
      <c r="U19" s="705">
        <f>H19</f>
        <v>100</v>
      </c>
      <c r="V19" s="704" t="s">
        <v>14</v>
      </c>
      <c r="W19" s="705">
        <f>J19</f>
        <v>100</v>
      </c>
      <c r="X19" s="1354"/>
      <c r="Y19" s="3781"/>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2"/>
      <c r="P20" s="3781"/>
      <c r="Q20" s="1351"/>
      <c r="R20" s="704"/>
      <c r="S20" s="705"/>
      <c r="T20" s="704"/>
      <c r="U20" s="705"/>
      <c r="V20" s="704"/>
      <c r="W20" s="705"/>
      <c r="X20" s="1354"/>
      <c r="Y20" s="3781"/>
      <c r="Z20" s="1355"/>
      <c r="AA20" s="1352">
        <v>1</v>
      </c>
      <c r="AB20" s="1352">
        <v>1</v>
      </c>
      <c r="AC20" s="1352">
        <v>1</v>
      </c>
    </row>
    <row r="21" spans="1:29" ht="85.5">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2"/>
      <c r="P21" s="3781"/>
      <c r="Q21" s="1351" t="str">
        <f>B21</f>
        <v>交通便捷度</v>
      </c>
      <c r="R21" s="704" t="s">
        <v>14</v>
      </c>
      <c r="S21" s="705">
        <f>F21</f>
        <v>100</v>
      </c>
      <c r="T21" s="704" t="s">
        <v>14</v>
      </c>
      <c r="U21" s="705">
        <f>H21</f>
        <v>100</v>
      </c>
      <c r="V21" s="704" t="s">
        <v>14</v>
      </c>
      <c r="W21" s="705">
        <f>J21</f>
        <v>100</v>
      </c>
      <c r="X21" s="1354"/>
      <c r="Y21" s="3781"/>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2"/>
      <c r="P22" s="3781"/>
      <c r="Q22" s="1351"/>
      <c r="R22" s="704"/>
      <c r="S22" s="705"/>
      <c r="T22" s="704"/>
      <c r="U22" s="705"/>
      <c r="V22" s="704"/>
      <c r="W22" s="705"/>
      <c r="X22" s="1354"/>
      <c r="Y22" s="3781"/>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2"/>
      <c r="P23" s="3781"/>
      <c r="Q23" s="1351" t="str">
        <f t="shared" ref="Q23:Q37" si="8">B23</f>
        <v>区域土地利用方向</v>
      </c>
      <c r="R23" s="704" t="s">
        <v>14</v>
      </c>
      <c r="S23" s="705">
        <f>F23</f>
        <v>100</v>
      </c>
      <c r="T23" s="704" t="s">
        <v>14</v>
      </c>
      <c r="U23" s="705">
        <f>H23</f>
        <v>100</v>
      </c>
      <c r="V23" s="704" t="s">
        <v>14</v>
      </c>
      <c r="W23" s="705">
        <f>J23</f>
        <v>100</v>
      </c>
      <c r="X23" s="1354"/>
      <c r="Y23" s="3781"/>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2"/>
      <c r="P24" s="3781"/>
      <c r="Q24" s="1351"/>
      <c r="R24" s="704"/>
      <c r="S24" s="705"/>
      <c r="T24" s="704"/>
      <c r="U24" s="705"/>
      <c r="V24" s="704"/>
      <c r="W24" s="705"/>
      <c r="X24" s="1354"/>
      <c r="Y24" s="3781"/>
      <c r="Z24" s="1355"/>
      <c r="AA24" s="1352"/>
      <c r="AB24" s="1352"/>
      <c r="AC24" s="1352"/>
    </row>
    <row r="25" spans="1:29" ht="57">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2"/>
      <c r="P25" s="3781"/>
      <c r="Q25" s="1351" t="str">
        <f t="shared" si="8"/>
        <v>自然及人文环境状况</v>
      </c>
      <c r="R25" s="704" t="s">
        <v>14</v>
      </c>
      <c r="S25" s="705">
        <f>F25</f>
        <v>100</v>
      </c>
      <c r="T25" s="704" t="s">
        <v>14</v>
      </c>
      <c r="U25" s="705">
        <f>H25</f>
        <v>100</v>
      </c>
      <c r="V25" s="704" t="s">
        <v>14</v>
      </c>
      <c r="W25" s="705">
        <f>J25</f>
        <v>100</v>
      </c>
      <c r="X25" s="1354"/>
      <c r="Y25" s="3781"/>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2"/>
      <c r="P26" s="3781"/>
      <c r="Q26" s="1351"/>
      <c r="R26" s="704"/>
      <c r="S26" s="705"/>
      <c r="T26" s="704"/>
      <c r="U26" s="705"/>
      <c r="V26" s="704"/>
      <c r="W26" s="705"/>
      <c r="X26" s="1354"/>
      <c r="Y26" s="3781"/>
      <c r="Z26" s="1355"/>
      <c r="AA26" s="1352">
        <v>1</v>
      </c>
      <c r="AB26" s="1352">
        <v>1</v>
      </c>
      <c r="AC26" s="1352">
        <v>1</v>
      </c>
    </row>
    <row r="27" spans="1:29" s="107" customFormat="1" ht="42.75">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0"/>
      <c r="P27" s="3781"/>
      <c r="Q27" s="1342" t="str">
        <f t="shared" si="8"/>
        <v>公共配套设施</v>
      </c>
      <c r="R27" s="700" t="s">
        <v>14</v>
      </c>
      <c r="S27" s="701">
        <f>F27</f>
        <v>100</v>
      </c>
      <c r="T27" s="700" t="s">
        <v>14</v>
      </c>
      <c r="U27" s="701">
        <f>H27</f>
        <v>100</v>
      </c>
      <c r="V27" s="700" t="s">
        <v>14</v>
      </c>
      <c r="W27" s="701">
        <f>J27</f>
        <v>100</v>
      </c>
      <c r="X27" s="702"/>
      <c r="Y27" s="3781"/>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0"/>
      <c r="P28" s="3781"/>
      <c r="Q28" s="1342"/>
      <c r="R28" s="700"/>
      <c r="S28" s="701"/>
      <c r="T28" s="700"/>
      <c r="U28" s="701"/>
      <c r="V28" s="700"/>
      <c r="W28" s="701"/>
      <c r="X28" s="702"/>
      <c r="Y28" s="3781"/>
      <c r="Z28" s="52"/>
      <c r="AA28" s="1352">
        <v>1</v>
      </c>
      <c r="AB28" s="1352">
        <v>1</v>
      </c>
      <c r="AC28" s="1352">
        <v>1</v>
      </c>
    </row>
    <row r="29" spans="1:29" s="107" customFormat="1" ht="28.5">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0"/>
      <c r="P29" s="3781"/>
      <c r="Q29" s="1342" t="str">
        <f t="shared" ref="Q29" si="9">B29</f>
        <v>基础设施水平</v>
      </c>
      <c r="R29" s="700" t="s">
        <v>14</v>
      </c>
      <c r="S29" s="701">
        <f>F29</f>
        <v>100</v>
      </c>
      <c r="T29" s="700" t="s">
        <v>14</v>
      </c>
      <c r="U29" s="701">
        <f>H29</f>
        <v>100</v>
      </c>
      <c r="V29" s="700" t="s">
        <v>14</v>
      </c>
      <c r="W29" s="701">
        <f>J29</f>
        <v>100</v>
      </c>
      <c r="X29" s="702"/>
      <c r="Y29" s="3781"/>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0"/>
      <c r="P30" s="3781"/>
      <c r="Q30" s="1342"/>
      <c r="R30" s="700"/>
      <c r="S30" s="701"/>
      <c r="T30" s="700"/>
      <c r="U30" s="701"/>
      <c r="V30" s="700"/>
      <c r="W30" s="701"/>
      <c r="X30" s="702"/>
      <c r="Y30" s="3781"/>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2"/>
      <c r="P31" s="378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81"/>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2"/>
      <c r="P32" s="3781"/>
      <c r="Q32" s="1351" t="str">
        <f t="shared" si="8"/>
        <v>毗邻道路的类型与等级</v>
      </c>
      <c r="R32" s="704" t="s">
        <v>14</v>
      </c>
      <c r="S32" s="705">
        <f t="shared" si="10"/>
        <v>100</v>
      </c>
      <c r="T32" s="704" t="s">
        <v>14</v>
      </c>
      <c r="U32" s="705">
        <f t="shared" si="11"/>
        <v>100</v>
      </c>
      <c r="V32" s="704" t="s">
        <v>14</v>
      </c>
      <c r="W32" s="705">
        <f t="shared" si="12"/>
        <v>100</v>
      </c>
      <c r="X32" s="1354"/>
      <c r="Y32" s="3781"/>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2"/>
      <c r="P33" s="3781"/>
      <c r="Q33" s="1351"/>
      <c r="R33" s="704"/>
      <c r="S33" s="705"/>
      <c r="T33" s="704"/>
      <c r="U33" s="705"/>
      <c r="V33" s="704"/>
      <c r="W33" s="705"/>
      <c r="X33" s="1354"/>
      <c r="Y33" s="3781"/>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2"/>
      <c r="P34" s="3781"/>
      <c r="Q34" s="1351" t="str">
        <f t="shared" si="8"/>
        <v>土地级别</v>
      </c>
      <c r="R34" s="704" t="s">
        <v>14</v>
      </c>
      <c r="S34" s="705">
        <f t="shared" si="10"/>
        <v>100</v>
      </c>
      <c r="T34" s="704" t="s">
        <v>14</v>
      </c>
      <c r="U34" s="705">
        <f t="shared" si="11"/>
        <v>100</v>
      </c>
      <c r="V34" s="704" t="s">
        <v>14</v>
      </c>
      <c r="W34" s="705">
        <f t="shared" si="12"/>
        <v>100</v>
      </c>
      <c r="X34" s="1354"/>
      <c r="Y34" s="3781"/>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2"/>
      <c r="P35" s="3781"/>
      <c r="Q35" s="1351">
        <f t="shared" si="8"/>
        <v>111</v>
      </c>
      <c r="R35" s="704" t="s">
        <v>14</v>
      </c>
      <c r="S35" s="705">
        <f t="shared" si="10"/>
        <v>100</v>
      </c>
      <c r="T35" s="704" t="s">
        <v>14</v>
      </c>
      <c r="U35" s="705">
        <f t="shared" si="11"/>
        <v>100</v>
      </c>
      <c r="V35" s="704" t="s">
        <v>14</v>
      </c>
      <c r="W35" s="705">
        <f t="shared" si="12"/>
        <v>100</v>
      </c>
      <c r="X35" s="1354"/>
      <c r="Y35" s="3781"/>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2"/>
      <c r="P36" s="3834" t="s">
        <v>1695</v>
      </c>
      <c r="Q36" s="1351">
        <f t="shared" si="8"/>
        <v>111</v>
      </c>
      <c r="R36" s="704" t="s">
        <v>14</v>
      </c>
      <c r="S36" s="705">
        <f t="shared" si="10"/>
        <v>100</v>
      </c>
      <c r="T36" s="704" t="s">
        <v>14</v>
      </c>
      <c r="U36" s="705">
        <f t="shared" si="11"/>
        <v>100</v>
      </c>
      <c r="V36" s="704" t="s">
        <v>14</v>
      </c>
      <c r="W36" s="705">
        <f t="shared" si="12"/>
        <v>100</v>
      </c>
      <c r="X36" s="1354"/>
      <c r="Y36" s="3785"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3"/>
      <c r="P37" s="3785"/>
      <c r="Q37" s="1351">
        <f t="shared" si="8"/>
        <v>111</v>
      </c>
      <c r="R37" s="707" t="s">
        <v>14</v>
      </c>
      <c r="S37" s="708">
        <f t="shared" si="10"/>
        <v>100</v>
      </c>
      <c r="T37" s="707" t="s">
        <v>14</v>
      </c>
      <c r="U37" s="708">
        <f t="shared" si="11"/>
        <v>100</v>
      </c>
      <c r="V37" s="707" t="s">
        <v>14</v>
      </c>
      <c r="W37" s="708">
        <f t="shared" si="12"/>
        <v>100</v>
      </c>
      <c r="X37" s="709"/>
      <c r="Y37" s="3785"/>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2"/>
      <c r="P38" s="3785"/>
      <c r="Q38" s="1351" t="str">
        <f>B38</f>
        <v>宗地面积</v>
      </c>
      <c r="R38" s="704" t="s">
        <v>14</v>
      </c>
      <c r="S38" s="705" t="e">
        <f t="shared" si="10"/>
        <v>#N/A</v>
      </c>
      <c r="T38" s="704" t="s">
        <v>14</v>
      </c>
      <c r="U38" s="705" t="e">
        <f t="shared" si="11"/>
        <v>#N/A</v>
      </c>
      <c r="V38" s="704" t="s">
        <v>14</v>
      </c>
      <c r="W38" s="705" t="e">
        <f t="shared" si="12"/>
        <v>#N/A</v>
      </c>
      <c r="X38" s="1354"/>
      <c r="Y38" s="3785"/>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2"/>
      <c r="P39" s="3785"/>
      <c r="Q39" s="1351" t="str">
        <f t="shared" ref="Q39:Q45" si="14">B39</f>
        <v>宗地形状</v>
      </c>
      <c r="R39" s="704" t="s">
        <v>14</v>
      </c>
      <c r="S39" s="705">
        <f t="shared" si="10"/>
        <v>100</v>
      </c>
      <c r="T39" s="704" t="s">
        <v>14</v>
      </c>
      <c r="U39" s="705">
        <f t="shared" si="11"/>
        <v>100</v>
      </c>
      <c r="V39" s="704" t="s">
        <v>14</v>
      </c>
      <c r="W39" s="705">
        <f t="shared" si="12"/>
        <v>100</v>
      </c>
      <c r="X39" s="1354"/>
      <c r="Y39" s="3785"/>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2"/>
      <c r="P40" s="3785"/>
      <c r="Q40" s="1351" t="str">
        <f t="shared" si="14"/>
        <v>临街宽度及深度</v>
      </c>
      <c r="R40" s="704" t="s">
        <v>14</v>
      </c>
      <c r="S40" s="705">
        <f t="shared" si="10"/>
        <v>100</v>
      </c>
      <c r="T40" s="704" t="s">
        <v>14</v>
      </c>
      <c r="U40" s="705">
        <f t="shared" si="11"/>
        <v>100</v>
      </c>
      <c r="V40" s="704" t="s">
        <v>14</v>
      </c>
      <c r="W40" s="705">
        <f t="shared" si="12"/>
        <v>100</v>
      </c>
      <c r="X40" s="1354"/>
      <c r="Y40" s="3785"/>
      <c r="Z40" s="1355" t="str">
        <f t="shared" si="13"/>
        <v>临街宽度及深度</v>
      </c>
      <c r="AA40" s="1352">
        <f t="shared" si="3"/>
        <v>1</v>
      </c>
      <c r="AB40" s="1352">
        <f t="shared" si="4"/>
        <v>1</v>
      </c>
      <c r="AC40" s="1352">
        <f t="shared" si="5"/>
        <v>1</v>
      </c>
    </row>
    <row r="41" spans="1:29" s="107"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0"/>
      <c r="P41" s="3785"/>
      <c r="Q41" s="1351" t="str">
        <f t="shared" si="14"/>
        <v>宗地开发程度</v>
      </c>
      <c r="R41" s="700" t="s">
        <v>14</v>
      </c>
      <c r="S41" s="701">
        <f t="shared" si="10"/>
        <v>100</v>
      </c>
      <c r="T41" s="700" t="s">
        <v>14</v>
      </c>
      <c r="U41" s="701">
        <f t="shared" si="11"/>
        <v>100</v>
      </c>
      <c r="V41" s="700" t="s">
        <v>14</v>
      </c>
      <c r="W41" s="701">
        <f t="shared" si="12"/>
        <v>100</v>
      </c>
      <c r="X41" s="702"/>
      <c r="Y41" s="3785"/>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2"/>
      <c r="P42" s="3785" t="s">
        <v>1695</v>
      </c>
      <c r="Q42" s="1351" t="str">
        <f t="shared" si="14"/>
        <v>工程地质条件</v>
      </c>
      <c r="R42" s="704" t="s">
        <v>14</v>
      </c>
      <c r="S42" s="705">
        <f t="shared" si="10"/>
        <v>100</v>
      </c>
      <c r="T42" s="704" t="s">
        <v>14</v>
      </c>
      <c r="U42" s="705">
        <f t="shared" si="11"/>
        <v>100</v>
      </c>
      <c r="V42" s="704" t="s">
        <v>14</v>
      </c>
      <c r="W42" s="705">
        <f t="shared" si="12"/>
        <v>100</v>
      </c>
      <c r="X42" s="1354"/>
      <c r="Y42" s="3785"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2"/>
      <c r="P43" s="3785"/>
      <c r="Q43" s="1351">
        <f t="shared" si="14"/>
        <v>111</v>
      </c>
      <c r="R43" s="704" t="s">
        <v>14</v>
      </c>
      <c r="S43" s="705">
        <f t="shared" si="10"/>
        <v>100</v>
      </c>
      <c r="T43" s="704" t="s">
        <v>14</v>
      </c>
      <c r="U43" s="705">
        <f t="shared" si="11"/>
        <v>100</v>
      </c>
      <c r="V43" s="704" t="s">
        <v>14</v>
      </c>
      <c r="W43" s="705">
        <f t="shared" si="12"/>
        <v>100</v>
      </c>
      <c r="X43" s="1354"/>
      <c r="Y43" s="3785"/>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2"/>
      <c r="P44" s="3785"/>
      <c r="Q44" s="1351">
        <f t="shared" si="14"/>
        <v>111</v>
      </c>
      <c r="R44" s="704" t="s">
        <v>14</v>
      </c>
      <c r="S44" s="705">
        <f t="shared" si="10"/>
        <v>100</v>
      </c>
      <c r="T44" s="704" t="s">
        <v>14</v>
      </c>
      <c r="U44" s="705">
        <f t="shared" si="11"/>
        <v>100</v>
      </c>
      <c r="V44" s="704" t="s">
        <v>14</v>
      </c>
      <c r="W44" s="705">
        <f t="shared" si="12"/>
        <v>100</v>
      </c>
      <c r="X44" s="1354"/>
      <c r="Y44" s="3785"/>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3"/>
      <c r="P45" s="3785"/>
      <c r="Q45" s="1351">
        <f t="shared" si="14"/>
        <v>111</v>
      </c>
      <c r="R45" s="707" t="s">
        <v>14</v>
      </c>
      <c r="S45" s="708">
        <f t="shared" si="10"/>
        <v>100</v>
      </c>
      <c r="T45" s="707" t="s">
        <v>14</v>
      </c>
      <c r="U45" s="708">
        <f t="shared" si="11"/>
        <v>100</v>
      </c>
      <c r="V45" s="707" t="s">
        <v>14</v>
      </c>
      <c r="W45" s="708">
        <f t="shared" si="12"/>
        <v>100</v>
      </c>
      <c r="X45" s="709"/>
      <c r="Y45" s="3785"/>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3"/>
      <c r="M46" s="2724"/>
      <c r="N46" s="2715"/>
      <c r="O46" s="2724"/>
      <c r="P46" s="3787" t="str">
        <f>A46</f>
        <v>成交单价</v>
      </c>
      <c r="Q46" s="3787"/>
      <c r="R46" s="3748">
        <f>E46</f>
        <v>0</v>
      </c>
      <c r="S46" s="3748"/>
      <c r="T46" s="3748">
        <f>G46</f>
        <v>0</v>
      </c>
      <c r="U46" s="3748"/>
      <c r="V46" s="3748">
        <f>I46</f>
        <v>0</v>
      </c>
      <c r="W46" s="3748"/>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3"/>
      <c r="M47" s="2724"/>
      <c r="N47" s="2724"/>
      <c r="O47" s="2724"/>
      <c r="P47" s="3787" t="str">
        <f>A47</f>
        <v>比较价值（元/平方米）</v>
      </c>
      <c r="Q47" s="3787"/>
      <c r="R47" s="3839" t="e">
        <f>ROUND(PRODUCT(R46,AA7:AA45),0)</f>
        <v>#DIV/0!</v>
      </c>
      <c r="S47" s="3839"/>
      <c r="T47" s="3839" t="e">
        <f>ROUND(PRODUCT(T46,AB7:AB45),0)</f>
        <v>#DIV/0!</v>
      </c>
      <c r="U47" s="3839"/>
      <c r="V47" s="3839" t="e">
        <f>ROUND(PRODUCT(V46,AC7:AC45),0)</f>
        <v>#DIV/0!</v>
      </c>
      <c r="W47" s="3839"/>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3"/>
      <c r="M48" s="2724"/>
      <c r="N48" s="2724"/>
      <c r="O48" s="2724"/>
      <c r="P48" s="3789" t="str">
        <f>A48</f>
        <v>估价对象XX用房的比较价值（楼面单价，元/平方米）</v>
      </c>
      <c r="Q48" s="3790"/>
      <c r="R48" s="3840" t="e">
        <f>ROUND(IF(D47="简单平均",AVERAGE(R47:W47),R47*F47+T47*H47+V47*J47),0)</f>
        <v>#DIV/0!</v>
      </c>
      <c r="S48" s="3840"/>
      <c r="T48" s="3840"/>
      <c r="U48" s="3840"/>
      <c r="V48" s="3840"/>
      <c r="W48" s="384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1880</v>
      </c>
      <c r="B55" s="632" t="s">
        <v>1881</v>
      </c>
      <c r="C55" s="1982" t="s">
        <v>1882</v>
      </c>
      <c r="D55" s="1983" t="s">
        <v>1883</v>
      </c>
      <c r="E55" s="633" t="s">
        <v>1884</v>
      </c>
      <c r="F55" s="889" t="s">
        <v>1885</v>
      </c>
      <c r="G55" s="3764" t="s">
        <v>1886</v>
      </c>
      <c r="H55" s="3841"/>
      <c r="I55" s="134"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1889</v>
      </c>
      <c r="B56" s="636" t="e">
        <f>C48</f>
        <v>#DIV/0!</v>
      </c>
      <c r="C56" s="637">
        <v>1</v>
      </c>
      <c r="D56" s="943">
        <v>1</v>
      </c>
      <c r="E56" s="637">
        <f>'数据-汇总表'!E8+'数据-汇总表'!E9</f>
        <v>57439.57</v>
      </c>
      <c r="F56" s="885" t="e">
        <f t="shared" ref="F56:F64" si="15">ROUND(B56*E56/10000,0)</f>
        <v>#DIV/0!</v>
      </c>
      <c r="G56" s="3763"/>
      <c r="H56" s="3787"/>
      <c r="I56" s="890">
        <v>1</v>
      </c>
      <c r="J56" s="893">
        <v>1</v>
      </c>
      <c r="K56" s="2727"/>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1890</v>
      </c>
      <c r="B57" s="217" t="e">
        <f>ROUND($C$48*C57*D57,0)</f>
        <v>#DIV/0!</v>
      </c>
      <c r="C57" s="170">
        <f t="shared" ref="C57:C64" si="16">IF($C$55="北京市系数",I57,J57)</f>
        <v>0.5</v>
      </c>
      <c r="D57" s="944">
        <v>0.25</v>
      </c>
      <c r="E57" s="641"/>
      <c r="F57" s="885" t="e">
        <f t="shared" si="15"/>
        <v>#DIV/0!</v>
      </c>
      <c r="G57" s="3004" t="s">
        <v>1891</v>
      </c>
      <c r="H57" s="886" t="str">
        <f>项目基本情况!B37</f>
        <v>九级</v>
      </c>
      <c r="I57" s="890">
        <f>SUMIF(修正!A57:A68,H57,修正!B57:B68)</f>
        <v>0.5</v>
      </c>
      <c r="J57" s="894"/>
      <c r="K57" s="2724"/>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1892</v>
      </c>
      <c r="B58" s="217" t="e">
        <f t="shared" ref="B58:B64" si="17">ROUND($C$48*C58*D58,0)</f>
        <v>#DIV/0!</v>
      </c>
      <c r="C58" s="170">
        <f t="shared" si="16"/>
        <v>0.2</v>
      </c>
      <c r="D58" s="944">
        <v>0.25</v>
      </c>
      <c r="E58" s="641"/>
      <c r="F58" s="885" t="e">
        <f t="shared" si="15"/>
        <v>#DIV/0!</v>
      </c>
      <c r="G58" s="3005"/>
      <c r="H58" s="886" t="str">
        <f>项目基本情况!B37</f>
        <v>九级</v>
      </c>
      <c r="I58" s="890">
        <f>SUMIF(修正!A57:A68,H58,修正!C57:C68)</f>
        <v>0.2</v>
      </c>
      <c r="J58" s="894"/>
      <c r="K58" s="2727"/>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1893</v>
      </c>
      <c r="B59" s="217" t="e">
        <f t="shared" si="17"/>
        <v>#DIV/0!</v>
      </c>
      <c r="C59" s="170">
        <f t="shared" si="16"/>
        <v>0.2</v>
      </c>
      <c r="D59" s="944">
        <v>0.25</v>
      </c>
      <c r="E59" s="641"/>
      <c r="F59" s="885" t="e">
        <f t="shared" si="15"/>
        <v>#DIV/0!</v>
      </c>
      <c r="G59" s="3005"/>
      <c r="H59" s="886" t="str">
        <f>项目基本情况!B37</f>
        <v>九级</v>
      </c>
      <c r="I59" s="890">
        <f>SUMIF(修正!A57:A68,H59,修正!D57:D68)</f>
        <v>0.2</v>
      </c>
      <c r="J59" s="894"/>
      <c r="K59" s="2724"/>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4"/>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7"/>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4"/>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1900</v>
      </c>
      <c r="B63" s="217" t="e">
        <f t="shared" si="17"/>
        <v>#DIV/0!</v>
      </c>
      <c r="C63" s="170">
        <f t="shared" si="16"/>
        <v>0.1</v>
      </c>
      <c r="D63" s="944">
        <v>0.25</v>
      </c>
      <c r="E63" s="216">
        <f>'数据-汇总表'!E14</f>
        <v>0</v>
      </c>
      <c r="F63" s="885" t="e">
        <f t="shared" si="15"/>
        <v>#DIV/0!</v>
      </c>
      <c r="G63" s="1986" t="s">
        <v>1891</v>
      </c>
      <c r="H63" s="886" t="str">
        <f>项目基本情况!B37</f>
        <v>九级</v>
      </c>
      <c r="I63" s="890">
        <f>SUMIF(修正!A57:A68,H63,修正!G57:G68)</f>
        <v>0.1</v>
      </c>
      <c r="J63" s="894"/>
      <c r="K63" s="2727"/>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4"/>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1902</v>
      </c>
      <c r="B65" s="643" t="s">
        <v>22</v>
      </c>
      <c r="C65" s="643" t="s">
        <v>23</v>
      </c>
      <c r="D65" s="643" t="s">
        <v>392</v>
      </c>
      <c r="E65" s="643">
        <f>IF(B46="楼面地价",SUM(E56:E64),'数据-汇总表'!D3)</f>
        <v>57439.57</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2023-6-1</v>
      </c>
      <c r="D67" s="691">
        <f>EDATE(C67,-3)</f>
        <v>44986</v>
      </c>
      <c r="E67" s="691">
        <f>EDATE(D67,-3)</f>
        <v>44896</v>
      </c>
      <c r="F67" s="691">
        <f t="shared" ref="F67:O67" si="18">EDATE(E67,-3)</f>
        <v>44805</v>
      </c>
      <c r="G67" s="691">
        <f t="shared" si="18"/>
        <v>44713</v>
      </c>
      <c r="H67" s="691">
        <f t="shared" si="18"/>
        <v>44621</v>
      </c>
      <c r="I67" s="691">
        <f t="shared" si="18"/>
        <v>44531</v>
      </c>
      <c r="J67" s="691">
        <f t="shared" si="18"/>
        <v>44440</v>
      </c>
      <c r="K67" s="691">
        <f t="shared" si="18"/>
        <v>44348</v>
      </c>
      <c r="L67" s="691">
        <f t="shared" si="18"/>
        <v>44256</v>
      </c>
      <c r="M67" s="691">
        <f t="shared" si="18"/>
        <v>44166</v>
      </c>
      <c r="N67" s="691">
        <f t="shared" si="18"/>
        <v>44075</v>
      </c>
      <c r="O67" s="691">
        <f t="shared" si="18"/>
        <v>43983</v>
      </c>
      <c r="P67" s="2724"/>
      <c r="Q67" s="2724"/>
      <c r="R67" s="2724"/>
      <c r="S67" s="2724"/>
      <c r="T67" s="2724"/>
      <c r="U67" s="2724"/>
      <c r="V67" s="2724"/>
      <c r="W67" s="2724"/>
      <c r="X67" s="2724"/>
      <c r="Y67" s="2724"/>
      <c r="Z67" s="2724"/>
      <c r="AA67" s="2724"/>
      <c r="AB67" s="2724"/>
      <c r="AC67" s="2724"/>
    </row>
    <row r="68" spans="1:29" ht="21.75" thickBot="1">
      <c r="A68" s="693" t="s">
        <v>1797</v>
      </c>
      <c r="B68" s="689"/>
      <c r="C68" s="694"/>
      <c r="D68" s="694"/>
      <c r="E68" s="694"/>
      <c r="F68" s="695"/>
      <c r="G68" s="695"/>
      <c r="H68" s="694"/>
      <c r="I68" s="694"/>
      <c r="J68" s="939"/>
      <c r="K68" s="940"/>
      <c r="L68" s="941"/>
      <c r="M68" s="939"/>
      <c r="N68" s="2767"/>
      <c r="O68" s="2767"/>
      <c r="P68" s="2767"/>
      <c r="Q68" s="2738"/>
      <c r="R68" s="2724"/>
      <c r="S68" s="2724"/>
      <c r="T68" s="2724"/>
      <c r="U68" s="2724"/>
      <c r="V68" s="2724"/>
      <c r="W68" s="2724"/>
      <c r="X68" s="2724"/>
      <c r="Y68" s="2724"/>
      <c r="Z68" s="2724"/>
      <c r="AA68" s="2724"/>
      <c r="AB68" s="2724"/>
      <c r="AC68" s="2724"/>
    </row>
    <row r="69" spans="1:29" s="456" customFormat="1" ht="15">
      <c r="A69" s="1988" t="s">
        <v>1903</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4"/>
      <c r="Q69" s="2739"/>
      <c r="R69" s="2739"/>
      <c r="S69" s="2739"/>
      <c r="T69" s="2739"/>
      <c r="U69" s="2739"/>
      <c r="V69" s="2739"/>
      <c r="W69" s="2739"/>
      <c r="X69" s="2739"/>
      <c r="Y69" s="2739"/>
      <c r="Z69" s="2739"/>
      <c r="AA69" s="2739"/>
      <c r="AB69" s="2739"/>
      <c r="AC69" s="2739"/>
    </row>
    <row r="70" spans="1:29" s="107"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1715</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1680</v>
      </c>
      <c r="B72" s="458"/>
      <c r="C72" s="470" t="s">
        <v>1775</v>
      </c>
      <c r="D72" s="471"/>
      <c r="E72" s="471"/>
      <c r="F72" s="471"/>
      <c r="G72" s="471"/>
      <c r="H72" s="471"/>
      <c r="I72" s="471"/>
      <c r="J72" s="471"/>
      <c r="K72" s="471"/>
      <c r="L72" s="472"/>
      <c r="M72" s="473"/>
      <c r="N72" s="2750"/>
      <c r="O72" s="2750"/>
      <c r="P72" s="2775"/>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0"/>
      <c r="O73" s="2750"/>
      <c r="P73" s="2738"/>
      <c r="Q73" s="2738"/>
      <c r="R73" s="2660"/>
      <c r="S73" s="2660"/>
      <c r="T73" s="2660"/>
      <c r="U73" s="2660"/>
      <c r="V73" s="2660"/>
      <c r="W73" s="2660"/>
      <c r="X73" s="2660"/>
      <c r="Y73" s="2660"/>
      <c r="Z73" s="2660"/>
      <c r="AA73" s="2660"/>
      <c r="AB73" s="2660"/>
      <c r="AC73" s="2660"/>
    </row>
    <row r="74" spans="1:29">
      <c r="A74" s="475" t="s">
        <v>1718</v>
      </c>
      <c r="B74" s="476" t="s">
        <v>1684</v>
      </c>
      <c r="C74" s="478"/>
      <c r="D74" s="478"/>
      <c r="E74" s="478"/>
      <c r="F74" s="478"/>
      <c r="G74" s="478"/>
      <c r="H74" s="478"/>
      <c r="I74" s="478"/>
      <c r="J74" s="478"/>
      <c r="K74" s="479"/>
      <c r="L74" s="480"/>
      <c r="M74" s="481"/>
      <c r="N74" s="2751"/>
      <c r="O74" s="2751"/>
      <c r="P74" s="2776"/>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2"/>
      <c r="O75" s="2752"/>
      <c r="P75" s="2776"/>
      <c r="Q75" s="2738"/>
      <c r="R75" s="2724"/>
      <c r="S75" s="2724"/>
      <c r="T75" s="2724"/>
      <c r="U75" s="2724"/>
      <c r="V75" s="2724"/>
      <c r="W75" s="2724"/>
      <c r="X75" s="2724"/>
      <c r="Y75" s="2724"/>
      <c r="Z75" s="2724"/>
      <c r="AA75" s="2724"/>
      <c r="AB75" s="2724"/>
      <c r="AC75" s="2724"/>
    </row>
    <row r="76" spans="1:29" ht="27.75" thickTop="1">
      <c r="A76" s="482"/>
      <c r="B76" s="486" t="s">
        <v>1687</v>
      </c>
      <c r="C76" s="487"/>
      <c r="D76" s="487"/>
      <c r="E76" s="487"/>
      <c r="F76" s="487"/>
      <c r="G76" s="487"/>
      <c r="H76" s="487"/>
      <c r="I76" s="487"/>
      <c r="J76" s="487"/>
      <c r="K76" s="488"/>
      <c r="L76" s="489"/>
      <c r="M76" s="490"/>
      <c r="N76" s="2751"/>
      <c r="O76" s="2751"/>
      <c r="P76" s="2776"/>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2"/>
      <c r="O77" s="2752"/>
      <c r="P77" s="2776"/>
      <c r="Q77" s="2738"/>
      <c r="R77" s="2724"/>
      <c r="S77" s="2724"/>
      <c r="T77" s="2724"/>
      <c r="U77" s="2724"/>
      <c r="V77" s="2724"/>
      <c r="W77" s="2724"/>
      <c r="X77" s="2724"/>
      <c r="Y77" s="2724"/>
      <c r="Z77" s="2724"/>
      <c r="AA77" s="2724"/>
      <c r="AB77" s="2724"/>
      <c r="AC77" s="2724"/>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2"/>
      <c r="O78" s="2752"/>
      <c r="P78" s="2776"/>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1"/>
      <c r="O79" s="2751"/>
      <c r="P79" s="2776"/>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2"/>
      <c r="O80" s="2752"/>
      <c r="P80" s="2776"/>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3"/>
      <c r="O81" s="2753"/>
      <c r="P81" s="2777"/>
      <c r="Q81" s="2744"/>
      <c r="R81" s="2745"/>
      <c r="S81" s="2745"/>
      <c r="T81" s="2745"/>
      <c r="U81" s="2745"/>
      <c r="V81" s="2745"/>
      <c r="W81" s="2745"/>
      <c r="X81" s="2745"/>
      <c r="Y81" s="2745"/>
      <c r="Z81" s="2745"/>
      <c r="AA81" s="2745"/>
      <c r="AB81" s="2745"/>
      <c r="AC81" s="2745"/>
    </row>
    <row r="82" spans="1:29" s="421" customFormat="1" ht="15.75" thickBot="1">
      <c r="A82" s="501"/>
      <c r="B82" s="491"/>
      <c r="C82" s="508"/>
      <c r="D82" s="484"/>
      <c r="E82" s="484"/>
      <c r="F82" s="484"/>
      <c r="G82" s="484"/>
      <c r="H82" s="484"/>
      <c r="I82" s="484"/>
      <c r="J82" s="484"/>
      <c r="K82" s="484"/>
      <c r="L82" s="484"/>
      <c r="M82" s="485"/>
      <c r="N82" s="2752"/>
      <c r="O82" s="2752"/>
      <c r="P82" s="2777"/>
      <c r="Q82" s="2744"/>
      <c r="R82" s="2745"/>
      <c r="S82" s="2745"/>
      <c r="T82" s="2745"/>
      <c r="U82" s="2745"/>
      <c r="V82" s="2745"/>
      <c r="W82" s="2745"/>
      <c r="X82" s="2745"/>
      <c r="Y82" s="2745"/>
      <c r="Z82" s="2745"/>
      <c r="AA82" s="2745"/>
      <c r="AB82" s="2745"/>
      <c r="AC82" s="2745"/>
    </row>
    <row r="83" spans="1:29" s="421" customFormat="1" ht="15.75" thickTop="1">
      <c r="A83" s="501"/>
      <c r="B83" s="486">
        <f>B13</f>
        <v>111</v>
      </c>
      <c r="C83" s="502"/>
      <c r="D83" s="502"/>
      <c r="E83" s="502"/>
      <c r="F83" s="502"/>
      <c r="G83" s="502"/>
      <c r="H83" s="503"/>
      <c r="I83" s="503"/>
      <c r="J83" s="503"/>
      <c r="K83" s="503"/>
      <c r="L83" s="504"/>
      <c r="M83" s="505"/>
      <c r="N83" s="2753"/>
      <c r="O83" s="2753"/>
      <c r="P83" s="2722"/>
      <c r="Q83" s="2747"/>
      <c r="R83" s="2745"/>
      <c r="S83" s="2745"/>
      <c r="T83" s="2745"/>
      <c r="U83" s="2745"/>
      <c r="V83" s="2745"/>
      <c r="W83" s="2745"/>
      <c r="X83" s="2745"/>
      <c r="Y83" s="2745"/>
      <c r="Z83" s="2745"/>
      <c r="AA83" s="2745"/>
      <c r="AB83" s="2745"/>
      <c r="AC83" s="2745"/>
    </row>
    <row r="84" spans="1:29" s="421" customFormat="1" ht="15.75" thickBot="1">
      <c r="A84" s="501"/>
      <c r="B84" s="491"/>
      <c r="C84" s="508"/>
      <c r="D84" s="508"/>
      <c r="E84" s="508"/>
      <c r="F84" s="508"/>
      <c r="G84" s="508"/>
      <c r="H84" s="510"/>
      <c r="I84" s="510"/>
      <c r="J84" s="510"/>
      <c r="K84" s="510"/>
      <c r="L84" s="510"/>
      <c r="M84" s="511"/>
      <c r="N84" s="2753"/>
      <c r="O84" s="2753"/>
      <c r="P84" s="2777"/>
      <c r="Q84" s="2744"/>
      <c r="R84" s="2745"/>
      <c r="S84" s="2745"/>
      <c r="T84" s="2745"/>
      <c r="U84" s="2745"/>
      <c r="V84" s="2745"/>
      <c r="W84" s="2745"/>
      <c r="X84" s="2745"/>
      <c r="Y84" s="2745"/>
      <c r="Z84" s="2745"/>
      <c r="AA84" s="2745"/>
      <c r="AB84" s="2745"/>
      <c r="AC84" s="2745"/>
    </row>
    <row r="85" spans="1:29" s="421" customFormat="1" ht="15.75" thickTop="1">
      <c r="A85" s="501"/>
      <c r="B85" s="494">
        <f>B14</f>
        <v>111</v>
      </c>
      <c r="C85" s="471"/>
      <c r="D85" s="471"/>
      <c r="E85" s="471"/>
      <c r="F85" s="471"/>
      <c r="G85" s="471"/>
      <c r="H85" s="512"/>
      <c r="I85" s="512"/>
      <c r="J85" s="512"/>
      <c r="K85" s="512"/>
      <c r="L85" s="513"/>
      <c r="M85" s="514"/>
      <c r="N85" s="2753"/>
      <c r="O85" s="2753"/>
      <c r="P85" s="2782"/>
      <c r="Q85" s="2744"/>
      <c r="R85" s="2745"/>
      <c r="S85" s="2745"/>
      <c r="T85" s="2745"/>
      <c r="U85" s="2745"/>
      <c r="V85" s="2745"/>
      <c r="W85" s="2745"/>
      <c r="X85" s="2745"/>
      <c r="Y85" s="2745"/>
      <c r="Z85" s="2745"/>
      <c r="AA85" s="2745"/>
      <c r="AB85" s="2745"/>
      <c r="AC85" s="2745"/>
    </row>
    <row r="86" spans="1:29" s="421" customFormat="1" ht="15.75" thickBot="1">
      <c r="A86" s="516"/>
      <c r="B86" s="517"/>
      <c r="C86" s="518"/>
      <c r="D86" s="518"/>
      <c r="E86" s="518"/>
      <c r="F86" s="518"/>
      <c r="G86" s="518"/>
      <c r="H86" s="519"/>
      <c r="I86" s="519"/>
      <c r="J86" s="519"/>
      <c r="K86" s="519"/>
      <c r="L86" s="519"/>
      <c r="M86" s="520"/>
      <c r="N86" s="2753"/>
      <c r="O86" s="2753"/>
      <c r="P86" s="2777"/>
      <c r="Q86" s="2744"/>
      <c r="R86" s="2745"/>
      <c r="S86" s="2745"/>
      <c r="T86" s="2745"/>
      <c r="U86" s="2745"/>
      <c r="V86" s="2745"/>
      <c r="W86" s="2745"/>
      <c r="X86" s="2745"/>
      <c r="Y86" s="2745"/>
      <c r="Z86" s="2745"/>
      <c r="AA86" s="2745"/>
      <c r="AB86" s="2745"/>
      <c r="AC86" s="2745"/>
    </row>
    <row r="87" spans="1:29">
      <c r="A87" s="475" t="s">
        <v>1689</v>
      </c>
      <c r="B87" s="476" t="s">
        <v>1719</v>
      </c>
      <c r="C87" s="521" t="s">
        <v>1720</v>
      </c>
      <c r="D87" s="521" t="s">
        <v>1721</v>
      </c>
      <c r="E87" s="521" t="s">
        <v>1722</v>
      </c>
      <c r="F87" s="521" t="s">
        <v>1723</v>
      </c>
      <c r="G87" s="521" t="s">
        <v>1724</v>
      </c>
      <c r="H87" s="477"/>
      <c r="I87" s="477"/>
      <c r="J87" s="477"/>
      <c r="K87" s="522"/>
      <c r="L87" s="523"/>
      <c r="M87" s="524"/>
      <c r="N87" s="2751"/>
      <c r="O87" s="2751"/>
      <c r="P87" s="2778"/>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2"/>
      <c r="O88" s="2752"/>
      <c r="P88" s="2776"/>
      <c r="Q88" s="2738"/>
      <c r="R88" s="2724"/>
      <c r="S88" s="2724"/>
      <c r="T88" s="2724"/>
      <c r="U88" s="2724"/>
      <c r="V88" s="2724"/>
      <c r="W88" s="2724"/>
      <c r="X88" s="2724"/>
      <c r="Y88" s="2724"/>
      <c r="Z88" s="2724"/>
      <c r="AA88" s="2724"/>
      <c r="AB88" s="2724"/>
      <c r="AC88" s="2724"/>
    </row>
    <row r="89" spans="1:29" ht="15.75" thickTop="1">
      <c r="A89" s="482"/>
      <c r="B89" s="486" t="s">
        <v>1905</v>
      </c>
      <c r="C89" s="526" t="s">
        <v>1720</v>
      </c>
      <c r="D89" s="526" t="s">
        <v>1721</v>
      </c>
      <c r="E89" s="526" t="s">
        <v>1722</v>
      </c>
      <c r="F89" s="526" t="s">
        <v>1723</v>
      </c>
      <c r="G89" s="526" t="s">
        <v>1724</v>
      </c>
      <c r="H89" s="487"/>
      <c r="I89" s="487"/>
      <c r="J89" s="487"/>
      <c r="K89" s="488"/>
      <c r="L89" s="489"/>
      <c r="M89" s="490"/>
      <c r="N89" s="2751"/>
      <c r="O89" s="2751"/>
      <c r="P89" s="2776"/>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2"/>
      <c r="O90" s="2752"/>
      <c r="P90" s="2776"/>
      <c r="Q90" s="2738"/>
      <c r="R90" s="2724"/>
      <c r="S90" s="2724"/>
      <c r="T90" s="2724"/>
      <c r="U90" s="2724"/>
      <c r="V90" s="2724"/>
      <c r="W90" s="2724"/>
      <c r="X90" s="2724"/>
      <c r="Y90" s="2724"/>
      <c r="Z90" s="2724"/>
      <c r="AA90" s="2724"/>
      <c r="AB90" s="2724"/>
      <c r="AC90" s="2724"/>
    </row>
    <row r="91" spans="1:29" ht="15.75" thickTop="1">
      <c r="A91" s="482"/>
      <c r="B91" s="486" t="s">
        <v>1820</v>
      </c>
      <c r="C91" s="526" t="s">
        <v>1720</v>
      </c>
      <c r="D91" s="526" t="s">
        <v>1721</v>
      </c>
      <c r="E91" s="526" t="s">
        <v>1722</v>
      </c>
      <c r="F91" s="526" t="s">
        <v>1723</v>
      </c>
      <c r="G91" s="526" t="s">
        <v>1724</v>
      </c>
      <c r="H91" s="487"/>
      <c r="I91" s="487"/>
      <c r="J91" s="487"/>
      <c r="K91" s="488"/>
      <c r="L91" s="489"/>
      <c r="M91" s="490"/>
      <c r="N91" s="2751"/>
      <c r="O91" s="2751"/>
      <c r="P91" s="2776"/>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2"/>
      <c r="O92" s="2752"/>
      <c r="P92" s="2776"/>
      <c r="Q92" s="2738"/>
      <c r="R92" s="2724"/>
      <c r="S92" s="2724"/>
      <c r="T92" s="2724"/>
      <c r="U92" s="2724"/>
      <c r="V92" s="2724"/>
      <c r="W92" s="2724"/>
      <c r="X92" s="2724"/>
      <c r="Y92" s="2724"/>
      <c r="Z92" s="2724"/>
      <c r="AA92" s="2724"/>
      <c r="AB92" s="2724"/>
      <c r="AC92" s="2724"/>
    </row>
    <row r="93" spans="1:29" ht="15.75" thickTop="1">
      <c r="A93" s="482"/>
      <c r="B93" s="486" t="s">
        <v>1725</v>
      </c>
      <c r="C93" s="526" t="s">
        <v>1720</v>
      </c>
      <c r="D93" s="526" t="s">
        <v>1721</v>
      </c>
      <c r="E93" s="526" t="s">
        <v>1722</v>
      </c>
      <c r="F93" s="526" t="s">
        <v>1723</v>
      </c>
      <c r="G93" s="526" t="s">
        <v>1724</v>
      </c>
      <c r="H93" s="487"/>
      <c r="I93" s="487"/>
      <c r="J93" s="487"/>
      <c r="K93" s="488"/>
      <c r="L93" s="489"/>
      <c r="M93" s="490"/>
      <c r="N93" s="2751"/>
      <c r="O93" s="2751"/>
      <c r="P93" s="2776"/>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2"/>
      <c r="O94" s="2752"/>
      <c r="P94" s="2776"/>
      <c r="Q94" s="2738"/>
      <c r="R94" s="2724"/>
      <c r="S94" s="2724"/>
      <c r="T94" s="2724"/>
      <c r="U94" s="2724"/>
      <c r="V94" s="2724"/>
      <c r="W94" s="2724"/>
      <c r="X94" s="2724"/>
      <c r="Y94" s="2724"/>
      <c r="Z94" s="2724"/>
      <c r="AA94" s="2724"/>
      <c r="AB94" s="2724"/>
      <c r="AC94" s="2724"/>
    </row>
    <row r="95" spans="1:29" s="107" customFormat="1" ht="15.75" thickTop="1">
      <c r="A95" s="527"/>
      <c r="B95" s="486" t="s">
        <v>1906</v>
      </c>
      <c r="C95" s="526" t="s">
        <v>1720</v>
      </c>
      <c r="D95" s="526" t="s">
        <v>1721</v>
      </c>
      <c r="E95" s="526" t="s">
        <v>1722</v>
      </c>
      <c r="F95" s="526" t="s">
        <v>1723</v>
      </c>
      <c r="G95" s="526" t="s">
        <v>1724</v>
      </c>
      <c r="H95" s="526"/>
      <c r="I95" s="526"/>
      <c r="J95" s="526"/>
      <c r="K95" s="526"/>
      <c r="L95" s="645"/>
      <c r="M95" s="569"/>
      <c r="N95" s="2750"/>
      <c r="O95" s="2750"/>
      <c r="P95" s="2776"/>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2"/>
      <c r="O96" s="2752"/>
      <c r="P96" s="2776"/>
      <c r="Q96" s="2738"/>
      <c r="R96" s="2660"/>
      <c r="S96" s="2660"/>
      <c r="T96" s="2660"/>
      <c r="U96" s="2660"/>
      <c r="V96" s="2660"/>
      <c r="W96" s="2660"/>
      <c r="X96" s="2660"/>
      <c r="Y96" s="2660"/>
      <c r="Z96" s="2660"/>
      <c r="AA96" s="2660"/>
      <c r="AB96" s="2660"/>
      <c r="AC96" s="2660"/>
    </row>
    <row r="97" spans="1:29" s="107" customFormat="1" ht="27.75" thickTop="1">
      <c r="A97" s="527"/>
      <c r="B97" s="486" t="s">
        <v>1907</v>
      </c>
      <c r="C97" s="521" t="s">
        <v>1720</v>
      </c>
      <c r="D97" s="521" t="s">
        <v>1721</v>
      </c>
      <c r="E97" s="521" t="s">
        <v>1722</v>
      </c>
      <c r="F97" s="521" t="s">
        <v>1723</v>
      </c>
      <c r="G97" s="521" t="s">
        <v>1724</v>
      </c>
      <c r="H97" s="526"/>
      <c r="I97" s="526"/>
      <c r="J97" s="526"/>
      <c r="K97" s="526"/>
      <c r="L97" s="526"/>
      <c r="M97" s="569"/>
      <c r="N97" s="2750"/>
      <c r="O97" s="2750"/>
      <c r="P97" s="2776"/>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2"/>
      <c r="O98" s="2752"/>
      <c r="P98" s="2776"/>
      <c r="Q98" s="2738"/>
      <c r="R98" s="2660"/>
      <c r="S98" s="2660"/>
      <c r="T98" s="2660"/>
      <c r="U98" s="2660"/>
      <c r="V98" s="2660"/>
      <c r="W98" s="2660"/>
      <c r="X98" s="2660"/>
      <c r="Y98" s="2660"/>
      <c r="Z98" s="2660"/>
      <c r="AA98" s="2660"/>
      <c r="AB98" s="2660"/>
      <c r="AC98" s="2660"/>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3"/>
      <c r="O99" s="2753"/>
      <c r="P99" s="2777"/>
      <c r="Q99" s="2744"/>
      <c r="R99" s="2745"/>
      <c r="S99" s="2745"/>
      <c r="T99" s="2745"/>
      <c r="U99" s="2745"/>
      <c r="V99" s="2745"/>
      <c r="W99" s="2745"/>
      <c r="X99" s="2745"/>
      <c r="Y99" s="2745"/>
      <c r="Z99" s="2745"/>
      <c r="AA99" s="2745"/>
      <c r="AB99" s="2745"/>
      <c r="AC99" s="2745"/>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3"/>
      <c r="O100" s="2753"/>
      <c r="P100" s="2777"/>
      <c r="Q100" s="2744"/>
      <c r="R100" s="2745"/>
      <c r="S100" s="2745"/>
      <c r="T100" s="2745"/>
      <c r="U100" s="2745"/>
      <c r="V100" s="2745"/>
      <c r="W100" s="2745"/>
      <c r="X100" s="2745"/>
      <c r="Y100" s="2745"/>
      <c r="Z100" s="2745"/>
      <c r="AA100" s="2745"/>
      <c r="AB100" s="2745"/>
      <c r="AC100" s="2745"/>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3"/>
      <c r="O101" s="2753"/>
      <c r="P101" s="2777"/>
      <c r="Q101" s="2744"/>
      <c r="R101" s="2745"/>
      <c r="S101" s="2745"/>
      <c r="T101" s="2745"/>
      <c r="U101" s="2745"/>
      <c r="V101" s="2745"/>
      <c r="W101" s="2745"/>
      <c r="X101" s="2745"/>
      <c r="Y101" s="2745"/>
      <c r="Z101" s="2745"/>
      <c r="AA101" s="2745"/>
      <c r="AB101" s="2745"/>
      <c r="AC101" s="2745"/>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51"/>
      <c r="O103" s="2751"/>
      <c r="P103" s="2776"/>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2"/>
      <c r="O104" s="2752"/>
      <c r="P104" s="2776"/>
      <c r="Q104" s="2738"/>
      <c r="R104" s="2724"/>
      <c r="S104" s="2724"/>
      <c r="T104" s="2724"/>
      <c r="U104" s="2724"/>
      <c r="V104" s="2724"/>
      <c r="W104" s="2724"/>
      <c r="X104" s="2724"/>
      <c r="Y104" s="2724"/>
      <c r="Z104" s="2724"/>
      <c r="AA104" s="2724"/>
      <c r="AB104" s="2724"/>
      <c r="AC104" s="2724"/>
    </row>
    <row r="105" spans="1:29" ht="27.75" thickTop="1">
      <c r="A105" s="482"/>
      <c r="B105" s="486" t="s">
        <v>1814</v>
      </c>
      <c r="C105" s="502"/>
      <c r="D105" s="502"/>
      <c r="E105" s="502"/>
      <c r="F105" s="502"/>
      <c r="G105" s="502"/>
      <c r="H105" s="531"/>
      <c r="I105" s="531"/>
      <c r="J105" s="531"/>
      <c r="K105" s="532"/>
      <c r="L105" s="533"/>
      <c r="M105" s="534"/>
      <c r="N105" s="2751"/>
      <c r="O105" s="2751"/>
      <c r="P105" s="2776"/>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2"/>
      <c r="O106" s="2752"/>
      <c r="P106" s="2776"/>
      <c r="Q106" s="2738"/>
      <c r="R106" s="2724"/>
      <c r="S106" s="2724"/>
      <c r="T106" s="2724"/>
      <c r="U106" s="2724"/>
      <c r="V106" s="2724"/>
      <c r="W106" s="2724"/>
      <c r="X106" s="2724"/>
      <c r="Y106" s="2724"/>
      <c r="Z106" s="2724"/>
      <c r="AA106" s="2724"/>
      <c r="AB106" s="2724"/>
      <c r="AC106" s="2724"/>
    </row>
    <row r="107" spans="1:29" ht="15.75" thickTop="1">
      <c r="A107" s="482"/>
      <c r="B107" s="486" t="s">
        <v>1872</v>
      </c>
      <c r="C107" s="531"/>
      <c r="D107" s="531"/>
      <c r="E107" s="531"/>
      <c r="F107" s="531"/>
      <c r="G107" s="531"/>
      <c r="H107" s="531"/>
      <c r="I107" s="531"/>
      <c r="J107" s="531"/>
      <c r="K107" s="532"/>
      <c r="L107" s="533"/>
      <c r="M107" s="534"/>
      <c r="N107" s="2751"/>
      <c r="O107" s="2751"/>
      <c r="P107" s="2776"/>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2"/>
      <c r="O108" s="2752"/>
      <c r="P108" s="2776"/>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1"/>
      <c r="O109" s="2751"/>
      <c r="P109" s="2776"/>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2"/>
      <c r="O110" s="2752"/>
      <c r="P110" s="2776"/>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1"/>
      <c r="O111" s="2751"/>
      <c r="P111" s="2776"/>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2"/>
      <c r="O112" s="2752"/>
      <c r="P112" s="2776"/>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3"/>
      <c r="O113" s="2753"/>
      <c r="P113" s="2777"/>
      <c r="Q113" s="2744"/>
      <c r="R113" s="2745"/>
      <c r="S113" s="2745"/>
      <c r="T113" s="2745"/>
      <c r="U113" s="2745"/>
      <c r="V113" s="2745"/>
      <c r="W113" s="2745"/>
      <c r="X113" s="2745"/>
      <c r="Y113" s="2745"/>
      <c r="Z113" s="2745"/>
      <c r="AA113" s="2745"/>
      <c r="AB113" s="2745"/>
      <c r="AC113" s="2745"/>
    </row>
    <row r="114" spans="1:29" s="421" customFormat="1" ht="15.75" thickBot="1">
      <c r="A114" s="501"/>
      <c r="B114" s="494"/>
      <c r="C114" s="460"/>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1"/>
      <c r="O115" s="2751"/>
      <c r="P115" s="2776"/>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1"/>
      <c r="O116" s="2751"/>
      <c r="P116" s="2776"/>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2"/>
      <c r="O117" s="2752"/>
      <c r="P117" s="2776"/>
      <c r="Q117" s="2738"/>
      <c r="R117" s="2724"/>
      <c r="S117" s="2724"/>
      <c r="T117" s="2724"/>
      <c r="U117" s="2724"/>
      <c r="V117" s="2724"/>
      <c r="W117" s="2724"/>
      <c r="X117" s="2724"/>
      <c r="Y117" s="2724"/>
      <c r="Z117" s="2724"/>
      <c r="AA117" s="2724"/>
      <c r="AB117" s="2724"/>
      <c r="AC117" s="2724"/>
    </row>
    <row r="118" spans="1:29" ht="15" thickTop="1">
      <c r="A118" s="547"/>
      <c r="B118" s="486" t="s">
        <v>1913</v>
      </c>
      <c r="C118" s="531"/>
      <c r="D118" s="531"/>
      <c r="E118" s="531"/>
      <c r="F118" s="531"/>
      <c r="G118" s="531"/>
      <c r="H118" s="531"/>
      <c r="I118" s="531"/>
      <c r="J118" s="531"/>
      <c r="K118" s="532"/>
      <c r="L118" s="533"/>
      <c r="M118" s="534"/>
      <c r="N118" s="2751"/>
      <c r="O118" s="2751"/>
      <c r="P118" s="2776"/>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2"/>
      <c r="O119" s="2752"/>
      <c r="P119" s="2776"/>
      <c r="Q119" s="2738"/>
      <c r="R119" s="2724"/>
      <c r="S119" s="2724"/>
      <c r="T119" s="2724"/>
      <c r="U119" s="2724"/>
      <c r="V119" s="2724"/>
      <c r="W119" s="2724"/>
      <c r="X119" s="2724"/>
      <c r="Y119" s="2724"/>
      <c r="Z119" s="2724"/>
      <c r="AA119" s="2724"/>
      <c r="AB119" s="2724"/>
      <c r="AC119" s="2724"/>
    </row>
    <row r="120" spans="1:29" ht="15" thickTop="1">
      <c r="A120" s="547"/>
      <c r="B120" s="486" t="s">
        <v>1914</v>
      </c>
      <c r="C120" s="502"/>
      <c r="D120" s="502"/>
      <c r="E120" s="502"/>
      <c r="F120" s="531"/>
      <c r="G120" s="531"/>
      <c r="H120" s="531"/>
      <c r="I120" s="531"/>
      <c r="J120" s="531"/>
      <c r="K120" s="532"/>
      <c r="L120" s="533"/>
      <c r="M120" s="534"/>
      <c r="N120" s="2751"/>
      <c r="O120" s="2751"/>
      <c r="P120" s="2776"/>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2"/>
      <c r="O121" s="2752"/>
      <c r="P121" s="2776"/>
      <c r="Q121" s="2738"/>
      <c r="R121" s="2724"/>
      <c r="S121" s="2724"/>
      <c r="T121" s="2724"/>
      <c r="U121" s="2724"/>
      <c r="V121" s="2724"/>
      <c r="W121" s="2724"/>
      <c r="X121" s="2724"/>
      <c r="Y121" s="2724"/>
      <c r="Z121" s="2724"/>
      <c r="AA121" s="2724"/>
      <c r="AB121" s="2724"/>
      <c r="AC121" s="2724"/>
    </row>
    <row r="122" spans="1:29" s="421" customFormat="1" ht="15" thickTop="1">
      <c r="A122" s="541"/>
      <c r="B122" s="486" t="s">
        <v>1915</v>
      </c>
      <c r="C122" s="502"/>
      <c r="D122" s="502"/>
      <c r="E122" s="502"/>
      <c r="F122" s="502"/>
      <c r="G122" s="502"/>
      <c r="H122" s="531"/>
      <c r="I122" s="531"/>
      <c r="J122" s="531"/>
      <c r="K122" s="532"/>
      <c r="L122" s="533"/>
      <c r="M122" s="534"/>
      <c r="N122" s="2753"/>
      <c r="O122" s="2753"/>
      <c r="P122" s="2777"/>
      <c r="Q122" s="2744"/>
      <c r="R122" s="2745"/>
      <c r="S122" s="2745"/>
      <c r="T122" s="2745"/>
      <c r="U122" s="2745"/>
      <c r="V122" s="2745"/>
      <c r="W122" s="2745"/>
      <c r="X122" s="2745"/>
      <c r="Y122" s="2745"/>
      <c r="Z122" s="2745"/>
      <c r="AA122" s="2745"/>
      <c r="AB122" s="2745"/>
      <c r="AC122" s="2745"/>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7"/>
      <c r="B124" s="486" t="s">
        <v>1916</v>
      </c>
      <c r="C124" s="502"/>
      <c r="D124" s="502"/>
      <c r="E124" s="531"/>
      <c r="F124" s="531"/>
      <c r="G124" s="531"/>
      <c r="H124" s="531"/>
      <c r="I124" s="531"/>
      <c r="J124" s="531"/>
      <c r="K124" s="532"/>
      <c r="L124" s="533"/>
      <c r="M124" s="534"/>
      <c r="N124" s="2751"/>
      <c r="O124" s="2751"/>
      <c r="P124" s="2776"/>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2"/>
      <c r="O125" s="2752"/>
      <c r="P125" s="2776"/>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1"/>
      <c r="O126" s="2751"/>
      <c r="P126" s="2776"/>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2"/>
      <c r="O127" s="2752"/>
      <c r="P127" s="2776"/>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1"/>
      <c r="O128" s="2751"/>
      <c r="P128" s="2776"/>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2"/>
      <c r="O129" s="2752"/>
      <c r="P129" s="2776"/>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3"/>
      <c r="O130" s="2753"/>
      <c r="P130" s="2777"/>
      <c r="Q130" s="2744"/>
      <c r="R130" s="2745"/>
      <c r="S130" s="2745"/>
      <c r="T130" s="2745"/>
      <c r="U130" s="2745"/>
      <c r="V130" s="2745"/>
      <c r="W130" s="2745"/>
      <c r="X130" s="2745"/>
      <c r="Y130" s="2745"/>
      <c r="Z130" s="2745"/>
      <c r="AA130" s="2745"/>
      <c r="AB130" s="2745"/>
      <c r="AC130" s="2745"/>
    </row>
    <row r="131" spans="1:29" s="421" customFormat="1" ht="15.75" thickBot="1">
      <c r="A131" s="516"/>
      <c r="B131" s="647"/>
      <c r="C131" s="518"/>
      <c r="D131" s="518"/>
      <c r="E131" s="518"/>
      <c r="F131" s="518"/>
      <c r="G131" s="539"/>
      <c r="H131" s="539"/>
      <c r="I131" s="539"/>
      <c r="J131" s="539"/>
      <c r="K131" s="539"/>
      <c r="L131" s="539"/>
      <c r="M131" s="540"/>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1768</v>
      </c>
      <c r="B4" s="355"/>
      <c r="C4" s="3764" t="s">
        <v>1769</v>
      </c>
      <c r="D4" s="3765"/>
      <c r="E4" s="3766" t="s">
        <v>1770</v>
      </c>
      <c r="F4" s="3767"/>
      <c r="G4" s="3764" t="s">
        <v>1771</v>
      </c>
      <c r="H4" s="3765"/>
      <c r="I4" s="3764" t="s">
        <v>1772</v>
      </c>
      <c r="J4" s="3765"/>
      <c r="K4" s="558" t="s">
        <v>1773</v>
      </c>
      <c r="L4" s="2714"/>
      <c r="M4" s="2715"/>
      <c r="N4" s="2715"/>
      <c r="O4" s="2715"/>
      <c r="P4" s="3768" t="s">
        <v>1774</v>
      </c>
      <c r="Q4" s="3769"/>
      <c r="R4" s="3751" t="s">
        <v>1770</v>
      </c>
      <c r="S4" s="3752"/>
      <c r="T4" s="3751" t="s">
        <v>1771</v>
      </c>
      <c r="U4" s="3752"/>
      <c r="V4" s="3748" t="s">
        <v>1772</v>
      </c>
      <c r="W4" s="3748"/>
      <c r="X4" s="1354"/>
      <c r="Y4" s="3751" t="s">
        <v>1774</v>
      </c>
      <c r="Z4" s="3752"/>
      <c r="AA4" s="3745" t="s">
        <v>1770</v>
      </c>
      <c r="AB4" s="3746" t="s">
        <v>1771</v>
      </c>
      <c r="AC4" s="3745" t="s">
        <v>1772</v>
      </c>
    </row>
    <row r="5" spans="1:29" ht="15">
      <c r="A5" s="357"/>
      <c r="B5" s="358"/>
      <c r="C5" s="3757" t="s">
        <v>1672</v>
      </c>
      <c r="D5" s="3758"/>
      <c r="E5" s="3818" t="s">
        <v>1673</v>
      </c>
      <c r="F5" s="3756"/>
      <c r="G5" s="3757" t="s">
        <v>1674</v>
      </c>
      <c r="H5" s="3758"/>
      <c r="I5" s="3757" t="s">
        <v>1675</v>
      </c>
      <c r="J5" s="3758"/>
      <c r="K5" s="558"/>
      <c r="L5" s="2714"/>
      <c r="M5" s="2715"/>
      <c r="N5" s="2715"/>
      <c r="O5" s="2715"/>
      <c r="P5" s="3770"/>
      <c r="Q5" s="3771"/>
      <c r="R5" s="3753"/>
      <c r="S5" s="3754"/>
      <c r="T5" s="3753"/>
      <c r="U5" s="3754"/>
      <c r="V5" s="3748"/>
      <c r="W5" s="3748"/>
      <c r="X5" s="1354"/>
      <c r="Y5" s="3753"/>
      <c r="Z5" s="3754"/>
      <c r="AA5" s="3746"/>
      <c r="AB5" s="3746"/>
      <c r="AC5" s="3746"/>
    </row>
    <row r="6" spans="1:29" ht="15.75" thickBot="1">
      <c r="A6" s="359"/>
      <c r="B6" s="360"/>
      <c r="C6" s="3842" t="s">
        <v>1918</v>
      </c>
      <c r="D6" s="3843"/>
      <c r="E6" s="3844" t="s">
        <v>1918</v>
      </c>
      <c r="F6" s="3845"/>
      <c r="G6" s="3842" t="s">
        <v>1918</v>
      </c>
      <c r="H6" s="3843"/>
      <c r="I6" s="3842" t="s">
        <v>1918</v>
      </c>
      <c r="J6" s="3843"/>
      <c r="K6" s="558" t="s">
        <v>1677</v>
      </c>
      <c r="L6" s="2714"/>
      <c r="M6" s="2715"/>
      <c r="N6" s="2715"/>
      <c r="O6" s="2715"/>
      <c r="P6" s="3772"/>
      <c r="Q6" s="3773"/>
      <c r="R6" s="3753"/>
      <c r="S6" s="3754"/>
      <c r="T6" s="3774"/>
      <c r="U6" s="3775"/>
      <c r="V6" s="3748"/>
      <c r="W6" s="3748"/>
      <c r="X6" s="1354"/>
      <c r="Y6" s="3774"/>
      <c r="Z6" s="3775"/>
      <c r="AA6" s="3747"/>
      <c r="AB6" s="3747"/>
      <c r="AC6" s="3747"/>
    </row>
    <row r="7" spans="1:29" s="107" customFormat="1" ht="15.75" thickBot="1">
      <c r="A7" s="361" t="s">
        <v>1678</v>
      </c>
      <c r="B7" s="362"/>
      <c r="C7" s="363">
        <f>'数据-取费表'!B2</f>
        <v>45105</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49" t="s">
        <v>1679</v>
      </c>
      <c r="Q7" s="3777"/>
      <c r="R7" s="700" t="s">
        <v>14</v>
      </c>
      <c r="S7" s="701">
        <f t="shared" ref="S7:S15" si="0">F7</f>
        <v>0</v>
      </c>
      <c r="T7" s="700" t="s">
        <v>14</v>
      </c>
      <c r="U7" s="701">
        <f t="shared" ref="U7:U15" si="1">H7</f>
        <v>0</v>
      </c>
      <c r="V7" s="700" t="s">
        <v>14</v>
      </c>
      <c r="W7" s="701">
        <f t="shared" ref="W7:W15" si="2">J7</f>
        <v>0</v>
      </c>
      <c r="X7" s="702"/>
      <c r="Y7" s="3749" t="s">
        <v>1679</v>
      </c>
      <c r="Z7" s="3750"/>
      <c r="AA7" s="703" t="e">
        <f>D7/F7</f>
        <v>#DIV/0!</v>
      </c>
      <c r="AB7" s="703" t="e">
        <f>D7/H7</f>
        <v>#DIV/0!</v>
      </c>
      <c r="AC7" s="703" t="e">
        <f>D7/J7</f>
        <v>#DIV/0!</v>
      </c>
    </row>
    <row r="8" spans="1:29" s="107"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49" t="s">
        <v>1682</v>
      </c>
      <c r="Q8" s="3750"/>
      <c r="R8" s="700" t="s">
        <v>14</v>
      </c>
      <c r="S8" s="701">
        <f t="shared" si="0"/>
        <v>0</v>
      </c>
      <c r="T8" s="700" t="s">
        <v>14</v>
      </c>
      <c r="U8" s="701">
        <f t="shared" si="1"/>
        <v>0</v>
      </c>
      <c r="V8" s="700" t="s">
        <v>14</v>
      </c>
      <c r="W8" s="701">
        <f t="shared" si="2"/>
        <v>0</v>
      </c>
      <c r="X8" s="702"/>
      <c r="Y8" s="3749" t="s">
        <v>1682</v>
      </c>
      <c r="Z8" s="3750"/>
      <c r="AA8" s="703" t="e">
        <f t="shared" ref="AA8:AA40" si="3">D8/F8</f>
        <v>#DIV/0!</v>
      </c>
      <c r="AB8" s="703" t="e">
        <f t="shared" ref="AB8:AB40" si="4">D8/H8</f>
        <v>#DIV/0!</v>
      </c>
      <c r="AC8" s="703" t="e">
        <f t="shared" ref="AC8:AC40" si="5">D8/J8</f>
        <v>#DIV/0!</v>
      </c>
    </row>
    <row r="9" spans="1:29" s="107" customFormat="1">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0"/>
      <c r="P9" s="3787" t="s">
        <v>1685</v>
      </c>
      <c r="Q9" s="1342" t="str">
        <f t="shared" ref="Q9:Q15" si="6">B9</f>
        <v>用途</v>
      </c>
      <c r="R9" s="700" t="s">
        <v>14</v>
      </c>
      <c r="S9" s="701">
        <f t="shared" si="0"/>
        <v>100</v>
      </c>
      <c r="T9" s="700" t="s">
        <v>14</v>
      </c>
      <c r="U9" s="701">
        <f t="shared" si="1"/>
        <v>100</v>
      </c>
      <c r="V9" s="700" t="s">
        <v>14</v>
      </c>
      <c r="W9" s="701">
        <f t="shared" si="2"/>
        <v>100</v>
      </c>
      <c r="X9" s="702"/>
      <c r="Y9" s="3718" t="s">
        <v>1686</v>
      </c>
      <c r="Z9" s="52"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171</v>
      </c>
      <c r="G10" s="382"/>
      <c r="H10" s="126">
        <f>ROUND(100/'数据-取费表'!G16,0)</f>
        <v>171</v>
      </c>
      <c r="I10" s="382"/>
      <c r="J10" s="126">
        <f>ROUND(100/'数据-取费表'!G16,0)</f>
        <v>171</v>
      </c>
      <c r="K10" s="619"/>
      <c r="L10" s="2718"/>
      <c r="M10" s="2719"/>
      <c r="N10" s="2719"/>
      <c r="O10" s="2771"/>
      <c r="P10" s="3787"/>
      <c r="Q10" s="1342" t="str">
        <f t="shared" si="6"/>
        <v>土地使用年限（年）</v>
      </c>
      <c r="R10" s="700" t="s">
        <v>14</v>
      </c>
      <c r="S10" s="701">
        <f t="shared" si="0"/>
        <v>171</v>
      </c>
      <c r="T10" s="700" t="s">
        <v>14</v>
      </c>
      <c r="U10" s="701">
        <f t="shared" si="1"/>
        <v>171</v>
      </c>
      <c r="V10" s="700" t="s">
        <v>14</v>
      </c>
      <c r="W10" s="701">
        <f t="shared" si="2"/>
        <v>171</v>
      </c>
      <c r="X10" s="702"/>
      <c r="Y10" s="3718"/>
      <c r="Z10" s="52" t="str">
        <f t="shared" si="7"/>
        <v>土地使用年限（年）</v>
      </c>
      <c r="AA10" s="703">
        <f t="shared" si="3"/>
        <v>0.58479532163742687</v>
      </c>
      <c r="AB10" s="703">
        <f t="shared" si="4"/>
        <v>0.58479532163742687</v>
      </c>
      <c r="AC10" s="703">
        <f t="shared" si="5"/>
        <v>0.58479532163742687</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2"/>
      <c r="P11" s="3787"/>
      <c r="Q11" s="1342" t="str">
        <f t="shared" si="6"/>
        <v>容积率</v>
      </c>
      <c r="R11" s="700" t="s">
        <v>14</v>
      </c>
      <c r="S11" s="701" t="e">
        <f t="shared" si="0"/>
        <v>#N/A</v>
      </c>
      <c r="T11" s="700" t="s">
        <v>14</v>
      </c>
      <c r="U11" s="701" t="e">
        <f t="shared" si="1"/>
        <v>#N/A</v>
      </c>
      <c r="V11" s="700" t="s">
        <v>14</v>
      </c>
      <c r="W11" s="701" t="e">
        <f t="shared" si="2"/>
        <v>#N/A</v>
      </c>
      <c r="X11" s="702"/>
      <c r="Y11" s="3718"/>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0"/>
      <c r="P12" s="3787"/>
      <c r="Q12" s="1342">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2"/>
      <c r="P13" s="3787"/>
      <c r="Q13" s="1342">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2"/>
      <c r="P14" s="3787"/>
      <c r="Q14" s="1342">
        <f t="shared" si="6"/>
        <v>111</v>
      </c>
      <c r="R14" s="700" t="s">
        <v>14</v>
      </c>
      <c r="S14" s="701">
        <f t="shared" si="0"/>
        <v>100</v>
      </c>
      <c r="T14" s="700" t="s">
        <v>14</v>
      </c>
      <c r="U14" s="701">
        <f t="shared" si="1"/>
        <v>100</v>
      </c>
      <c r="V14" s="700" t="s">
        <v>14</v>
      </c>
      <c r="W14" s="701">
        <f t="shared" si="2"/>
        <v>100</v>
      </c>
      <c r="X14" s="702"/>
      <c r="Y14" s="3718"/>
      <c r="Z14" s="52">
        <f t="shared" si="7"/>
        <v>111</v>
      </c>
      <c r="AA14" s="703">
        <f t="shared" si="3"/>
        <v>1</v>
      </c>
      <c r="AB14" s="703">
        <f t="shared" si="4"/>
        <v>1</v>
      </c>
      <c r="AC14" s="703">
        <f t="shared" si="5"/>
        <v>1</v>
      </c>
    </row>
    <row r="15" spans="1:29" ht="57">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2"/>
      <c r="P15" s="3780" t="s">
        <v>1690</v>
      </c>
      <c r="Q15" s="1351" t="str">
        <f t="shared" si="6"/>
        <v>产业集聚程度</v>
      </c>
      <c r="R15" s="704" t="s">
        <v>14</v>
      </c>
      <c r="S15" s="705">
        <f t="shared" si="0"/>
        <v>100</v>
      </c>
      <c r="T15" s="704" t="s">
        <v>14</v>
      </c>
      <c r="U15" s="705">
        <f t="shared" si="1"/>
        <v>100</v>
      </c>
      <c r="V15" s="704" t="s">
        <v>14</v>
      </c>
      <c r="W15" s="705">
        <f t="shared" si="2"/>
        <v>100</v>
      </c>
      <c r="X15" s="1354"/>
      <c r="Y15" s="3780"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2"/>
      <c r="P16" s="3781"/>
      <c r="Q16" s="1351"/>
      <c r="R16" s="704"/>
      <c r="S16" s="705"/>
      <c r="T16" s="704"/>
      <c r="U16" s="705"/>
      <c r="V16" s="704"/>
      <c r="W16" s="705"/>
      <c r="X16" s="1354"/>
      <c r="Y16" s="3781"/>
      <c r="Z16" s="1355"/>
      <c r="AA16" s="1352">
        <v>1</v>
      </c>
      <c r="AB16" s="1352">
        <v>1</v>
      </c>
      <c r="AC16" s="1352">
        <v>1</v>
      </c>
    </row>
    <row r="17" spans="1:29" ht="85.5">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2"/>
      <c r="P17" s="3781"/>
      <c r="Q17" s="1351" t="str">
        <f>B17</f>
        <v>交通便捷度</v>
      </c>
      <c r="R17" s="704" t="s">
        <v>14</v>
      </c>
      <c r="S17" s="705">
        <f>F17</f>
        <v>100</v>
      </c>
      <c r="T17" s="704" t="s">
        <v>14</v>
      </c>
      <c r="U17" s="705">
        <f>H17</f>
        <v>100</v>
      </c>
      <c r="V17" s="704" t="s">
        <v>14</v>
      </c>
      <c r="W17" s="705">
        <f>J17</f>
        <v>100</v>
      </c>
      <c r="X17" s="1354"/>
      <c r="Y17" s="3781"/>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2"/>
      <c r="P18" s="3781"/>
      <c r="Q18" s="1351"/>
      <c r="R18" s="704"/>
      <c r="S18" s="705"/>
      <c r="T18" s="704"/>
      <c r="U18" s="705"/>
      <c r="V18" s="704"/>
      <c r="W18" s="705"/>
      <c r="X18" s="1354"/>
      <c r="Y18" s="3781"/>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2"/>
      <c r="P19" s="3781"/>
      <c r="Q19" s="1351" t="str">
        <f t="shared" ref="Q19:Q33" si="8">B19</f>
        <v>区域土地利用方向</v>
      </c>
      <c r="R19" s="704" t="s">
        <v>14</v>
      </c>
      <c r="S19" s="705">
        <f>F19</f>
        <v>100</v>
      </c>
      <c r="T19" s="704" t="s">
        <v>14</v>
      </c>
      <c r="U19" s="705">
        <f>H19</f>
        <v>100</v>
      </c>
      <c r="V19" s="704" t="s">
        <v>14</v>
      </c>
      <c r="W19" s="705">
        <f>J19</f>
        <v>100</v>
      </c>
      <c r="X19" s="1354"/>
      <c r="Y19" s="3781"/>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2"/>
      <c r="P20" s="3781"/>
      <c r="Q20" s="1351"/>
      <c r="R20" s="704"/>
      <c r="S20" s="705"/>
      <c r="T20" s="704"/>
      <c r="U20" s="705"/>
      <c r="V20" s="704"/>
      <c r="W20" s="705"/>
      <c r="X20" s="1354"/>
      <c r="Y20" s="3781"/>
      <c r="Z20" s="1355"/>
      <c r="AA20" s="1352"/>
      <c r="AB20" s="1352"/>
      <c r="AC20" s="1352"/>
    </row>
    <row r="21" spans="1:29" ht="71.25">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2"/>
      <c r="P21" s="3781"/>
      <c r="Q21" s="1351" t="str">
        <f t="shared" si="8"/>
        <v>环境状况</v>
      </c>
      <c r="R21" s="704" t="s">
        <v>14</v>
      </c>
      <c r="S21" s="705">
        <f>F21</f>
        <v>100</v>
      </c>
      <c r="T21" s="704" t="s">
        <v>14</v>
      </c>
      <c r="U21" s="705">
        <f>H21</f>
        <v>100</v>
      </c>
      <c r="V21" s="704" t="s">
        <v>14</v>
      </c>
      <c r="W21" s="705">
        <f>J21</f>
        <v>100</v>
      </c>
      <c r="X21" s="1354"/>
      <c r="Y21" s="3781"/>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2"/>
      <c r="P22" s="3781"/>
      <c r="Q22" s="1351"/>
      <c r="R22" s="704"/>
      <c r="S22" s="705"/>
      <c r="T22" s="704"/>
      <c r="U22" s="705"/>
      <c r="V22" s="704"/>
      <c r="W22" s="705"/>
      <c r="X22" s="1354"/>
      <c r="Y22" s="3781"/>
      <c r="Z22" s="1355"/>
      <c r="AA22" s="1352">
        <v>1</v>
      </c>
      <c r="AB22" s="1352">
        <v>1</v>
      </c>
      <c r="AC22" s="1352">
        <v>1</v>
      </c>
    </row>
    <row r="23" spans="1:29" s="107" customFormat="1" ht="42.75">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0"/>
      <c r="P23" s="3781"/>
      <c r="Q23" s="1342" t="str">
        <f t="shared" si="8"/>
        <v>公共配套设施</v>
      </c>
      <c r="R23" s="700" t="s">
        <v>14</v>
      </c>
      <c r="S23" s="701">
        <f>F23</f>
        <v>100</v>
      </c>
      <c r="T23" s="700" t="s">
        <v>14</v>
      </c>
      <c r="U23" s="701">
        <f>H23</f>
        <v>100</v>
      </c>
      <c r="V23" s="700" t="s">
        <v>14</v>
      </c>
      <c r="W23" s="701">
        <f>J23</f>
        <v>100</v>
      </c>
      <c r="X23" s="702"/>
      <c r="Y23" s="3781"/>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0"/>
      <c r="P24" s="3781"/>
      <c r="Q24" s="1342"/>
      <c r="R24" s="700"/>
      <c r="S24" s="701"/>
      <c r="T24" s="700"/>
      <c r="U24" s="701"/>
      <c r="V24" s="700"/>
      <c r="W24" s="701"/>
      <c r="X24" s="702"/>
      <c r="Y24" s="3781"/>
      <c r="Z24" s="52"/>
      <c r="AA24" s="703">
        <v>1</v>
      </c>
      <c r="AB24" s="703">
        <v>1</v>
      </c>
      <c r="AC24" s="703">
        <v>1</v>
      </c>
    </row>
    <row r="25" spans="1:29" s="107" customFormat="1" ht="28.5">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0"/>
      <c r="P25" s="3781"/>
      <c r="Q25" s="1342" t="str">
        <f t="shared" ref="Q25" si="9">B25</f>
        <v>基础设施水平</v>
      </c>
      <c r="R25" s="700" t="s">
        <v>14</v>
      </c>
      <c r="S25" s="701">
        <f>F25</f>
        <v>100</v>
      </c>
      <c r="T25" s="700" t="s">
        <v>14</v>
      </c>
      <c r="U25" s="701">
        <f>H25</f>
        <v>100</v>
      </c>
      <c r="V25" s="700" t="s">
        <v>14</v>
      </c>
      <c r="W25" s="701">
        <f>J25</f>
        <v>100</v>
      </c>
      <c r="X25" s="702"/>
      <c r="Y25" s="3781"/>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0"/>
      <c r="P26" s="3781"/>
      <c r="Q26" s="1342"/>
      <c r="R26" s="700"/>
      <c r="S26" s="701"/>
      <c r="T26" s="700"/>
      <c r="U26" s="701"/>
      <c r="V26" s="700"/>
      <c r="W26" s="701"/>
      <c r="X26" s="702"/>
      <c r="Y26" s="3781"/>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2"/>
      <c r="P27" s="378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81"/>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2"/>
      <c r="P28" s="3781"/>
      <c r="Q28" s="1351" t="str">
        <f t="shared" si="8"/>
        <v>毗邻道路的类型与等级</v>
      </c>
      <c r="R28" s="704" t="s">
        <v>14</v>
      </c>
      <c r="S28" s="705">
        <f t="shared" si="10"/>
        <v>100</v>
      </c>
      <c r="T28" s="704" t="s">
        <v>14</v>
      </c>
      <c r="U28" s="705">
        <f t="shared" si="11"/>
        <v>100</v>
      </c>
      <c r="V28" s="704" t="s">
        <v>14</v>
      </c>
      <c r="W28" s="705">
        <f t="shared" si="12"/>
        <v>100</v>
      </c>
      <c r="X28" s="1354"/>
      <c r="Y28" s="3781"/>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2"/>
      <c r="P29" s="3781"/>
      <c r="Q29" s="1351"/>
      <c r="R29" s="704"/>
      <c r="S29" s="705"/>
      <c r="T29" s="704"/>
      <c r="U29" s="705"/>
      <c r="V29" s="704"/>
      <c r="W29" s="705"/>
      <c r="X29" s="1354"/>
      <c r="Y29" s="3781"/>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2"/>
      <c r="P30" s="3781"/>
      <c r="Q30" s="1351" t="str">
        <f t="shared" si="8"/>
        <v>土地级别</v>
      </c>
      <c r="R30" s="704" t="s">
        <v>14</v>
      </c>
      <c r="S30" s="705">
        <f t="shared" si="10"/>
        <v>100</v>
      </c>
      <c r="T30" s="704" t="s">
        <v>14</v>
      </c>
      <c r="U30" s="705">
        <f t="shared" si="11"/>
        <v>100</v>
      </c>
      <c r="V30" s="704" t="s">
        <v>14</v>
      </c>
      <c r="W30" s="705">
        <f t="shared" si="12"/>
        <v>100</v>
      </c>
      <c r="X30" s="1354"/>
      <c r="Y30" s="3781"/>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2"/>
      <c r="P31" s="3781"/>
      <c r="Q31" s="1351">
        <f t="shared" si="8"/>
        <v>111</v>
      </c>
      <c r="R31" s="704" t="s">
        <v>14</v>
      </c>
      <c r="S31" s="705">
        <f t="shared" si="10"/>
        <v>100</v>
      </c>
      <c r="T31" s="704" t="s">
        <v>14</v>
      </c>
      <c r="U31" s="705">
        <f t="shared" si="11"/>
        <v>100</v>
      </c>
      <c r="V31" s="704" t="s">
        <v>14</v>
      </c>
      <c r="W31" s="705">
        <f t="shared" si="12"/>
        <v>100</v>
      </c>
      <c r="X31" s="1354"/>
      <c r="Y31" s="3781"/>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2"/>
      <c r="P32" s="3834" t="s">
        <v>1695</v>
      </c>
      <c r="Q32" s="1351">
        <f t="shared" si="8"/>
        <v>111</v>
      </c>
      <c r="R32" s="704" t="s">
        <v>14</v>
      </c>
      <c r="S32" s="705">
        <f t="shared" si="10"/>
        <v>100</v>
      </c>
      <c r="T32" s="704" t="s">
        <v>14</v>
      </c>
      <c r="U32" s="705">
        <f t="shared" si="11"/>
        <v>100</v>
      </c>
      <c r="V32" s="704" t="s">
        <v>14</v>
      </c>
      <c r="W32" s="705">
        <f t="shared" si="12"/>
        <v>100</v>
      </c>
      <c r="X32" s="1354"/>
      <c r="Y32" s="3785"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3"/>
      <c r="P33" s="3785"/>
      <c r="Q33" s="1351">
        <f t="shared" si="8"/>
        <v>111</v>
      </c>
      <c r="R33" s="707" t="s">
        <v>14</v>
      </c>
      <c r="S33" s="708">
        <f t="shared" si="10"/>
        <v>100</v>
      </c>
      <c r="T33" s="707" t="s">
        <v>14</v>
      </c>
      <c r="U33" s="708">
        <f t="shared" si="11"/>
        <v>100</v>
      </c>
      <c r="V33" s="707" t="s">
        <v>14</v>
      </c>
      <c r="W33" s="708">
        <f t="shared" si="12"/>
        <v>100</v>
      </c>
      <c r="X33" s="709"/>
      <c r="Y33" s="3785"/>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2"/>
      <c r="P34" s="3785"/>
      <c r="Q34" s="1351" t="str">
        <f>B34</f>
        <v>宗地面积</v>
      </c>
      <c r="R34" s="704" t="s">
        <v>14</v>
      </c>
      <c r="S34" s="705" t="e">
        <f t="shared" si="10"/>
        <v>#N/A</v>
      </c>
      <c r="T34" s="704" t="s">
        <v>14</v>
      </c>
      <c r="U34" s="705" t="e">
        <f t="shared" si="11"/>
        <v>#N/A</v>
      </c>
      <c r="V34" s="704" t="s">
        <v>14</v>
      </c>
      <c r="W34" s="705" t="e">
        <f t="shared" si="12"/>
        <v>#N/A</v>
      </c>
      <c r="X34" s="1354"/>
      <c r="Y34" s="3785"/>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2"/>
      <c r="P35" s="3785"/>
      <c r="Q35" s="1351" t="str">
        <f t="shared" ref="Q35:Q40" si="14">B35</f>
        <v>宗地形状</v>
      </c>
      <c r="R35" s="704" t="s">
        <v>14</v>
      </c>
      <c r="S35" s="705">
        <f t="shared" si="10"/>
        <v>100</v>
      </c>
      <c r="T35" s="704" t="s">
        <v>14</v>
      </c>
      <c r="U35" s="705">
        <f t="shared" si="11"/>
        <v>100</v>
      </c>
      <c r="V35" s="704" t="s">
        <v>14</v>
      </c>
      <c r="W35" s="705">
        <f t="shared" si="12"/>
        <v>100</v>
      </c>
      <c r="X35" s="1354"/>
      <c r="Y35" s="3785"/>
      <c r="Z35" s="1355" t="str">
        <f t="shared" si="13"/>
        <v>宗地形状</v>
      </c>
      <c r="AA35" s="1352">
        <f t="shared" si="3"/>
        <v>1</v>
      </c>
      <c r="AB35" s="1352">
        <f t="shared" si="4"/>
        <v>1</v>
      </c>
      <c r="AC35" s="1352">
        <f t="shared" si="5"/>
        <v>1</v>
      </c>
    </row>
    <row r="36" spans="1:31" s="107"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0"/>
      <c r="P36" s="3785"/>
      <c r="Q36" s="1351" t="str">
        <f t="shared" si="14"/>
        <v>宗地开发程度</v>
      </c>
      <c r="R36" s="700" t="s">
        <v>14</v>
      </c>
      <c r="S36" s="701">
        <f t="shared" si="10"/>
        <v>100</v>
      </c>
      <c r="T36" s="700" t="s">
        <v>14</v>
      </c>
      <c r="U36" s="701">
        <f t="shared" si="11"/>
        <v>100</v>
      </c>
      <c r="V36" s="700" t="s">
        <v>14</v>
      </c>
      <c r="W36" s="701">
        <f t="shared" si="12"/>
        <v>100</v>
      </c>
      <c r="X36" s="702"/>
      <c r="Y36" s="3785"/>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2"/>
      <c r="P37" s="3785" t="s">
        <v>1695</v>
      </c>
      <c r="Q37" s="1351" t="str">
        <f t="shared" si="14"/>
        <v>工程地质条件</v>
      </c>
      <c r="R37" s="704" t="s">
        <v>14</v>
      </c>
      <c r="S37" s="705">
        <f t="shared" si="10"/>
        <v>100</v>
      </c>
      <c r="T37" s="704" t="s">
        <v>14</v>
      </c>
      <c r="U37" s="705">
        <f t="shared" si="11"/>
        <v>100</v>
      </c>
      <c r="V37" s="704" t="s">
        <v>14</v>
      </c>
      <c r="W37" s="705">
        <f t="shared" si="12"/>
        <v>100</v>
      </c>
      <c r="X37" s="1354"/>
      <c r="Y37" s="3785"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2"/>
      <c r="P38" s="3785"/>
      <c r="Q38" s="1351">
        <f t="shared" si="14"/>
        <v>111</v>
      </c>
      <c r="R38" s="704" t="s">
        <v>14</v>
      </c>
      <c r="S38" s="705">
        <f t="shared" si="10"/>
        <v>100</v>
      </c>
      <c r="T38" s="704" t="s">
        <v>14</v>
      </c>
      <c r="U38" s="705">
        <f t="shared" si="11"/>
        <v>100</v>
      </c>
      <c r="V38" s="704" t="s">
        <v>14</v>
      </c>
      <c r="W38" s="705">
        <f t="shared" si="12"/>
        <v>100</v>
      </c>
      <c r="X38" s="1354"/>
      <c r="Y38" s="3785"/>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2"/>
      <c r="P39" s="3785"/>
      <c r="Q39" s="1351">
        <f t="shared" si="14"/>
        <v>111</v>
      </c>
      <c r="R39" s="704" t="s">
        <v>14</v>
      </c>
      <c r="S39" s="705">
        <f t="shared" si="10"/>
        <v>100</v>
      </c>
      <c r="T39" s="704" t="s">
        <v>14</v>
      </c>
      <c r="U39" s="705">
        <f t="shared" si="11"/>
        <v>100</v>
      </c>
      <c r="V39" s="704" t="s">
        <v>14</v>
      </c>
      <c r="W39" s="705">
        <f t="shared" si="12"/>
        <v>100</v>
      </c>
      <c r="X39" s="1354"/>
      <c r="Y39" s="3785"/>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3"/>
      <c r="P40" s="3785"/>
      <c r="Q40" s="1351">
        <f t="shared" si="14"/>
        <v>111</v>
      </c>
      <c r="R40" s="707" t="s">
        <v>14</v>
      </c>
      <c r="S40" s="708">
        <f t="shared" si="10"/>
        <v>100</v>
      </c>
      <c r="T40" s="707" t="s">
        <v>14</v>
      </c>
      <c r="U40" s="708">
        <f t="shared" si="11"/>
        <v>100</v>
      </c>
      <c r="V40" s="707" t="s">
        <v>14</v>
      </c>
      <c r="W40" s="708">
        <f t="shared" si="12"/>
        <v>100</v>
      </c>
      <c r="X40" s="709"/>
      <c r="Y40" s="3785"/>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3"/>
      <c r="M41" s="2715"/>
      <c r="N41" s="2715"/>
      <c r="O41" s="2724"/>
      <c r="P41" s="3787" t="str">
        <f>A41</f>
        <v>成交单价</v>
      </c>
      <c r="Q41" s="3787"/>
      <c r="R41" s="3748">
        <f>E41</f>
        <v>0</v>
      </c>
      <c r="S41" s="3748"/>
      <c r="T41" s="3748">
        <f>G41</f>
        <v>0</v>
      </c>
      <c r="U41" s="3748"/>
      <c r="V41" s="3748">
        <f>I41</f>
        <v>0</v>
      </c>
      <c r="W41" s="3748"/>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3"/>
      <c r="M42" s="2715"/>
      <c r="N42" s="2715"/>
      <c r="O42" s="2724"/>
      <c r="P42" s="3787" t="str">
        <f>A42</f>
        <v>比较价值（元/平方米）</v>
      </c>
      <c r="Q42" s="3787"/>
      <c r="R42" s="3839" t="e">
        <f>ROUND(PRODUCT(R41,AA7:AA40),0)</f>
        <v>#DIV/0!</v>
      </c>
      <c r="S42" s="3839"/>
      <c r="T42" s="3839" t="e">
        <f>ROUND(PRODUCT(T41,AB7:AB40),0)</f>
        <v>#DIV/0!</v>
      </c>
      <c r="U42" s="3839"/>
      <c r="V42" s="3839" t="e">
        <f>ROUND(PRODUCT(V41,AC7:AC40),0)</f>
        <v>#DIV/0!</v>
      </c>
      <c r="W42" s="3839"/>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3"/>
      <c r="M43" s="2715"/>
      <c r="N43" s="2715"/>
      <c r="O43" s="2724"/>
      <c r="P43" s="3789" t="str">
        <f>A43</f>
        <v>估价对象XX用房的比较价值（楼面单价，元/平方米）</v>
      </c>
      <c r="Q43" s="3790"/>
      <c r="R43" s="3840" t="e">
        <f>ROUND(IF(D42="简单平均",AVERAGE(R42:W42),R42*F42+T42*H42+V42*J42),0)</f>
        <v>#DIV/0!</v>
      </c>
      <c r="S43" s="3840"/>
      <c r="T43" s="3840"/>
      <c r="U43" s="3840"/>
      <c r="V43" s="3840"/>
      <c r="W43" s="384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1880</v>
      </c>
      <c r="B50" s="632" t="s">
        <v>1881</v>
      </c>
      <c r="C50" s="1982" t="s">
        <v>1882</v>
      </c>
      <c r="D50" s="1983" t="s">
        <v>1883</v>
      </c>
      <c r="E50" s="633" t="s">
        <v>1884</v>
      </c>
      <c r="F50" s="634" t="s">
        <v>1885</v>
      </c>
      <c r="G50" s="3764" t="s">
        <v>1886</v>
      </c>
      <c r="H50" s="3841"/>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1889</v>
      </c>
      <c r="B51" s="636" t="e">
        <f>C43</f>
        <v>#DIV/0!</v>
      </c>
      <c r="C51" s="637">
        <v>1</v>
      </c>
      <c r="D51" s="943">
        <v>1</v>
      </c>
      <c r="E51" s="637">
        <f>'数据-汇总表'!E8+'数据-汇总表'!E9</f>
        <v>57439.57</v>
      </c>
      <c r="F51" s="638" t="e">
        <f t="shared" ref="F51:F60" si="15">ROUND(B51*E51/10000,0)</f>
        <v>#DIV/0!</v>
      </c>
      <c r="G51" s="3763"/>
      <c r="H51" s="3787"/>
      <c r="I51" s="772">
        <v>1</v>
      </c>
      <c r="J51" s="772">
        <v>1</v>
      </c>
      <c r="K51" s="2727"/>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1890</v>
      </c>
      <c r="B52" s="217" t="e">
        <f>ROUND($C$43*C52*D52,0)</f>
        <v>#DIV/0!</v>
      </c>
      <c r="C52" s="170">
        <f t="shared" ref="C52:C60" si="16">IF($C$50="北京市系数",I52,J52)</f>
        <v>0.5</v>
      </c>
      <c r="D52" s="944">
        <v>0.25</v>
      </c>
      <c r="E52" s="641"/>
      <c r="F52" s="638" t="e">
        <f t="shared" si="15"/>
        <v>#DIV/0!</v>
      </c>
      <c r="G52" s="3004" t="s">
        <v>1891</v>
      </c>
      <c r="H52" s="886" t="str">
        <f>项目基本情况!B37</f>
        <v>九级</v>
      </c>
      <c r="I52" s="772">
        <f>SUMIF(修正!A57:A68,H52,修正!B57:B68)</f>
        <v>0.5</v>
      </c>
      <c r="J52" s="773"/>
      <c r="K52" s="2724"/>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1892</v>
      </c>
      <c r="B53" s="217" t="e">
        <f t="shared" ref="B53:B60" si="17">ROUND($C$43*C53*D53,0)</f>
        <v>#DIV/0!</v>
      </c>
      <c r="C53" s="170">
        <f t="shared" si="16"/>
        <v>0.2</v>
      </c>
      <c r="D53" s="944">
        <v>0.25</v>
      </c>
      <c r="E53" s="641"/>
      <c r="F53" s="638" t="e">
        <f t="shared" si="15"/>
        <v>#DIV/0!</v>
      </c>
      <c r="G53" s="3005"/>
      <c r="H53" s="886" t="str">
        <f>项目基本情况!B37</f>
        <v>九级</v>
      </c>
      <c r="I53" s="772">
        <f>SUMIF(修正!A57:A68,H53,修正!C57:C68)</f>
        <v>0.2</v>
      </c>
      <c r="J53" s="773"/>
      <c r="K53" s="2727"/>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1893</v>
      </c>
      <c r="B54" s="217" t="e">
        <f t="shared" si="17"/>
        <v>#DIV/0!</v>
      </c>
      <c r="C54" s="170">
        <f t="shared" si="16"/>
        <v>0.2</v>
      </c>
      <c r="D54" s="944">
        <v>0.25</v>
      </c>
      <c r="E54" s="641"/>
      <c r="F54" s="638" t="e">
        <f t="shared" si="15"/>
        <v>#DIV/0!</v>
      </c>
      <c r="G54" s="3005"/>
      <c r="H54" s="886" t="str">
        <f>项目基本情况!B37</f>
        <v>九级</v>
      </c>
      <c r="I54" s="772">
        <f>SUMIF(修正!A57:A68,H54,修正!D57:D68)</f>
        <v>0.2</v>
      </c>
      <c r="J54" s="773"/>
      <c r="K54" s="2724"/>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7"/>
      <c r="C55" s="170"/>
      <c r="D55" s="944"/>
      <c r="E55" s="641"/>
      <c r="F55" s="638"/>
      <c r="G55" s="3006"/>
      <c r="H55" s="886"/>
      <c r="I55" s="772"/>
      <c r="J55" s="773"/>
      <c r="K55" s="2727"/>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4"/>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7"/>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4"/>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1900</v>
      </c>
      <c r="B59" s="217" t="e">
        <f t="shared" si="17"/>
        <v>#DIV/0!</v>
      </c>
      <c r="C59" s="170">
        <f t="shared" si="16"/>
        <v>0.1</v>
      </c>
      <c r="D59" s="944">
        <v>0.25</v>
      </c>
      <c r="E59" s="216">
        <f>'数据-汇总表'!E14</f>
        <v>0</v>
      </c>
      <c r="F59" s="638" t="e">
        <f t="shared" si="15"/>
        <v>#DIV/0!</v>
      </c>
      <c r="G59" s="1986" t="s">
        <v>1891</v>
      </c>
      <c r="H59" s="886" t="str">
        <f>项目基本情况!B37</f>
        <v>九级</v>
      </c>
      <c r="I59" s="772">
        <f>SUMIF(修正!A57:A68,H59,修正!G57:G68)</f>
        <v>0.1</v>
      </c>
      <c r="J59" s="773"/>
      <c r="K59" s="2727"/>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4"/>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8"/>
      <c r="H61" s="938"/>
      <c r="I61" s="938"/>
      <c r="J61" s="938"/>
      <c r="K61" s="2729"/>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2023-6-1</v>
      </c>
      <c r="D63" s="691">
        <f>EDATE(C63,-3)</f>
        <v>44986</v>
      </c>
      <c r="E63" s="691">
        <f>EDATE(D63,-3)</f>
        <v>44896</v>
      </c>
      <c r="F63" s="691">
        <f t="shared" ref="F63:O63" si="18">EDATE(E63,-3)</f>
        <v>44805</v>
      </c>
      <c r="G63" s="691">
        <f t="shared" si="18"/>
        <v>44713</v>
      </c>
      <c r="H63" s="691">
        <f t="shared" si="18"/>
        <v>44621</v>
      </c>
      <c r="I63" s="691">
        <f t="shared" si="18"/>
        <v>44531</v>
      </c>
      <c r="J63" s="691">
        <f t="shared" si="18"/>
        <v>44440</v>
      </c>
      <c r="K63" s="691">
        <f t="shared" si="18"/>
        <v>44348</v>
      </c>
      <c r="L63" s="691">
        <f t="shared" si="18"/>
        <v>44256</v>
      </c>
      <c r="M63" s="691">
        <f t="shared" si="18"/>
        <v>44166</v>
      </c>
      <c r="N63" s="691">
        <f t="shared" si="18"/>
        <v>44075</v>
      </c>
      <c r="O63" s="691">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3" t="s">
        <v>1797</v>
      </c>
      <c r="B64" s="689"/>
      <c r="C64" s="694"/>
      <c r="D64" s="694"/>
      <c r="E64" s="694"/>
      <c r="F64" s="695"/>
      <c r="G64" s="695"/>
      <c r="H64" s="694"/>
      <c r="I64" s="694"/>
      <c r="J64" s="694"/>
      <c r="K64" s="696"/>
      <c r="L64" s="697"/>
      <c r="M64" s="694"/>
      <c r="N64" s="694"/>
      <c r="O64" s="939"/>
      <c r="P64" s="2767"/>
      <c r="Q64" s="2738"/>
      <c r="R64" s="2724"/>
      <c r="S64" s="2724"/>
      <c r="T64" s="2724"/>
      <c r="U64" s="2724"/>
      <c r="V64" s="2724"/>
      <c r="W64" s="2724"/>
      <c r="X64" s="2724"/>
      <c r="Y64" s="2724"/>
      <c r="Z64" s="2724"/>
      <c r="AA64" s="2724"/>
      <c r="AB64" s="2724"/>
      <c r="AC64" s="2724"/>
      <c r="AD64" s="2724"/>
      <c r="AE64" s="2724"/>
    </row>
    <row r="65" spans="1:31" s="456" customFormat="1" ht="15">
      <c r="A65" s="1988" t="s">
        <v>1903</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4"/>
      <c r="Q65" s="2739"/>
      <c r="R65" s="2739"/>
      <c r="S65" s="2739"/>
      <c r="T65" s="2739"/>
      <c r="U65" s="2739"/>
      <c r="V65" s="2739"/>
      <c r="W65" s="2739"/>
      <c r="X65" s="2739"/>
      <c r="Y65" s="2739"/>
      <c r="Z65" s="2739"/>
      <c r="AA65" s="2739"/>
      <c r="AB65" s="2739"/>
      <c r="AC65" s="2739"/>
      <c r="AD65" s="2739"/>
      <c r="AE65" s="2739"/>
    </row>
    <row r="66" spans="1:31" s="107"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1715</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1680</v>
      </c>
      <c r="B68" s="458"/>
      <c r="C68" s="470" t="s">
        <v>1775</v>
      </c>
      <c r="D68" s="471"/>
      <c r="E68" s="471"/>
      <c r="F68" s="471"/>
      <c r="G68" s="471"/>
      <c r="H68" s="471"/>
      <c r="I68" s="471"/>
      <c r="J68" s="471"/>
      <c r="K68" s="471"/>
      <c r="L68" s="472"/>
      <c r="M68" s="473"/>
      <c r="N68" s="2750"/>
      <c r="O68" s="2750"/>
      <c r="P68" s="2775"/>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0"/>
      <c r="O69" s="2750"/>
      <c r="P69" s="2738"/>
      <c r="Q69" s="2738"/>
      <c r="R69" s="2660"/>
      <c r="S69" s="2660"/>
      <c r="T69" s="2660"/>
      <c r="U69" s="2660"/>
      <c r="V69" s="2660"/>
      <c r="W69" s="2660"/>
      <c r="X69" s="2660"/>
      <c r="Y69" s="2660"/>
      <c r="Z69" s="2660"/>
      <c r="AA69" s="2660"/>
      <c r="AB69" s="2660"/>
      <c r="AC69" s="2660"/>
      <c r="AD69" s="2660"/>
      <c r="AE69" s="2660"/>
    </row>
    <row r="70" spans="1:31">
      <c r="A70" s="475" t="s">
        <v>1718</v>
      </c>
      <c r="B70" s="476" t="s">
        <v>1684</v>
      </c>
      <c r="C70" s="478"/>
      <c r="D70" s="478"/>
      <c r="E70" s="478"/>
      <c r="F70" s="478"/>
      <c r="G70" s="478"/>
      <c r="H70" s="478"/>
      <c r="I70" s="478"/>
      <c r="J70" s="478"/>
      <c r="K70" s="479"/>
      <c r="L70" s="480"/>
      <c r="M70" s="481"/>
      <c r="N70" s="2751"/>
      <c r="O70" s="2751"/>
      <c r="P70" s="2776"/>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2"/>
      <c r="O71" s="2752"/>
      <c r="P71" s="2776"/>
      <c r="Q71" s="2738"/>
      <c r="R71" s="2724"/>
      <c r="S71" s="2724"/>
      <c r="T71" s="2724"/>
      <c r="U71" s="2724"/>
      <c r="V71" s="2724"/>
      <c r="W71" s="2724"/>
      <c r="X71" s="2724"/>
      <c r="Y71" s="2724"/>
      <c r="Z71" s="2724"/>
      <c r="AA71" s="2724"/>
      <c r="AB71" s="2724"/>
      <c r="AC71" s="2724"/>
      <c r="AD71" s="2724"/>
      <c r="AE71" s="2724"/>
    </row>
    <row r="72" spans="1:31" ht="27.75" thickTop="1">
      <c r="A72" s="482"/>
      <c r="B72" s="486" t="s">
        <v>1687</v>
      </c>
      <c r="C72" s="487"/>
      <c r="D72" s="487"/>
      <c r="E72" s="487"/>
      <c r="F72" s="487"/>
      <c r="G72" s="487"/>
      <c r="H72" s="487"/>
      <c r="I72" s="487"/>
      <c r="J72" s="487"/>
      <c r="K72" s="488"/>
      <c r="L72" s="489"/>
      <c r="M72" s="490"/>
      <c r="N72" s="2751"/>
      <c r="O72" s="2751"/>
      <c r="P72" s="2776"/>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2"/>
      <c r="O73" s="2752"/>
      <c r="P73" s="2776"/>
      <c r="Q73" s="2738"/>
      <c r="R73" s="2724"/>
      <c r="S73" s="2724"/>
      <c r="T73" s="2724"/>
      <c r="U73" s="2724"/>
      <c r="V73" s="2724"/>
      <c r="W73" s="2724"/>
      <c r="X73" s="2724"/>
      <c r="Y73" s="2724"/>
      <c r="Z73" s="2724"/>
      <c r="AA73" s="2724"/>
      <c r="AB73" s="2724"/>
      <c r="AC73" s="2724"/>
      <c r="AD73" s="2724"/>
      <c r="AE73" s="2724"/>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2"/>
      <c r="O74" s="2752"/>
      <c r="P74" s="2776"/>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1"/>
      <c r="O75" s="2751"/>
      <c r="P75" s="2776"/>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2"/>
      <c r="O76" s="2752"/>
      <c r="P76" s="2776"/>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3"/>
      <c r="O77" s="2753"/>
      <c r="P77" s="2777"/>
      <c r="Q77" s="2744"/>
      <c r="R77" s="2745"/>
      <c r="S77" s="2745"/>
      <c r="T77" s="2745"/>
      <c r="U77" s="2745"/>
      <c r="V77" s="2745"/>
      <c r="W77" s="2745"/>
      <c r="X77" s="2745"/>
      <c r="Y77" s="2745"/>
      <c r="Z77" s="2745"/>
      <c r="AA77" s="2745"/>
      <c r="AB77" s="2745"/>
      <c r="AC77" s="2745"/>
      <c r="AD77" s="2745"/>
      <c r="AE77" s="2745"/>
    </row>
    <row r="78" spans="1:31" s="421" customFormat="1" ht="15.75" thickBot="1">
      <c r="A78" s="501"/>
      <c r="B78" s="491"/>
      <c r="C78" s="508"/>
      <c r="D78" s="484"/>
      <c r="E78" s="484"/>
      <c r="F78" s="484"/>
      <c r="G78" s="484"/>
      <c r="H78" s="484"/>
      <c r="I78" s="484"/>
      <c r="J78" s="484"/>
      <c r="K78" s="484"/>
      <c r="L78" s="484"/>
      <c r="M78" s="485"/>
      <c r="N78" s="2752"/>
      <c r="O78" s="2752"/>
      <c r="P78" s="2777"/>
      <c r="Q78" s="2744"/>
      <c r="R78" s="2745"/>
      <c r="S78" s="2745"/>
      <c r="T78" s="2745"/>
      <c r="U78" s="2745"/>
      <c r="V78" s="2745"/>
      <c r="W78" s="2745"/>
      <c r="X78" s="2745"/>
      <c r="Y78" s="2745"/>
      <c r="Z78" s="2745"/>
      <c r="AA78" s="2745"/>
      <c r="AB78" s="2745"/>
      <c r="AC78" s="2745"/>
      <c r="AD78" s="2745"/>
      <c r="AE78" s="2745"/>
    </row>
    <row r="79" spans="1:31" s="421" customFormat="1" ht="15.75" thickTop="1">
      <c r="A79" s="501"/>
      <c r="B79" s="486">
        <f>B13</f>
        <v>111</v>
      </c>
      <c r="C79" s="502"/>
      <c r="D79" s="502"/>
      <c r="E79" s="502"/>
      <c r="F79" s="502"/>
      <c r="G79" s="502"/>
      <c r="H79" s="503"/>
      <c r="I79" s="503"/>
      <c r="J79" s="503"/>
      <c r="K79" s="503"/>
      <c r="L79" s="504"/>
      <c r="M79" s="505"/>
      <c r="N79" s="2753"/>
      <c r="O79" s="2753"/>
      <c r="P79" s="2722"/>
      <c r="Q79" s="2747"/>
      <c r="R79" s="2745"/>
      <c r="S79" s="2745"/>
      <c r="T79" s="2745"/>
      <c r="U79" s="2745"/>
      <c r="V79" s="2745"/>
      <c r="W79" s="2745"/>
      <c r="X79" s="2745"/>
      <c r="Y79" s="2745"/>
      <c r="Z79" s="2745"/>
      <c r="AA79" s="2745"/>
      <c r="AB79" s="2745"/>
      <c r="AC79" s="2745"/>
      <c r="AD79" s="2745"/>
      <c r="AE79" s="2745"/>
    </row>
    <row r="80" spans="1:31" s="421" customFormat="1" ht="15.75" thickBot="1">
      <c r="A80" s="501"/>
      <c r="B80" s="491"/>
      <c r="C80" s="508"/>
      <c r="D80" s="508"/>
      <c r="E80" s="508"/>
      <c r="F80" s="508"/>
      <c r="G80" s="508"/>
      <c r="H80" s="510"/>
      <c r="I80" s="510"/>
      <c r="J80" s="510"/>
      <c r="K80" s="510"/>
      <c r="L80" s="510"/>
      <c r="M80" s="511"/>
      <c r="N80" s="2753"/>
      <c r="O80" s="2753"/>
      <c r="P80" s="2777"/>
      <c r="Q80" s="2744"/>
      <c r="R80" s="2745"/>
      <c r="S80" s="2745"/>
      <c r="T80" s="2745"/>
      <c r="U80" s="2745"/>
      <c r="V80" s="2745"/>
      <c r="W80" s="2745"/>
      <c r="X80" s="2745"/>
      <c r="Y80" s="2745"/>
      <c r="Z80" s="2745"/>
      <c r="AA80" s="2745"/>
      <c r="AB80" s="2745"/>
      <c r="AC80" s="2745"/>
      <c r="AD80" s="2745"/>
      <c r="AE80" s="2745"/>
    </row>
    <row r="81" spans="1:31" s="421" customFormat="1" ht="15.75" thickTop="1">
      <c r="A81" s="501"/>
      <c r="B81" s="494">
        <f>B14</f>
        <v>111</v>
      </c>
      <c r="C81" s="471"/>
      <c r="D81" s="471"/>
      <c r="E81" s="471"/>
      <c r="F81" s="471"/>
      <c r="G81" s="471"/>
      <c r="H81" s="512"/>
      <c r="I81" s="512"/>
      <c r="J81" s="512"/>
      <c r="K81" s="512"/>
      <c r="L81" s="513"/>
      <c r="M81" s="514"/>
      <c r="N81" s="2753"/>
      <c r="O81" s="2753"/>
      <c r="P81" s="2782"/>
      <c r="Q81" s="2744"/>
      <c r="R81" s="2745"/>
      <c r="S81" s="2745"/>
      <c r="T81" s="2745"/>
      <c r="U81" s="2745"/>
      <c r="V81" s="2745"/>
      <c r="W81" s="2745"/>
      <c r="X81" s="2745"/>
      <c r="Y81" s="2745"/>
      <c r="Z81" s="2745"/>
      <c r="AA81" s="2745"/>
      <c r="AB81" s="2745"/>
      <c r="AC81" s="2745"/>
      <c r="AD81" s="2745"/>
      <c r="AE81" s="2745"/>
    </row>
    <row r="82" spans="1:31" s="421" customFormat="1" ht="15.75" thickBot="1">
      <c r="A82" s="516"/>
      <c r="B82" s="517"/>
      <c r="C82" s="518"/>
      <c r="D82" s="518"/>
      <c r="E82" s="518"/>
      <c r="F82" s="518"/>
      <c r="G82" s="518"/>
      <c r="H82" s="519"/>
      <c r="I82" s="519"/>
      <c r="J82" s="519"/>
      <c r="K82" s="519"/>
      <c r="L82" s="519"/>
      <c r="M82" s="520"/>
      <c r="N82" s="2753"/>
      <c r="O82" s="2753"/>
      <c r="P82" s="2777"/>
      <c r="Q82" s="2744"/>
      <c r="R82" s="2745"/>
      <c r="S82" s="2745"/>
      <c r="T82" s="2745"/>
      <c r="U82" s="2745"/>
      <c r="V82" s="2745"/>
      <c r="W82" s="2745"/>
      <c r="X82" s="2745"/>
      <c r="Y82" s="2745"/>
      <c r="Z82" s="2745"/>
      <c r="AA82" s="2745"/>
      <c r="AB82" s="2745"/>
      <c r="AC82" s="2745"/>
      <c r="AD82" s="2745"/>
      <c r="AE82" s="2745"/>
    </row>
    <row r="83" spans="1:31">
      <c r="A83" s="475" t="s">
        <v>1689</v>
      </c>
      <c r="B83" s="476" t="s">
        <v>1828</v>
      </c>
      <c r="C83" s="521" t="s">
        <v>1720</v>
      </c>
      <c r="D83" s="521" t="s">
        <v>1721</v>
      </c>
      <c r="E83" s="521" t="s">
        <v>1722</v>
      </c>
      <c r="F83" s="521" t="s">
        <v>1723</v>
      </c>
      <c r="G83" s="521" t="s">
        <v>1724</v>
      </c>
      <c r="H83" s="477"/>
      <c r="I83" s="477"/>
      <c r="J83" s="477"/>
      <c r="K83" s="522"/>
      <c r="L83" s="523"/>
      <c r="M83" s="524"/>
      <c r="N83" s="2751"/>
      <c r="O83" s="2751"/>
      <c r="P83" s="2778"/>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2"/>
      <c r="O84" s="2752"/>
      <c r="P84" s="2776"/>
      <c r="Q84" s="2738"/>
      <c r="R84" s="2724"/>
      <c r="S84" s="2724"/>
      <c r="T84" s="2724"/>
      <c r="U84" s="2724"/>
      <c r="V84" s="2724"/>
      <c r="W84" s="2724"/>
      <c r="X84" s="2724"/>
      <c r="Y84" s="2724"/>
      <c r="Z84" s="2724"/>
      <c r="AA84" s="2724"/>
      <c r="AB84" s="2724"/>
      <c r="AC84" s="2724"/>
      <c r="AD84" s="2724"/>
      <c r="AE84" s="2724"/>
    </row>
    <row r="85" spans="1:31" ht="15.75" thickTop="1">
      <c r="A85" s="482"/>
      <c r="B85" s="486" t="s">
        <v>1725</v>
      </c>
      <c r="C85" s="526" t="s">
        <v>1720</v>
      </c>
      <c r="D85" s="526" t="s">
        <v>1721</v>
      </c>
      <c r="E85" s="526" t="s">
        <v>1722</v>
      </c>
      <c r="F85" s="526" t="s">
        <v>1723</v>
      </c>
      <c r="G85" s="526" t="s">
        <v>1724</v>
      </c>
      <c r="H85" s="487"/>
      <c r="I85" s="487"/>
      <c r="J85" s="487"/>
      <c r="K85" s="488"/>
      <c r="L85" s="489"/>
      <c r="M85" s="490"/>
      <c r="N85" s="2751"/>
      <c r="O85" s="2751"/>
      <c r="P85" s="2776"/>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2"/>
      <c r="O86" s="2752"/>
      <c r="P86" s="2776"/>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1906</v>
      </c>
      <c r="C87" s="521" t="s">
        <v>1720</v>
      </c>
      <c r="D87" s="521" t="s">
        <v>1721</v>
      </c>
      <c r="E87" s="521" t="s">
        <v>1722</v>
      </c>
      <c r="F87" s="521" t="s">
        <v>1723</v>
      </c>
      <c r="G87" s="521" t="s">
        <v>1724</v>
      </c>
      <c r="H87" s="526"/>
      <c r="I87" s="526"/>
      <c r="J87" s="526"/>
      <c r="K87" s="526"/>
      <c r="L87" s="645"/>
      <c r="M87" s="569"/>
      <c r="N87" s="2750"/>
      <c r="O87" s="2750"/>
      <c r="P87" s="2776"/>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2"/>
      <c r="O88" s="2752"/>
      <c r="P88" s="2776"/>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1907</v>
      </c>
      <c r="C89" s="521" t="s">
        <v>1720</v>
      </c>
      <c r="D89" s="521" t="s">
        <v>1721</v>
      </c>
      <c r="E89" s="521" t="s">
        <v>1722</v>
      </c>
      <c r="F89" s="521" t="s">
        <v>1723</v>
      </c>
      <c r="G89" s="521" t="s">
        <v>1724</v>
      </c>
      <c r="H89" s="526"/>
      <c r="I89" s="526"/>
      <c r="J89" s="526"/>
      <c r="K89" s="526"/>
      <c r="L89" s="526"/>
      <c r="M89" s="569"/>
      <c r="N89" s="2750"/>
      <c r="O89" s="2750"/>
      <c r="P89" s="2776"/>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2"/>
      <c r="O90" s="2752"/>
      <c r="P90" s="2776"/>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3"/>
      <c r="O91" s="2753"/>
      <c r="P91" s="2777"/>
      <c r="Q91" s="2744"/>
      <c r="R91" s="2745"/>
      <c r="S91" s="2745"/>
      <c r="T91" s="2745"/>
      <c r="U91" s="2745"/>
      <c r="V91" s="2745"/>
      <c r="W91" s="2745"/>
      <c r="X91" s="2745"/>
      <c r="Y91" s="2745"/>
      <c r="Z91" s="2745"/>
      <c r="AA91" s="2745"/>
      <c r="AB91" s="2745"/>
      <c r="AC91" s="2745"/>
      <c r="AD91" s="2745"/>
      <c r="AE91" s="2745"/>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3"/>
      <c r="O92" s="2753"/>
      <c r="P92" s="2777"/>
      <c r="Q92" s="2744"/>
      <c r="R92" s="2745"/>
      <c r="S92" s="2745"/>
      <c r="T92" s="2745"/>
      <c r="U92" s="2745"/>
      <c r="V92" s="2745"/>
      <c r="W92" s="2745"/>
      <c r="X92" s="2745"/>
      <c r="Y92" s="2745"/>
      <c r="Z92" s="2745"/>
      <c r="AA92" s="2745"/>
      <c r="AB92" s="2745"/>
      <c r="AC92" s="2745"/>
      <c r="AD92" s="2745"/>
      <c r="AE92" s="2745"/>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3"/>
      <c r="O93" s="2753"/>
      <c r="P93" s="2777"/>
      <c r="Q93" s="2744"/>
      <c r="R93" s="2745"/>
      <c r="S93" s="2745"/>
      <c r="T93" s="2745"/>
      <c r="U93" s="2745"/>
      <c r="V93" s="2745"/>
      <c r="W93" s="2745"/>
      <c r="X93" s="2745"/>
      <c r="Y93" s="2745"/>
      <c r="Z93" s="2745"/>
      <c r="AA93" s="2745"/>
      <c r="AB93" s="2745"/>
      <c r="AC93" s="2745"/>
      <c r="AD93" s="2745"/>
      <c r="AE93" s="2745"/>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51"/>
      <c r="O95" s="2751"/>
      <c r="P95" s="2776"/>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2"/>
      <c r="O96" s="2752"/>
      <c r="P96" s="2776"/>
      <c r="Q96" s="2738"/>
      <c r="R96" s="2724"/>
      <c r="S96" s="2724"/>
      <c r="T96" s="2724"/>
      <c r="U96" s="2724"/>
      <c r="V96" s="2724"/>
      <c r="W96" s="2724"/>
      <c r="X96" s="2724"/>
      <c r="Y96" s="2724"/>
      <c r="Z96" s="2724"/>
      <c r="AA96" s="2724"/>
      <c r="AB96" s="2724"/>
      <c r="AC96" s="2724"/>
      <c r="AD96" s="2724"/>
      <c r="AE96" s="2724"/>
    </row>
    <row r="97" spans="1:31" ht="27.75" thickTop="1">
      <c r="A97" s="482"/>
      <c r="B97" s="486" t="s">
        <v>1814</v>
      </c>
      <c r="C97" s="502"/>
      <c r="D97" s="502"/>
      <c r="E97" s="502"/>
      <c r="F97" s="502"/>
      <c r="G97" s="502"/>
      <c r="H97" s="531"/>
      <c r="I97" s="531"/>
      <c r="J97" s="531"/>
      <c r="K97" s="532"/>
      <c r="L97" s="533"/>
      <c r="M97" s="534"/>
      <c r="N97" s="2751"/>
      <c r="O97" s="2751"/>
      <c r="P97" s="2776"/>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2"/>
      <c r="O98" s="2752"/>
      <c r="P98" s="2776"/>
      <c r="Q98" s="2738"/>
      <c r="R98" s="2724"/>
      <c r="S98" s="2724"/>
      <c r="T98" s="2724"/>
      <c r="U98" s="2724"/>
      <c r="V98" s="2724"/>
      <c r="W98" s="2724"/>
      <c r="X98" s="2724"/>
      <c r="Y98" s="2724"/>
      <c r="Z98" s="2724"/>
      <c r="AA98" s="2724"/>
      <c r="AB98" s="2724"/>
      <c r="AC98" s="2724"/>
      <c r="AD98" s="2724"/>
      <c r="AE98" s="2724"/>
    </row>
    <row r="99" spans="1:31" ht="15.75" thickTop="1">
      <c r="A99" s="482"/>
      <c r="B99" s="486" t="s">
        <v>1872</v>
      </c>
      <c r="C99" s="531"/>
      <c r="D99" s="531"/>
      <c r="E99" s="531"/>
      <c r="F99" s="531"/>
      <c r="G99" s="531"/>
      <c r="H99" s="531"/>
      <c r="I99" s="531"/>
      <c r="J99" s="531"/>
      <c r="K99" s="532"/>
      <c r="L99" s="533"/>
      <c r="M99" s="534"/>
      <c r="N99" s="2751"/>
      <c r="O99" s="2751"/>
      <c r="P99" s="2776"/>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2"/>
      <c r="O100" s="2752"/>
      <c r="P100" s="2776"/>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1"/>
      <c r="O101" s="2751"/>
      <c r="P101" s="2776"/>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2"/>
      <c r="O102" s="2752"/>
      <c r="P102" s="2776"/>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1"/>
      <c r="O103" s="2751"/>
      <c r="P103" s="2776"/>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2"/>
      <c r="O104" s="2752"/>
      <c r="P104" s="2776"/>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1" customFormat="1" ht="15.75" thickBot="1">
      <c r="A106" s="501"/>
      <c r="B106" s="494"/>
      <c r="C106" s="518"/>
      <c r="D106" s="518"/>
      <c r="E106" s="518"/>
      <c r="F106" s="518"/>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1"/>
      <c r="O107" s="2751"/>
      <c r="P107" s="2776"/>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1"/>
      <c r="O108" s="2751"/>
      <c r="P108" s="2776"/>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2"/>
      <c r="O109" s="2752"/>
      <c r="P109" s="2776"/>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1913</v>
      </c>
      <c r="C110" s="531"/>
      <c r="D110" s="531"/>
      <c r="E110" s="531"/>
      <c r="F110" s="531"/>
      <c r="G110" s="531"/>
      <c r="H110" s="531"/>
      <c r="I110" s="531"/>
      <c r="J110" s="531"/>
      <c r="K110" s="532"/>
      <c r="L110" s="533"/>
      <c r="M110" s="534"/>
      <c r="N110" s="2751"/>
      <c r="O110" s="2751"/>
      <c r="P110" s="2776"/>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2"/>
      <c r="O111" s="2752"/>
      <c r="P111" s="2776"/>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1915</v>
      </c>
      <c r="C112" s="502"/>
      <c r="D112" s="502"/>
      <c r="E112" s="502"/>
      <c r="F112" s="502"/>
      <c r="G112" s="502"/>
      <c r="H112" s="531"/>
      <c r="I112" s="531"/>
      <c r="J112" s="531"/>
      <c r="K112" s="532"/>
      <c r="L112" s="533"/>
      <c r="M112" s="534"/>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7"/>
      <c r="B114" s="486" t="s">
        <v>1916</v>
      </c>
      <c r="C114" s="502"/>
      <c r="D114" s="502"/>
      <c r="E114" s="531"/>
      <c r="F114" s="531"/>
      <c r="G114" s="531"/>
      <c r="H114" s="531"/>
      <c r="I114" s="531"/>
      <c r="J114" s="531"/>
      <c r="K114" s="532"/>
      <c r="L114" s="533"/>
      <c r="M114" s="534"/>
      <c r="N114" s="2751"/>
      <c r="O114" s="2751"/>
      <c r="P114" s="2776"/>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76"/>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1"/>
      <c r="O116" s="2751"/>
      <c r="P116" s="2776"/>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2"/>
      <c r="O117" s="2752"/>
      <c r="P117" s="2776"/>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1"/>
      <c r="O118" s="2751"/>
      <c r="P118" s="2776"/>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2"/>
      <c r="O119" s="2752"/>
      <c r="P119" s="2776"/>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1" customFormat="1" ht="15.75" thickBot="1">
      <c r="A121" s="516"/>
      <c r="B121" s="647"/>
      <c r="C121" s="518"/>
      <c r="D121" s="518"/>
      <c r="E121" s="518"/>
      <c r="F121" s="518"/>
      <c r="G121" s="539"/>
      <c r="H121" s="539"/>
      <c r="I121" s="539"/>
      <c r="J121" s="539"/>
      <c r="K121" s="539"/>
      <c r="L121" s="539"/>
      <c r="M121" s="540"/>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849" t="s">
        <v>2083</v>
      </c>
      <c r="D1" s="3850"/>
      <c r="E1" s="3850"/>
      <c r="F1" s="3850"/>
      <c r="G1" s="3850"/>
      <c r="H1" s="3850"/>
      <c r="I1" s="3850"/>
      <c r="J1" s="3850"/>
      <c r="K1" s="3850"/>
      <c r="L1" s="3850"/>
      <c r="M1" s="3850"/>
      <c r="N1" s="3850"/>
      <c r="O1" s="3850"/>
      <c r="P1" s="3850"/>
      <c r="Q1" s="3850"/>
      <c r="R1" s="3850"/>
      <c r="S1" s="3851"/>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846" t="s">
        <v>27</v>
      </c>
      <c r="D22" s="3847"/>
      <c r="E22" s="3847"/>
      <c r="F22" s="3847"/>
      <c r="G22" s="3847"/>
      <c r="H22" s="3847"/>
      <c r="I22" s="3847"/>
      <c r="J22" s="3847"/>
      <c r="K22" s="3847"/>
      <c r="L22" s="3847"/>
      <c r="M22" s="3847"/>
      <c r="N22" s="3847"/>
      <c r="O22" s="3847"/>
      <c r="P22" s="3847"/>
      <c r="Q22" s="3848"/>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1"/>
      <c r="G1" s="2791"/>
      <c r="H1" s="2791"/>
      <c r="I1" s="2791"/>
      <c r="J1" s="2791"/>
      <c r="K1" s="2791"/>
      <c r="L1" s="2791"/>
      <c r="M1" s="2791"/>
      <c r="N1" s="2791"/>
      <c r="O1" s="2791"/>
      <c r="P1" s="2791"/>
    </row>
    <row r="2" spans="1:16" ht="15.75">
      <c r="A2" s="2144" t="s">
        <v>2072</v>
      </c>
      <c r="B2" s="2601" t="e">
        <f ca="1">SUMIF(B6:B13,"&lt;&gt;#ref!",B6:B13)</f>
        <v>#DIV/0!</v>
      </c>
      <c r="C2" s="2144" t="s">
        <v>2073</v>
      </c>
      <c r="D2" s="2144" t="s">
        <v>2074</v>
      </c>
      <c r="E2" s="2611">
        <f ca="1">SUMIF(E6:E13,"&lt;&gt;#ref!",E6:E13)</f>
        <v>0</v>
      </c>
      <c r="F2" s="2791"/>
      <c r="G2" s="2791"/>
      <c r="H2" s="2791"/>
      <c r="I2" s="2791"/>
      <c r="J2" s="2791"/>
      <c r="K2" s="2791"/>
      <c r="L2" s="2791"/>
      <c r="M2" s="2791"/>
      <c r="N2" s="2791"/>
      <c r="O2" s="2791"/>
      <c r="P2" s="2791"/>
    </row>
    <row r="3" spans="1:16" ht="15.75">
      <c r="A3" s="2144" t="s">
        <v>2075</v>
      </c>
      <c r="B3" s="2601" t="e">
        <f ca="1">ROUND(B2*10000/E2,0)</f>
        <v>#DIV/0!</v>
      </c>
      <c r="C3" s="2144"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5"/>
      <c r="D5" s="2791"/>
      <c r="E5" s="2610" t="s">
        <v>2078</v>
      </c>
      <c r="F5" s="2791"/>
      <c r="G5" s="2791"/>
      <c r="H5" s="2791"/>
      <c r="I5" s="2791"/>
      <c r="J5" s="2791"/>
      <c r="K5" s="2791"/>
      <c r="L5" s="2791"/>
      <c r="M5" s="2791"/>
      <c r="N5" s="2791"/>
      <c r="O5" s="2791"/>
      <c r="P5" s="2791"/>
    </row>
    <row r="6" spans="1:16" ht="15.75">
      <c r="A6" s="2608" t="s">
        <v>2079</v>
      </c>
      <c r="B6" s="2601" t="e">
        <f ca="1">SUMIF(INDIRECT("'"&amp;A6&amp;"'"&amp;"!A:A"),"总价",INDIRECT("'"&amp;A6&amp;"'"&amp;"!B:B"))</f>
        <v>#DIV/0!</v>
      </c>
      <c r="C6" s="2144"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4"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4"/>
      <c r="C2" s="3564"/>
      <c r="D2" s="3564"/>
      <c r="E2" s="3564"/>
    </row>
    <row r="3" spans="1:5" ht="18">
      <c r="A3" s="3565" t="str">
        <f>IF(项目基本情况!B9="房地产市场价值","估价结果一览表（市场价值不需“结果表-1”）","估价结果一览表")</f>
        <v>估价结果一览表</v>
      </c>
      <c r="B3" s="3565"/>
      <c r="C3" s="3565"/>
      <c r="D3" s="3565"/>
      <c r="E3" s="3565"/>
    </row>
    <row r="4" spans="1:5" ht="19.5" thickBot="1">
      <c r="A4" s="1492"/>
      <c r="B4" s="3563" t="s">
        <v>917</v>
      </c>
      <c r="C4" s="3563"/>
      <c r="D4" s="3563"/>
      <c r="E4" s="1492"/>
    </row>
    <row r="5" spans="1:5" ht="16.5" thickTop="1">
      <c r="A5" s="1490"/>
      <c r="B5" s="3561" t="s">
        <v>909</v>
      </c>
      <c r="C5" s="1493" t="s">
        <v>910</v>
      </c>
      <c r="D5" s="849">
        <f ca="1">结果表!H101</f>
        <v>272808</v>
      </c>
      <c r="E5" s="1490"/>
    </row>
    <row r="6" spans="1:5" ht="15.75">
      <c r="A6" s="1490"/>
      <c r="B6" s="3561"/>
      <c r="C6" s="1493" t="s">
        <v>911</v>
      </c>
      <c r="D6" s="849" t="str">
        <f ca="1">NUMBERSTRING(INT(D5*10000),2)&amp;"元整"</f>
        <v>贰拾柒亿贰仟捌佰零捌万元整</v>
      </c>
      <c r="E6" s="1490"/>
    </row>
    <row r="7" spans="1:5" ht="15.75">
      <c r="A7" s="1490"/>
      <c r="B7" s="3566"/>
      <c r="C7" s="1494" t="s">
        <v>912</v>
      </c>
      <c r="D7" s="850">
        <f ca="1">结果表!H102</f>
        <v>47495</v>
      </c>
      <c r="E7" s="1490"/>
    </row>
    <row r="8" spans="1:5" ht="15.75">
      <c r="A8" s="1490"/>
      <c r="B8" s="3567" t="str">
        <f>结果表!E103</f>
        <v>2.估价师知悉的除抵押担保权以外的法定优先受偿款</v>
      </c>
      <c r="C8" s="1495" t="s">
        <v>913</v>
      </c>
      <c r="D8" s="850">
        <f>结果表!H103</f>
        <v>0</v>
      </c>
      <c r="E8" s="1490"/>
    </row>
    <row r="9" spans="1:5" ht="15.75">
      <c r="A9" s="1490"/>
      <c r="B9" s="35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60" t="str">
        <f>结果表!E107</f>
        <v>——</v>
      </c>
      <c r="C13" s="1498" t="s">
        <v>910</v>
      </c>
      <c r="D13" s="852" t="str">
        <f>结果表!H107</f>
        <v>——</v>
      </c>
      <c r="E13" s="1490"/>
    </row>
    <row r="14" spans="1:5" ht="15.75">
      <c r="A14" s="1490"/>
      <c r="B14" s="3561"/>
      <c r="C14" s="1493" t="s">
        <v>911</v>
      </c>
      <c r="D14" s="849" t="e">
        <f>NUMBERSTRING(INT(D13*10000),2)&amp;"元整"</f>
        <v>#VALUE!</v>
      </c>
      <c r="E14" s="1490"/>
    </row>
    <row r="15" spans="1:5" ht="15">
      <c r="A15" s="1490"/>
      <c r="B15" s="3566"/>
      <c r="C15" s="1494" t="s">
        <v>921</v>
      </c>
      <c r="D15" s="858" t="e">
        <f ca="1">结果表!H108</f>
        <v>#VALUE!</v>
      </c>
      <c r="E15" s="1490"/>
    </row>
    <row r="16" spans="1:5" ht="15">
      <c r="A16" s="1490"/>
      <c r="B16" s="3567" t="str">
        <f>结果表!E109</f>
        <v>3.抵押担保权已注销时的房地产抵押价值</v>
      </c>
      <c r="C16" s="1498" t="s">
        <v>922</v>
      </c>
      <c r="D16" s="1499">
        <f ca="1">结果表!H109</f>
        <v>272808</v>
      </c>
      <c r="E16" s="1490"/>
    </row>
    <row r="17" spans="1:5" ht="15.75">
      <c r="A17" s="1490"/>
      <c r="B17" s="3568"/>
      <c r="C17" s="1493" t="s">
        <v>923</v>
      </c>
      <c r="D17" s="849" t="str">
        <f ca="1">NUMBERSTRING(INT(D16*10000),2)&amp;"元整"</f>
        <v>贰拾柒亿贰仟捌佰零捌万元整</v>
      </c>
      <c r="E17" s="1490"/>
    </row>
    <row r="18" spans="1:5" ht="15">
      <c r="A18" s="1490"/>
      <c r="B18" s="3569"/>
      <c r="C18" s="1494" t="s">
        <v>912</v>
      </c>
      <c r="D18" s="858">
        <f ca="1">结果表!H110</f>
        <v>46755</v>
      </c>
      <c r="E18" s="1490"/>
    </row>
    <row r="19" spans="1:5" ht="15.75">
      <c r="A19" s="1490"/>
      <c r="B19" s="3560" t="str">
        <f>结果表!E111</f>
        <v>——</v>
      </c>
      <c r="C19" s="1498" t="s">
        <v>910</v>
      </c>
      <c r="D19" s="850" t="str">
        <f>结果表!H111</f>
        <v>——</v>
      </c>
      <c r="E19" s="1490"/>
    </row>
    <row r="20" spans="1:5" ht="15.75">
      <c r="A20" s="1490"/>
      <c r="B20" s="3561"/>
      <c r="C20" s="1493" t="s">
        <v>923</v>
      </c>
      <c r="D20" s="849" t="e">
        <f>NUMBERSTRING(INT(D19*10000),2)&amp;"元整"</f>
        <v>#VALUE!</v>
      </c>
      <c r="E20" s="1490"/>
    </row>
    <row r="21" spans="1:5" ht="15.75" thickBot="1">
      <c r="A21" s="1490"/>
      <c r="B21" s="35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M49" sqref="M4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0</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t="e">
        <f>C30</f>
        <v>#DIV/0!</v>
      </c>
      <c r="C2" s="1998" t="s">
        <v>1934</v>
      </c>
      <c r="D2" s="1999" t="s">
        <v>1935</v>
      </c>
      <c r="E2" s="3420"/>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2" t="s">
        <v>1939</v>
      </c>
      <c r="B3" s="203" t="e">
        <f>ROUND(B2*10000/D1,0)</f>
        <v>#DIV/0!</v>
      </c>
      <c r="C3" s="1998" t="s">
        <v>1940</v>
      </c>
      <c r="D3" s="1999" t="s">
        <v>1941</v>
      </c>
      <c r="E3" s="3418"/>
      <c r="F3" s="2003"/>
      <c r="G3" s="751">
        <f>IF(F3="宗地容积率",'数据-汇总表'!I4,IF(F3="估价对象容积率",'数据-汇总表'!I6,'数据-汇总表'!I7))</f>
        <v>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859"/>
      <c r="B4" s="3860"/>
      <c r="C4" s="3860"/>
      <c r="D4" s="3861"/>
      <c r="E4" s="3861"/>
      <c r="F4" s="3861"/>
      <c r="G4" s="3861"/>
      <c r="H4" s="3861"/>
      <c r="I4" s="3861"/>
      <c r="J4" s="3862"/>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t="e">
        <f>ROUND(IF(E2="商业",C6*C7*C17+C20,(IF(E2="住宅",C6*C13*C17+C20,IF(E2="办公",C6*C12*C17+C20,C6+C20)))),0)</f>
        <v>#DIV/0!</v>
      </c>
      <c r="D5" s="1338" t="e">
        <f>ROUND(C6*C17+C20,0)</f>
        <v>#DIV/0!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75" thickBot="1">
      <c r="A7" s="3302" t="s">
        <v>3242</v>
      </c>
      <c r="B7" s="2020" t="s">
        <v>1951</v>
      </c>
      <c r="C7" s="754" t="e">
        <f>IF(C8="不临65条商业街",1,ROUND(1+(1.6*E8+1.2*E9+0.8*E10+0.4*E11)*C9,4))</f>
        <v>#DIV/0!</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7"/>
      <c r="T7" s="3359" t="e">
        <f t="shared" si="0"/>
        <v>#DIV/0!</v>
      </c>
      <c r="U7" s="1212"/>
      <c r="V7" s="3359" t="e">
        <f t="shared" si="1"/>
        <v>#DIV/0!</v>
      </c>
      <c r="W7" s="1357" t="s">
        <v>1954</v>
      </c>
      <c r="X7" s="1213">
        <f>G2</f>
        <v>0</v>
      </c>
      <c r="Y7" s="1213" t="s">
        <v>1955</v>
      </c>
      <c r="Z7" s="1214">
        <f>G3</f>
        <v>1</v>
      </c>
      <c r="AA7" s="1215"/>
      <c r="AB7" s="1215"/>
      <c r="AC7" s="1216"/>
      <c r="AD7" s="1217"/>
      <c r="AE7" s="1217"/>
      <c r="AF7" s="1217"/>
      <c r="AG7" s="1217"/>
      <c r="AH7" s="1217"/>
      <c r="AI7" s="1217"/>
      <c r="AJ7" s="1218"/>
    </row>
    <row r="8" spans="1:36" ht="15">
      <c r="A8" s="3297"/>
      <c r="B8" s="169" t="s">
        <v>1956</v>
      </c>
      <c r="C8" s="2025"/>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9" t="e">
        <f t="shared" si="0"/>
        <v>#DIV/0!</v>
      </c>
      <c r="U8" s="1212"/>
      <c r="V8" s="3359" t="e">
        <f t="shared" si="1"/>
        <v>#DIV/0!</v>
      </c>
      <c r="W8" s="3856" t="s">
        <v>1959</v>
      </c>
      <c r="X8" s="3857"/>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9" t="e">
        <f t="shared" si="0"/>
        <v>#DIV/0!</v>
      </c>
      <c r="U9" s="1212"/>
      <c r="V9" s="3359" t="e">
        <f t="shared" si="1"/>
        <v>#DIV/0!</v>
      </c>
      <c r="W9" s="3858"/>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9" t="e">
        <f t="shared" si="0"/>
        <v>#DIV/0!</v>
      </c>
      <c r="U10" s="1212"/>
      <c r="V10" s="3359" t="e">
        <f t="shared" si="1"/>
        <v>#DIV/0!</v>
      </c>
      <c r="W10" s="385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3247</v>
      </c>
      <c r="B13" s="2033" t="s">
        <v>1981</v>
      </c>
      <c r="C13" s="754">
        <f>ROUND(C16*D16*E16*F16*G16*H16*I16*J16,4)</f>
        <v>0</v>
      </c>
      <c r="D13" s="2034" t="s">
        <v>1982</v>
      </c>
      <c r="E13" s="2035"/>
      <c r="F13" s="2035"/>
      <c r="G13" s="2036"/>
      <c r="H13" s="2036"/>
      <c r="I13" s="2036"/>
      <c r="J13" s="2037"/>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9" t="s">
        <v>1984</v>
      </c>
      <c r="C14" s="2040" t="s">
        <v>1985</v>
      </c>
      <c r="D14" s="1349" t="s">
        <v>1986</v>
      </c>
      <c r="E14" s="27" t="s">
        <v>1987</v>
      </c>
      <c r="F14" s="3310" t="s">
        <v>3248</v>
      </c>
      <c r="G14" s="3310" t="s">
        <v>3248</v>
      </c>
      <c r="H14" s="3310" t="s">
        <v>3248</v>
      </c>
      <c r="I14" s="3310" t="s">
        <v>3248</v>
      </c>
      <c r="J14" s="3310" t="s">
        <v>3248</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3249</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8"/>
      <c r="L16" s="1996"/>
      <c r="M16" s="1996"/>
      <c r="N16" s="1996"/>
      <c r="O16" s="1996"/>
      <c r="P16" s="1996"/>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3253</v>
      </c>
      <c r="E18" s="3327"/>
      <c r="F18" s="3322" t="s">
        <v>3256</v>
      </c>
      <c r="G18" s="3326">
        <f>ROUND(1-(1/(POWER(1+G24,E18))),4)</f>
        <v>0</v>
      </c>
      <c r="H18" s="3322" t="s">
        <v>3258</v>
      </c>
      <c r="I18" s="3326">
        <f>ROUND(1-(1/(POWER(1+G24,J24))),4)</f>
        <v>0</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3254</v>
      </c>
      <c r="E19" s="3336"/>
      <c r="F19" s="3337" t="s">
        <v>3257</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863" t="s">
        <v>3259</v>
      </c>
      <c r="B20" s="166" t="s">
        <v>1993</v>
      </c>
      <c r="C20" s="3323" t="e">
        <f>ROUND(IF(F21="与级别开发程度一致",0,(G21-E21)/C21),0)</f>
        <v>#DIV/0!</v>
      </c>
      <c r="D20" s="3339" t="s">
        <v>1997</v>
      </c>
      <c r="E20" s="3340"/>
      <c r="F20" s="3869" t="s">
        <v>1994</v>
      </c>
      <c r="G20" s="3870"/>
      <c r="H20" s="3324"/>
      <c r="I20" s="3324"/>
      <c r="J20" s="3325"/>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864"/>
      <c r="B21" s="2163" t="s">
        <v>1996</v>
      </c>
      <c r="C21" s="2164">
        <f>IF(E3="M4科研用地",SUMPRODUCT((修正!A2:A7=E3)*(修正!B1:M1=G2)*(修正!B2:M7)),SUMPRODUCT((修正!A2:A7=E2)*(修正!B1:M1=G2)*(修正!B2:M7)))</f>
        <v>0</v>
      </c>
      <c r="D21" s="186"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1999</v>
      </c>
      <c r="C22" s="2159">
        <f>SUMIF(修正!C20:C51,E3,修正!E20:E51)</f>
        <v>0</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2001</v>
      </c>
      <c r="E23" s="760">
        <v>44197</v>
      </c>
      <c r="F23" s="2053" t="s">
        <v>2002</v>
      </c>
      <c r="G23" s="761">
        <f>'数据-取费表'!B2</f>
        <v>45105</v>
      </c>
      <c r="H23" s="3341" t="s">
        <v>3261</v>
      </c>
      <c r="I23" s="3342" t="str">
        <f>IF(H23="季度增幅（自定义）",SUMIF(N25:N28,E2,O25:O28),"")</f>
        <v/>
      </c>
      <c r="J23" s="3444" t="s">
        <v>3260</v>
      </c>
      <c r="K23" s="1124"/>
      <c r="L23" s="2054" t="s">
        <v>2003</v>
      </c>
      <c r="M23" s="1327">
        <f>ROUND(SUMIF(地价!B2:G2,E2,地价!B16:G16),0)</f>
        <v>0</v>
      </c>
      <c r="N23" s="2055" t="s">
        <v>2004</v>
      </c>
      <c r="O23" s="762">
        <f>ROUNDDOWN(DATEDIF(E23,G23,"M")/3,0)</f>
        <v>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t="e">
        <f>ROUND(POWER(1+G24,J24-I24)*(POWER(1+G24,I24)-1)/(POWER(1+G24,J24)-1),4)</f>
        <v>#DIV/0!</v>
      </c>
      <c r="D24" s="2059" t="s">
        <v>2006</v>
      </c>
      <c r="E24" s="1334">
        <f>存贷款利率!E23/100</f>
        <v>4.3499999999999997E-2</v>
      </c>
      <c r="F24" s="2059" t="s">
        <v>1998</v>
      </c>
      <c r="G24" s="767">
        <f>SUMIF(M30:Q30,E2,M33:Q33)</f>
        <v>0</v>
      </c>
      <c r="H24" s="2059" t="s">
        <v>2007</v>
      </c>
      <c r="I24" s="768" t="e">
        <f>SUMIF('数据-取费表'!C6:C15,E2,'数据-取费表'!F6:F15)/COUNTIF('数据-取费表'!C6:C15,E2)</f>
        <v>#DIV/0!</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3340</v>
      </c>
      <c r="C25" s="770">
        <f>IF(B25="容积率修正",IF(G3&lt;10,D26,J26),C27)</f>
        <v>0</v>
      </c>
      <c r="D25" s="2066"/>
      <c r="E25" s="2066"/>
      <c r="F25" s="2066"/>
      <c r="G25" s="2066"/>
      <c r="H25" s="2066"/>
      <c r="I25" s="2066"/>
      <c r="J25" s="2067"/>
      <c r="K25" s="1124"/>
      <c r="L25" s="2786"/>
      <c r="M25" s="2786"/>
      <c r="N25" s="2068" t="s">
        <v>2012</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3" t="s">
        <v>3262</v>
      </c>
      <c r="D26" s="1351">
        <f>IF(E26=G26,F26,IF(G3&lt;10,ROUND(F26+(H26-F26)*(G3-E26)/(G26-E26),4),"——"))</f>
        <v>0</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1" t="str">
        <f>IF(G3&gt;=10,D115,"——")</f>
        <v>——</v>
      </c>
      <c r="K26" s="1124"/>
      <c r="L26" s="2786"/>
      <c r="M26" s="2786"/>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0</v>
      </c>
      <c r="D28" s="2051"/>
      <c r="E28" s="2076"/>
      <c r="F28" s="2076"/>
      <c r="G28" s="2076"/>
      <c r="H28" s="2076"/>
      <c r="I28" s="2076"/>
      <c r="J28" s="2077"/>
      <c r="K28" s="1124"/>
      <c r="L28" s="2786"/>
      <c r="M28" s="2786"/>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3" t="s">
        <v>2022</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8"/>
      <c r="L30" s="3349" t="s">
        <v>1935</v>
      </c>
      <c r="M30" s="3350" t="s">
        <v>1989</v>
      </c>
      <c r="N30" s="3350" t="s">
        <v>1990</v>
      </c>
      <c r="O30" s="3350" t="s">
        <v>1991</v>
      </c>
      <c r="P30" s="3350" t="s">
        <v>1992</v>
      </c>
      <c r="Q30" s="3353"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t="e">
        <f>E34+SUM(I37:I42)</f>
        <v>#DIV/0!</v>
      </c>
      <c r="D31" s="2086"/>
      <c r="E31" s="2087"/>
      <c r="F31" s="2088"/>
      <c r="G31" s="2087"/>
      <c r="H31" s="2087"/>
      <c r="I31" s="2087"/>
      <c r="J31" s="2089"/>
      <c r="K31" s="1118"/>
      <c r="L31" s="3351" t="s">
        <v>1995</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2" t="s">
        <v>1998</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t="e">
        <f>ROUND(C5*C22*C23*C24*C25*C28,0)</f>
        <v>#DIV/0!</v>
      </c>
      <c r="D33" s="2097"/>
      <c r="E33" s="772" t="e">
        <f>ROUND(C33*D33/10000,0)</f>
        <v>#DIV/0!</v>
      </c>
      <c r="F33" s="3344" t="s">
        <v>3265</v>
      </c>
      <c r="G33" s="2098"/>
      <c r="H33" s="2098"/>
      <c r="I33" s="2098"/>
      <c r="J33" s="2099"/>
      <c r="K33" s="1118"/>
      <c r="L33" s="3347" t="s">
        <v>3268</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t="e">
        <f>ROUND(IF(E2="工业",C33*M42,IF(B25="楼层修正",SUM(V2:V16)*M41*10000/D34,C33*M41)),0)</f>
        <v>#DIV/0!</v>
      </c>
      <c r="D34" s="2102"/>
      <c r="E34" s="772" t="e">
        <f>ROUND(IF(B25="楼层修正",SUM(V2:V16)*M40,C34*D34/10000),0)</f>
        <v>#DIV/0!</v>
      </c>
      <c r="F34" s="2103" t="s">
        <v>2031</v>
      </c>
      <c r="G34" s="2104"/>
      <c r="H34" s="2104"/>
      <c r="I34" s="2104"/>
      <c r="J34" s="2105"/>
      <c r="K34" s="1118"/>
      <c r="L34" s="3347" t="s">
        <v>3269</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5" t="s">
        <v>3266</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5" t="s">
        <v>3270</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67"/>
      <c r="B37" s="2112" t="s">
        <v>2035</v>
      </c>
      <c r="C37" s="174" t="e">
        <f>ROUND(D5*C22*C23*C24*C28*F37,0)</f>
        <v>#DIV/0!</v>
      </c>
      <c r="D37" s="2097"/>
      <c r="E37" s="170" t="e">
        <f>ROUND(C37*D37/10000,0)</f>
        <v>#DIV/0!</v>
      </c>
      <c r="F37" s="170">
        <f>SUMIF(修正!A57:A68,G2,修正!B57:B68)</f>
        <v>0</v>
      </c>
      <c r="G37" s="170" t="e">
        <f>ROUND(IF(E2="工业",C37*$M$42,C37*$M$41),0)</f>
        <v>#DIV/0!</v>
      </c>
      <c r="H37" s="170">
        <f>D37</f>
        <v>0</v>
      </c>
      <c r="I37" s="170" t="e">
        <f>ROUND(G37*H37/10000,0)</f>
        <v>#DIV/0!</v>
      </c>
      <c r="J37" s="3010"/>
      <c r="K37" s="3357" t="s">
        <v>3271</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68"/>
      <c r="B38" s="2040" t="s">
        <v>2036</v>
      </c>
      <c r="C38" s="174" t="e">
        <f>ROUND(D5*C22*C23*C24*C28*F38,0)</f>
        <v>#DIV/0!</v>
      </c>
      <c r="D38" s="2097"/>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868"/>
      <c r="B39" s="2040" t="s">
        <v>3264</v>
      </c>
      <c r="C39" s="174" t="e">
        <f>ROUND(D5*C22*C23*C24*C28*F39,0)</f>
        <v>#DIV/0!</v>
      </c>
      <c r="D39" s="2097"/>
      <c r="E39" s="170" t="e">
        <f t="shared" si="4"/>
        <v>#DIV/0!</v>
      </c>
      <c r="F39" s="170">
        <f>SUMIF(修正!A57:A68,G2,修正!D57:D68)</f>
        <v>0</v>
      </c>
      <c r="G39" s="170" t="e">
        <f>ROUND(IF(E2="工业",C39*$M$42,C39*$M$41),0)</f>
        <v>#DIV/0!</v>
      </c>
      <c r="H39" s="170">
        <f t="shared" si="5"/>
        <v>0</v>
      </c>
      <c r="I39" s="170"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t="e">
        <f>ROUND(D5*C22*C23*C24*C28*F40,0)</f>
        <v>#DIV/0!</v>
      </c>
      <c r="D40" s="2097"/>
      <c r="E40" s="170" t="e">
        <f t="shared" si="4"/>
        <v>#DIV/0!</v>
      </c>
      <c r="F40" s="174">
        <f>SUMIF(修正!A57:A68,G2,修正!E57:E68)</f>
        <v>0</v>
      </c>
      <c r="G40" s="170" t="e">
        <f>ROUND(IF(E2="工业",C40*$M$42,C40*$M$41),0)</f>
        <v>#DIV/0!</v>
      </c>
      <c r="H40" s="170">
        <f t="shared" si="5"/>
        <v>0</v>
      </c>
      <c r="I40" s="170" t="e">
        <f t="shared" si="6"/>
        <v>#DIV/0!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t="e">
        <f>ROUND(D5*C22*C23*C44*C28*F41,0)</f>
        <v>#DIV/0!</v>
      </c>
      <c r="D41" s="2097"/>
      <c r="E41" s="170" t="e">
        <f t="shared" si="4"/>
        <v>#DIV/0!</v>
      </c>
      <c r="F41" s="174">
        <f>SUMIF(修正!A57:A68,G2,修正!F57:F68)</f>
        <v>0</v>
      </c>
      <c r="G41" s="170" t="e">
        <f>ROUND(IF(E2="工业",C41*$M$42,C41*$M$41),0)</f>
        <v>#DIV/0!</v>
      </c>
      <c r="H41" s="170">
        <f t="shared" si="5"/>
        <v>0</v>
      </c>
      <c r="I41" s="170" t="e">
        <f t="shared" si="6"/>
        <v>#DIV/0!</v>
      </c>
      <c r="J41" s="2113"/>
      <c r="L41" s="3358" t="s">
        <v>3272</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t="e">
        <f>ROUND(D5*C22*C23*C44*C28*F42,0)</f>
        <v>#DIV/0!</v>
      </c>
      <c r="D42" s="2102"/>
      <c r="E42" s="186" t="e">
        <f t="shared" si="4"/>
        <v>#DIV/0!</v>
      </c>
      <c r="F42" s="766">
        <f>SUMIF(修正!A57:A68,G2,修正!G57:G68)</f>
        <v>0</v>
      </c>
      <c r="G42" s="186" t="e">
        <f>ROUND(IF(E2="工业",C42*$M$42,C42*$M$41),0)</f>
        <v>#DIV/0!</v>
      </c>
      <c r="H42" s="186">
        <f t="shared" si="5"/>
        <v>0</v>
      </c>
      <c r="I42" s="186" t="e">
        <f t="shared" si="6"/>
        <v>#DIV/0!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t="e">
        <f>ROUND(POWER(1+E44,H44-G44)*(POWER(1+E44,G44)-1)/(POWER(1+E44,H44)-1),4)</f>
        <v>#DIV/0!</v>
      </c>
      <c r="D44" s="170" t="s">
        <v>1998</v>
      </c>
      <c r="E44" s="2152">
        <f>G24</f>
        <v>0</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3274</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2058</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2059</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3274</v>
      </c>
      <c r="B63" s="2133">
        <f>估价对象房地状况!C19</f>
        <v>0</v>
      </c>
      <c r="C63" s="2043"/>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2053</v>
      </c>
      <c r="B64" s="2134" t="s">
        <v>2054</v>
      </c>
      <c r="C64" s="2043"/>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2056</v>
      </c>
      <c r="B66" s="2135" t="s">
        <v>2057</v>
      </c>
      <c r="C66" s="2043"/>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2058</v>
      </c>
      <c r="B67" s="1325" t="str">
        <f>估价对象房地状况!C21</f>
        <v>估价对象所在区域公共配套设施齐备情况</v>
      </c>
      <c r="C67" s="2043"/>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2059</v>
      </c>
      <c r="B68" s="1325" t="str">
        <f>估价对象房地状况!C22</f>
        <v>估价对象所在区域基础设施水平</v>
      </c>
      <c r="C68" s="2043"/>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7" t="s">
        <v>3274</v>
      </c>
      <c r="B74" s="2133">
        <f>估价对象房地状况!C19</f>
        <v>0</v>
      </c>
      <c r="C74" s="2043"/>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2058</v>
      </c>
      <c r="B76" s="1325" t="str">
        <f>估价对象房地状况!C21</f>
        <v>估价对象所在区域公共配套设施齐备情况</v>
      </c>
      <c r="C76" s="2043"/>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2059</v>
      </c>
      <c r="B77" s="1325" t="str">
        <f>估价对象房地状况!C22</f>
        <v>估价对象所在区域基础设施水平</v>
      </c>
      <c r="C77" s="2043"/>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2056</v>
      </c>
      <c r="B78" s="2135" t="s">
        <v>2057</v>
      </c>
      <c r="C78" s="2043"/>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2060</v>
      </c>
      <c r="B79" s="2132" t="str">
        <f>估价对象房地状况!C20</f>
        <v>区域自然环境：；人文环境；综合评价环境状况一般</v>
      </c>
      <c r="C79" s="2043"/>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7"/>
      <c r="AA79" s="2052"/>
      <c r="AG79" s="1120"/>
      <c r="AK79" s="2052"/>
    </row>
    <row r="80" spans="1:37" ht="24.75" thickBot="1">
      <c r="A80" s="2137" t="s">
        <v>2067</v>
      </c>
      <c r="B80" s="2141"/>
      <c r="C80" s="2043"/>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7"/>
      <c r="AA84" s="2052"/>
      <c r="AG84" s="1120"/>
      <c r="AK84" s="2052"/>
    </row>
    <row r="85" spans="1:37" ht="36">
      <c r="A85" s="3367" t="s">
        <v>3275</v>
      </c>
      <c r="B85" s="2133">
        <f>估价对象房地状况!G17</f>
        <v>0</v>
      </c>
      <c r="C85" s="2043"/>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7"/>
      <c r="AA85" s="2052"/>
      <c r="AG85" s="1120"/>
      <c r="AK85" s="2052"/>
    </row>
    <row r="86" spans="1:37" ht="14.25">
      <c r="A86" s="2129" t="s">
        <v>2066</v>
      </c>
      <c r="B86" s="2133">
        <f>估价对象房地状况!G22</f>
        <v>0</v>
      </c>
      <c r="C86" s="2043"/>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7"/>
      <c r="AA86" s="2052"/>
      <c r="AG86" s="1120"/>
      <c r="AK86" s="2052"/>
    </row>
    <row r="87" spans="1:37" ht="25.5">
      <c r="A87" s="2129" t="s">
        <v>2058</v>
      </c>
      <c r="B87" s="1325" t="str">
        <f>估价对象房地状况!G19</f>
        <v>估价对象所在区域公共配套设施齐备情况</v>
      </c>
      <c r="C87" s="2043"/>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5.5">
      <c r="A88" s="2129" t="s">
        <v>2059</v>
      </c>
      <c r="B88" s="1325" t="str">
        <f>估价对象房地状况!G20</f>
        <v>估价对象所在区域基础设施水平</v>
      </c>
      <c r="C88" s="2043"/>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9" t="s">
        <v>2056</v>
      </c>
      <c r="B89" s="2135" t="s">
        <v>2070</v>
      </c>
      <c r="C89" s="2043"/>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7" t="s">
        <v>2071</v>
      </c>
      <c r="B90" s="2142" t="str">
        <f>估价对象房地状况!G18</f>
        <v>该园区内是否有污染型企业，绿化情况，卫生条件，整体环境状况判断</v>
      </c>
      <c r="C90" s="2043"/>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2615</v>
      </c>
      <c r="B91" s="3376">
        <f>1+E93</f>
        <v>1</v>
      </c>
      <c r="C91" s="3369"/>
      <c r="D91" s="3370"/>
      <c r="E91" s="1813"/>
      <c r="F91" s="1813"/>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65" t="s">
        <v>3299</v>
      </c>
      <c r="B103" s="3865"/>
      <c r="C103" s="3865"/>
      <c r="D103" s="3865"/>
      <c r="E103" s="3865"/>
      <c r="F103" s="3865"/>
      <c r="G103" s="3865"/>
      <c r="H103" s="3865"/>
      <c r="I103" s="3865"/>
      <c r="J103" s="3865"/>
      <c r="K103" s="3388"/>
      <c r="L103" s="3388"/>
      <c r="M103" s="3388"/>
      <c r="N103" s="3388"/>
    </row>
    <row r="104" spans="1:14">
      <c r="A104" s="3866" t="s">
        <v>3300</v>
      </c>
      <c r="B104" s="3866" t="s">
        <v>3301</v>
      </c>
      <c r="C104" s="3389" t="s">
        <v>3302</v>
      </c>
      <c r="D104" s="3390"/>
      <c r="E104" s="3390"/>
      <c r="F104" s="3390"/>
      <c r="G104" s="3390"/>
      <c r="H104" s="3390"/>
      <c r="I104" s="3390"/>
      <c r="J104" s="3391"/>
      <c r="K104" s="3392"/>
      <c r="L104" s="3392"/>
      <c r="M104" s="3392"/>
      <c r="N104" s="3392"/>
    </row>
    <row r="105" spans="1:14">
      <c r="A105" s="3866"/>
      <c r="B105" s="3866"/>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852"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5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5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5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5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53"/>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5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55" t="s">
        <v>3316</v>
      </c>
      <c r="B113" s="3855"/>
      <c r="C113" s="3855"/>
      <c r="D113" s="3855"/>
      <c r="E113" s="3855"/>
      <c r="F113" s="3855"/>
      <c r="G113" s="3855"/>
      <c r="H113" s="3855"/>
      <c r="I113" s="3855"/>
      <c r="J113" s="385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1</v>
      </c>
      <c r="C116" s="3398" t="s">
        <v>3318</v>
      </c>
      <c r="D116" s="3399">
        <f>SUMPRODUCT((A118:A122=F116)*(B117:M117=H116)*B118:M122)</f>
        <v>0</v>
      </c>
      <c r="E116" s="1999" t="s">
        <v>3319</v>
      </c>
      <c r="F116" s="3400">
        <f>E2</f>
        <v>0</v>
      </c>
      <c r="G116" s="1999" t="s">
        <v>3320</v>
      </c>
      <c r="H116" s="3400">
        <f>G2</f>
        <v>0</v>
      </c>
      <c r="I116" s="1999"/>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3334</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3335</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3336</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78" t="s">
        <v>2610</v>
      </c>
      <c r="B20" s="3871" t="s">
        <v>2631</v>
      </c>
      <c r="C20" s="3101" t="s">
        <v>2442</v>
      </c>
      <c r="D20" s="3102"/>
      <c r="E20" s="3103">
        <v>1</v>
      </c>
      <c r="F20" s="3104" t="s">
        <v>2443</v>
      </c>
      <c r="G20" s="3104"/>
    </row>
    <row r="21" spans="1:13" ht="19.5" customHeight="1">
      <c r="A21" s="3879"/>
      <c r="B21" s="3872"/>
      <c r="C21" s="3105" t="s">
        <v>2444</v>
      </c>
      <c r="D21" s="3106"/>
      <c r="E21" s="3107">
        <v>1</v>
      </c>
      <c r="F21" s="3104" t="s">
        <v>2445</v>
      </c>
      <c r="G21" s="3104"/>
    </row>
    <row r="22" spans="1:13" ht="19.5" customHeight="1">
      <c r="A22" s="3879"/>
      <c r="B22" s="3872"/>
      <c r="C22" s="3105" t="s">
        <v>2446</v>
      </c>
      <c r="D22" s="3106"/>
      <c r="E22" s="3107">
        <v>0.9</v>
      </c>
      <c r="F22" s="3104" t="s">
        <v>2447</v>
      </c>
      <c r="G22" s="3104"/>
    </row>
    <row r="23" spans="1:13" ht="19.5" customHeight="1">
      <c r="A23" s="3879"/>
      <c r="B23" s="3872"/>
      <c r="C23" s="3105" t="s">
        <v>2448</v>
      </c>
      <c r="D23" s="3106"/>
      <c r="E23" s="3107">
        <v>0.9</v>
      </c>
      <c r="F23" s="3104" t="s">
        <v>2449</v>
      </c>
      <c r="G23" s="3104"/>
    </row>
    <row r="24" spans="1:13" ht="19.5" customHeight="1">
      <c r="A24" s="3879"/>
      <c r="B24" s="3872"/>
      <c r="C24" s="3105" t="s">
        <v>2450</v>
      </c>
      <c r="D24" s="3106"/>
      <c r="E24" s="3107">
        <v>0.8</v>
      </c>
      <c r="F24" s="3104" t="s">
        <v>2451</v>
      </c>
      <c r="G24" s="3104"/>
    </row>
    <row r="25" spans="1:13" ht="19.5" customHeight="1" thickBot="1">
      <c r="A25" s="3880"/>
      <c r="B25" s="387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74" t="s">
        <v>2634</v>
      </c>
      <c r="B27" s="3871" t="s">
        <v>2615</v>
      </c>
      <c r="C27" s="3101" t="s">
        <v>2455</v>
      </c>
      <c r="D27" s="3102"/>
      <c r="E27" s="3103">
        <v>1</v>
      </c>
      <c r="F27" s="3104" t="s">
        <v>2456</v>
      </c>
      <c r="G27" s="3104"/>
    </row>
    <row r="28" spans="1:13" ht="19.5" customHeight="1">
      <c r="A28" s="3875"/>
      <c r="B28" s="3872"/>
      <c r="C28" s="3105" t="s">
        <v>2457</v>
      </c>
      <c r="D28" s="3106"/>
      <c r="E28" s="3107">
        <v>1</v>
      </c>
      <c r="F28" s="3104" t="s">
        <v>2458</v>
      </c>
      <c r="G28" s="3104"/>
    </row>
    <row r="29" spans="1:13" ht="19.5" customHeight="1">
      <c r="A29" s="3875"/>
      <c r="B29" s="3872"/>
      <c r="C29" s="3105" t="s">
        <v>2459</v>
      </c>
      <c r="D29" s="3106"/>
      <c r="E29" s="3107">
        <v>0.8</v>
      </c>
      <c r="F29" s="3104" t="s">
        <v>2460</v>
      </c>
      <c r="G29" s="3104"/>
    </row>
    <row r="30" spans="1:13" ht="19.5" customHeight="1">
      <c r="A30" s="3875"/>
      <c r="B30" s="3872"/>
      <c r="C30" s="3105" t="s">
        <v>2461</v>
      </c>
      <c r="D30" s="3106"/>
      <c r="E30" s="3107">
        <v>0.8</v>
      </c>
      <c r="F30" s="3104" t="s">
        <v>2462</v>
      </c>
      <c r="G30" s="3104"/>
    </row>
    <row r="31" spans="1:13" ht="19.5" customHeight="1">
      <c r="A31" s="3875"/>
      <c r="B31" s="3872"/>
      <c r="C31" s="3105" t="s">
        <v>2463</v>
      </c>
      <c r="D31" s="3106"/>
      <c r="E31" s="3107">
        <v>0.8</v>
      </c>
      <c r="F31" s="3104" t="s">
        <v>2464</v>
      </c>
      <c r="G31" s="3104"/>
    </row>
    <row r="32" spans="1:13" ht="19.5" customHeight="1">
      <c r="A32" s="3875"/>
      <c r="B32" s="3872"/>
      <c r="C32" s="3105" t="s">
        <v>2465</v>
      </c>
      <c r="D32" s="3106"/>
      <c r="E32" s="3107">
        <v>0.7</v>
      </c>
      <c r="F32" s="3104" t="s">
        <v>2466</v>
      </c>
      <c r="G32" s="3104"/>
    </row>
    <row r="33" spans="1:7" ht="19.5" customHeight="1">
      <c r="A33" s="3875"/>
      <c r="B33" s="3872"/>
      <c r="C33" s="3105" t="s">
        <v>2467</v>
      </c>
      <c r="D33" s="3106"/>
      <c r="E33" s="3107">
        <v>0.8</v>
      </c>
      <c r="F33" s="3104" t="s">
        <v>2468</v>
      </c>
      <c r="G33" s="3104"/>
    </row>
    <row r="34" spans="1:7" ht="19.5" customHeight="1">
      <c r="A34" s="3875"/>
      <c r="B34" s="3872"/>
      <c r="C34" s="3105" t="s">
        <v>2469</v>
      </c>
      <c r="D34" s="3106"/>
      <c r="E34" s="3107">
        <v>0.6</v>
      </c>
      <c r="F34" s="3104" t="s">
        <v>2470</v>
      </c>
      <c r="G34" s="3104"/>
    </row>
    <row r="35" spans="1:7" ht="19.5" customHeight="1">
      <c r="A35" s="3875"/>
      <c r="B35" s="3872"/>
      <c r="C35" s="3105" t="s">
        <v>2471</v>
      </c>
      <c r="D35" s="3106"/>
      <c r="E35" s="3107">
        <v>0.2</v>
      </c>
      <c r="F35" s="3104" t="s">
        <v>2472</v>
      </c>
      <c r="G35" s="3104"/>
    </row>
    <row r="36" spans="1:7" ht="19.5" customHeight="1">
      <c r="A36" s="3875"/>
      <c r="B36" s="3872"/>
      <c r="C36" s="3105" t="s">
        <v>2473</v>
      </c>
      <c r="D36" s="3106"/>
      <c r="E36" s="3107">
        <v>0.2</v>
      </c>
      <c r="F36" s="3104" t="s">
        <v>2474</v>
      </c>
      <c r="G36" s="3104"/>
    </row>
    <row r="37" spans="1:7" ht="19.5" customHeight="1">
      <c r="A37" s="3875"/>
      <c r="B37" s="3877" t="s">
        <v>2635</v>
      </c>
      <c r="C37" s="3105" t="s">
        <v>2475</v>
      </c>
      <c r="D37" s="3106"/>
      <c r="E37" s="3107">
        <v>0.6</v>
      </c>
      <c r="F37" s="3104" t="s">
        <v>2476</v>
      </c>
      <c r="G37" s="3104"/>
    </row>
    <row r="38" spans="1:7" ht="19.5" customHeight="1">
      <c r="A38" s="3875"/>
      <c r="B38" s="3872"/>
      <c r="C38" s="3105" t="s">
        <v>2477</v>
      </c>
      <c r="D38" s="3106"/>
      <c r="E38" s="3107">
        <v>0.6</v>
      </c>
      <c r="F38" s="3104" t="s">
        <v>2478</v>
      </c>
      <c r="G38" s="3104"/>
    </row>
    <row r="39" spans="1:7" ht="19.5" customHeight="1" thickBot="1">
      <c r="A39" s="3876"/>
      <c r="B39" s="387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78" t="s">
        <v>2613</v>
      </c>
      <c r="B41" s="3871" t="s">
        <v>2637</v>
      </c>
      <c r="C41" s="3101" t="s">
        <v>2482</v>
      </c>
      <c r="D41" s="3102"/>
      <c r="E41" s="3103">
        <v>1</v>
      </c>
      <c r="F41" s="3104" t="s">
        <v>2483</v>
      </c>
      <c r="G41" s="3104"/>
    </row>
    <row r="42" spans="1:7" ht="19.5" customHeight="1">
      <c r="A42" s="3879"/>
      <c r="B42" s="3872"/>
      <c r="C42" s="3105" t="s">
        <v>2484</v>
      </c>
      <c r="D42" s="3106"/>
      <c r="E42" s="3107">
        <v>1</v>
      </c>
      <c r="F42" s="3104" t="s">
        <v>2485</v>
      </c>
      <c r="G42" s="3104"/>
    </row>
    <row r="43" spans="1:7" ht="19.5" customHeight="1">
      <c r="A43" s="3879"/>
      <c r="B43" s="3881"/>
      <c r="C43" s="3105" t="s">
        <v>2486</v>
      </c>
      <c r="D43" s="3106"/>
      <c r="E43" s="3107">
        <v>1.5</v>
      </c>
      <c r="F43" s="3104" t="s">
        <v>2487</v>
      </c>
      <c r="G43" s="3104"/>
    </row>
    <row r="44" spans="1:7" ht="19.5" customHeight="1">
      <c r="A44" s="3879"/>
      <c r="B44" s="3116" t="s">
        <v>2638</v>
      </c>
      <c r="C44" s="3105" t="s">
        <v>2639</v>
      </c>
      <c r="D44" s="3106"/>
      <c r="E44" s="3107">
        <v>2</v>
      </c>
      <c r="F44" s="3104" t="s">
        <v>2488</v>
      </c>
      <c r="G44" s="3104"/>
    </row>
    <row r="45" spans="1:7" ht="19.5" customHeight="1">
      <c r="A45" s="3879"/>
      <c r="B45" s="3877" t="s">
        <v>2640</v>
      </c>
      <c r="C45" s="3105" t="s">
        <v>2489</v>
      </c>
      <c r="D45" s="3106"/>
      <c r="E45" s="3107">
        <v>1</v>
      </c>
      <c r="F45" s="3104" t="s">
        <v>2490</v>
      </c>
      <c r="G45" s="3104"/>
    </row>
    <row r="46" spans="1:7" ht="19.5" customHeight="1">
      <c r="A46" s="3879"/>
      <c r="B46" s="3872"/>
      <c r="C46" s="3105" t="s">
        <v>2491</v>
      </c>
      <c r="D46" s="3106"/>
      <c r="E46" s="3107">
        <v>1</v>
      </c>
      <c r="F46" s="3104" t="s">
        <v>2492</v>
      </c>
      <c r="G46" s="3104"/>
    </row>
    <row r="47" spans="1:7" ht="19.5" customHeight="1">
      <c r="A47" s="3879"/>
      <c r="B47" s="3872"/>
      <c r="C47" s="3105" t="s">
        <v>2493</v>
      </c>
      <c r="D47" s="3106"/>
      <c r="E47" s="3107">
        <v>1</v>
      </c>
      <c r="F47" s="3104" t="s">
        <v>2494</v>
      </c>
      <c r="G47" s="3104"/>
    </row>
    <row r="48" spans="1:7" ht="19.5" customHeight="1">
      <c r="A48" s="3879"/>
      <c r="B48" s="3872"/>
      <c r="C48" s="3105" t="s">
        <v>2495</v>
      </c>
      <c r="D48" s="3106"/>
      <c r="E48" s="3107">
        <v>1</v>
      </c>
      <c r="F48" s="3104" t="s">
        <v>2496</v>
      </c>
      <c r="G48" s="3104"/>
    </row>
    <row r="49" spans="1:7" ht="19.5" customHeight="1">
      <c r="A49" s="3879"/>
      <c r="B49" s="3872"/>
      <c r="C49" s="3105" t="s">
        <v>2497</v>
      </c>
      <c r="D49" s="3106"/>
      <c r="E49" s="3107">
        <v>1</v>
      </c>
      <c r="F49" s="3104" t="s">
        <v>2498</v>
      </c>
      <c r="G49" s="3104"/>
    </row>
    <row r="50" spans="1:7" ht="19.5" customHeight="1">
      <c r="A50" s="3879"/>
      <c r="B50" s="3872"/>
      <c r="C50" s="3105" t="s">
        <v>2499</v>
      </c>
      <c r="D50" s="3106"/>
      <c r="E50" s="3107">
        <v>1</v>
      </c>
      <c r="F50" s="3104" t="s">
        <v>2500</v>
      </c>
      <c r="G50" s="3104"/>
    </row>
    <row r="51" spans="1:7" ht="19.5" customHeight="1" thickBot="1">
      <c r="A51" s="3880"/>
      <c r="B51" s="387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877" t="s">
        <v>2654</v>
      </c>
      <c r="C73" s="3090" t="s">
        <v>2655</v>
      </c>
      <c r="D73" s="3090" t="s">
        <v>2656</v>
      </c>
      <c r="E73" s="3116">
        <v>0.2</v>
      </c>
      <c r="F73" s="3116">
        <v>25</v>
      </c>
    </row>
    <row r="74" spans="1:7" ht="24">
      <c r="A74" s="3116">
        <v>2</v>
      </c>
      <c r="B74" s="3872"/>
      <c r="C74" s="3090" t="s">
        <v>2657</v>
      </c>
      <c r="D74" s="3090" t="s">
        <v>2658</v>
      </c>
      <c r="E74" s="3116">
        <v>0.2</v>
      </c>
      <c r="F74" s="3116">
        <v>25</v>
      </c>
    </row>
    <row r="75" spans="1:7" ht="24">
      <c r="A75" s="3116">
        <v>3</v>
      </c>
      <c r="B75" s="3872"/>
      <c r="C75" s="3090" t="s">
        <v>2659</v>
      </c>
      <c r="D75" s="3090" t="s">
        <v>2660</v>
      </c>
      <c r="E75" s="3116">
        <v>0.2</v>
      </c>
      <c r="F75" s="3116">
        <v>25</v>
      </c>
    </row>
    <row r="76" spans="1:7" ht="13.5">
      <c r="A76" s="3116">
        <v>4</v>
      </c>
      <c r="B76" s="3872"/>
      <c r="C76" s="3090" t="s">
        <v>2661</v>
      </c>
      <c r="D76" s="3090" t="s">
        <v>2662</v>
      </c>
      <c r="E76" s="3116">
        <v>0.15</v>
      </c>
      <c r="F76" s="3116">
        <v>20</v>
      </c>
    </row>
    <row r="77" spans="1:7" ht="24">
      <c r="A77" s="3116">
        <v>5</v>
      </c>
      <c r="B77" s="3872"/>
      <c r="C77" s="3090" t="s">
        <v>2663</v>
      </c>
      <c r="D77" s="3090" t="s">
        <v>2664</v>
      </c>
      <c r="E77" s="3116">
        <v>0.15</v>
      </c>
      <c r="F77" s="3116">
        <v>20</v>
      </c>
    </row>
    <row r="78" spans="1:7" ht="24">
      <c r="A78" s="3116">
        <v>6</v>
      </c>
      <c r="B78" s="3872"/>
      <c r="C78" s="3090" t="s">
        <v>2665</v>
      </c>
      <c r="D78" s="3090" t="s">
        <v>2666</v>
      </c>
      <c r="E78" s="3116">
        <v>0.15</v>
      </c>
      <c r="F78" s="3116">
        <v>20</v>
      </c>
    </row>
    <row r="79" spans="1:7" ht="24">
      <c r="A79" s="3116">
        <v>7</v>
      </c>
      <c r="B79" s="3872"/>
      <c r="C79" s="3090" t="s">
        <v>2667</v>
      </c>
      <c r="D79" s="3090" t="s">
        <v>2668</v>
      </c>
      <c r="E79" s="3116">
        <v>0.15</v>
      </c>
      <c r="F79" s="3116">
        <v>20</v>
      </c>
    </row>
    <row r="80" spans="1:7" ht="24">
      <c r="A80" s="3116">
        <v>8</v>
      </c>
      <c r="B80" s="3872"/>
      <c r="C80" s="3090" t="s">
        <v>2669</v>
      </c>
      <c r="D80" s="3090" t="s">
        <v>2670</v>
      </c>
      <c r="E80" s="3116">
        <v>0.1</v>
      </c>
      <c r="F80" s="3116">
        <v>15</v>
      </c>
    </row>
    <row r="81" spans="1:6" ht="24">
      <c r="A81" s="3116">
        <v>9</v>
      </c>
      <c r="B81" s="3872"/>
      <c r="C81" s="3090" t="s">
        <v>2671</v>
      </c>
      <c r="D81" s="3090" t="s">
        <v>2672</v>
      </c>
      <c r="E81" s="3116">
        <v>0.1</v>
      </c>
      <c r="F81" s="3116">
        <v>15</v>
      </c>
    </row>
    <row r="82" spans="1:6" ht="24">
      <c r="A82" s="3116">
        <v>10</v>
      </c>
      <c r="B82" s="3872"/>
      <c r="C82" s="3090" t="s">
        <v>2673</v>
      </c>
      <c r="D82" s="3090" t="s">
        <v>2674</v>
      </c>
      <c r="E82" s="3116">
        <v>0.1</v>
      </c>
      <c r="F82" s="3116">
        <v>15</v>
      </c>
    </row>
    <row r="83" spans="1:6" ht="24">
      <c r="A83" s="3116">
        <v>11</v>
      </c>
      <c r="B83" s="3872"/>
      <c r="C83" s="3090" t="s">
        <v>2675</v>
      </c>
      <c r="D83" s="3090" t="s">
        <v>2676</v>
      </c>
      <c r="E83" s="3116">
        <v>0.1</v>
      </c>
      <c r="F83" s="3116">
        <v>15</v>
      </c>
    </row>
    <row r="84" spans="1:6" ht="24">
      <c r="A84" s="3116">
        <v>12</v>
      </c>
      <c r="B84" s="3872"/>
      <c r="C84" s="3090" t="s">
        <v>2677</v>
      </c>
      <c r="D84" s="3090" t="s">
        <v>2678</v>
      </c>
      <c r="E84" s="3116">
        <v>0.1</v>
      </c>
      <c r="F84" s="3116">
        <v>15</v>
      </c>
    </row>
    <row r="85" spans="1:6" ht="13.5">
      <c r="A85" s="3116">
        <v>13</v>
      </c>
      <c r="B85" s="3872"/>
      <c r="C85" s="3090" t="s">
        <v>2679</v>
      </c>
      <c r="D85" s="3090" t="s">
        <v>2680</v>
      </c>
      <c r="E85" s="3116">
        <v>0.1</v>
      </c>
      <c r="F85" s="3116">
        <v>15</v>
      </c>
    </row>
    <row r="86" spans="1:6" ht="13.5">
      <c r="A86" s="3116">
        <v>14</v>
      </c>
      <c r="B86" s="3872"/>
      <c r="C86" s="3090" t="s">
        <v>2681</v>
      </c>
      <c r="D86" s="3090" t="s">
        <v>2682</v>
      </c>
      <c r="E86" s="3116">
        <v>0.1</v>
      </c>
      <c r="F86" s="3116">
        <v>15</v>
      </c>
    </row>
    <row r="87" spans="1:6" ht="13.5">
      <c r="A87" s="3116">
        <v>15</v>
      </c>
      <c r="B87" s="3872"/>
      <c r="C87" s="3090" t="s">
        <v>2683</v>
      </c>
      <c r="D87" s="3090" t="s">
        <v>2684</v>
      </c>
      <c r="E87" s="3116">
        <v>0.1</v>
      </c>
      <c r="F87" s="3116">
        <v>15</v>
      </c>
    </row>
    <row r="88" spans="1:6" ht="24">
      <c r="A88" s="3116">
        <v>16</v>
      </c>
      <c r="B88" s="3872"/>
      <c r="C88" s="3090" t="s">
        <v>2685</v>
      </c>
      <c r="D88" s="3090" t="s">
        <v>2686</v>
      </c>
      <c r="E88" s="3116">
        <v>0.1</v>
      </c>
      <c r="F88" s="3116">
        <v>15</v>
      </c>
    </row>
    <row r="89" spans="1:6" ht="24">
      <c r="A89" s="3116">
        <v>17</v>
      </c>
      <c r="B89" s="3881"/>
      <c r="C89" s="3090" t="s">
        <v>2687</v>
      </c>
      <c r="D89" s="3090" t="s">
        <v>2688</v>
      </c>
      <c r="E89" s="3116">
        <v>0.1</v>
      </c>
      <c r="F89" s="3116">
        <v>15</v>
      </c>
    </row>
    <row r="90" spans="1:6" ht="13.5">
      <c r="A90" s="3116">
        <v>18</v>
      </c>
      <c r="B90" s="3877" t="s">
        <v>2689</v>
      </c>
      <c r="C90" s="3090" t="s">
        <v>2690</v>
      </c>
      <c r="D90" s="3090" t="s">
        <v>2691</v>
      </c>
      <c r="E90" s="3116">
        <v>0.2</v>
      </c>
      <c r="F90" s="3116">
        <v>25</v>
      </c>
    </row>
    <row r="91" spans="1:6" ht="24">
      <c r="A91" s="3116">
        <v>19</v>
      </c>
      <c r="B91" s="3872"/>
      <c r="C91" s="3090" t="s">
        <v>2692</v>
      </c>
      <c r="D91" s="3090" t="s">
        <v>2693</v>
      </c>
      <c r="E91" s="3116">
        <v>0.2</v>
      </c>
      <c r="F91" s="3116">
        <v>25</v>
      </c>
    </row>
    <row r="92" spans="1:6" ht="13.5">
      <c r="A92" s="3116">
        <v>20</v>
      </c>
      <c r="B92" s="3872"/>
      <c r="C92" s="3090" t="s">
        <v>2694</v>
      </c>
      <c r="D92" s="3090" t="s">
        <v>2695</v>
      </c>
      <c r="E92" s="3116">
        <v>0.15</v>
      </c>
      <c r="F92" s="3116">
        <v>20</v>
      </c>
    </row>
    <row r="93" spans="1:6" ht="13.5">
      <c r="A93" s="3116">
        <v>21</v>
      </c>
      <c r="B93" s="3872"/>
      <c r="C93" s="3090" t="s">
        <v>2696</v>
      </c>
      <c r="D93" s="3090" t="s">
        <v>2697</v>
      </c>
      <c r="E93" s="3116">
        <v>0.15</v>
      </c>
      <c r="F93" s="3116">
        <v>20</v>
      </c>
    </row>
    <row r="94" spans="1:6" ht="13.5">
      <c r="A94" s="3116">
        <v>22</v>
      </c>
      <c r="B94" s="3872"/>
      <c r="C94" s="3090" t="s">
        <v>2698</v>
      </c>
      <c r="D94" s="3090" t="s">
        <v>2699</v>
      </c>
      <c r="E94" s="3116">
        <v>0.15</v>
      </c>
      <c r="F94" s="3116">
        <v>20</v>
      </c>
    </row>
    <row r="95" spans="1:6" ht="36">
      <c r="A95" s="3116">
        <v>23</v>
      </c>
      <c r="B95" s="3872"/>
      <c r="C95" s="3090" t="s">
        <v>2700</v>
      </c>
      <c r="D95" s="3090" t="s">
        <v>2701</v>
      </c>
      <c r="E95" s="3116">
        <v>0.15</v>
      </c>
      <c r="F95" s="3116">
        <v>20</v>
      </c>
    </row>
    <row r="96" spans="1:6" ht="13.5">
      <c r="A96" s="3116">
        <v>24</v>
      </c>
      <c r="B96" s="3872"/>
      <c r="C96" s="3090" t="s">
        <v>2702</v>
      </c>
      <c r="D96" s="3090" t="s">
        <v>2703</v>
      </c>
      <c r="E96" s="3116">
        <v>0.1</v>
      </c>
      <c r="F96" s="3116">
        <v>15</v>
      </c>
    </row>
    <row r="97" spans="1:6" ht="13.5">
      <c r="A97" s="3116">
        <v>25</v>
      </c>
      <c r="B97" s="3872"/>
      <c r="C97" s="3090" t="s">
        <v>2704</v>
      </c>
      <c r="D97" s="3090" t="s">
        <v>2705</v>
      </c>
      <c r="E97" s="3116">
        <v>0.1</v>
      </c>
      <c r="F97" s="3116">
        <v>15</v>
      </c>
    </row>
    <row r="98" spans="1:6" ht="24">
      <c r="A98" s="3116">
        <v>26</v>
      </c>
      <c r="B98" s="3872"/>
      <c r="C98" s="3090" t="s">
        <v>2706</v>
      </c>
      <c r="D98" s="3090" t="s">
        <v>2707</v>
      </c>
      <c r="E98" s="3116">
        <v>0.1</v>
      </c>
      <c r="F98" s="3116">
        <v>15</v>
      </c>
    </row>
    <row r="99" spans="1:6" ht="24">
      <c r="A99" s="3116">
        <v>27</v>
      </c>
      <c r="B99" s="3872"/>
      <c r="C99" s="3090" t="s">
        <v>2708</v>
      </c>
      <c r="D99" s="3090" t="s">
        <v>2709</v>
      </c>
      <c r="E99" s="3116">
        <v>0.1</v>
      </c>
      <c r="F99" s="3116">
        <v>15</v>
      </c>
    </row>
    <row r="100" spans="1:6" ht="13.5">
      <c r="A100" s="3116">
        <v>28</v>
      </c>
      <c r="B100" s="3872"/>
      <c r="C100" s="3090" t="s">
        <v>2710</v>
      </c>
      <c r="D100" s="3090" t="s">
        <v>2711</v>
      </c>
      <c r="E100" s="3116">
        <v>0.1</v>
      </c>
      <c r="F100" s="3116">
        <v>15</v>
      </c>
    </row>
    <row r="101" spans="1:6" ht="13.5">
      <c r="A101" s="3116">
        <v>29</v>
      </c>
      <c r="B101" s="3872"/>
      <c r="C101" s="3090" t="s">
        <v>2712</v>
      </c>
      <c r="D101" s="3090" t="s">
        <v>2713</v>
      </c>
      <c r="E101" s="3116">
        <v>0.1</v>
      </c>
      <c r="F101" s="3116">
        <v>15</v>
      </c>
    </row>
    <row r="102" spans="1:6" ht="13.5">
      <c r="A102" s="3116">
        <v>30</v>
      </c>
      <c r="B102" s="3872"/>
      <c r="C102" s="3090" t="s">
        <v>2714</v>
      </c>
      <c r="D102" s="3090" t="s">
        <v>2715</v>
      </c>
      <c r="E102" s="3116">
        <v>0.1</v>
      </c>
      <c r="F102" s="3116">
        <v>15</v>
      </c>
    </row>
    <row r="103" spans="1:6" ht="24">
      <c r="A103" s="3116">
        <v>31</v>
      </c>
      <c r="B103" s="3872"/>
      <c r="C103" s="3090" t="s">
        <v>2716</v>
      </c>
      <c r="D103" s="3090" t="s">
        <v>2717</v>
      </c>
      <c r="E103" s="3116">
        <v>0.1</v>
      </c>
      <c r="F103" s="3116">
        <v>15</v>
      </c>
    </row>
    <row r="104" spans="1:6" ht="24">
      <c r="A104" s="3116">
        <v>32</v>
      </c>
      <c r="B104" s="3872"/>
      <c r="C104" s="3090" t="s">
        <v>2718</v>
      </c>
      <c r="D104" s="3090" t="s">
        <v>2719</v>
      </c>
      <c r="E104" s="3116">
        <v>0.1</v>
      </c>
      <c r="F104" s="3116">
        <v>15</v>
      </c>
    </row>
    <row r="105" spans="1:6" ht="24">
      <c r="A105" s="3116">
        <v>33</v>
      </c>
      <c r="B105" s="3872"/>
      <c r="C105" s="3090" t="s">
        <v>2720</v>
      </c>
      <c r="D105" s="3090" t="s">
        <v>2721</v>
      </c>
      <c r="E105" s="3116">
        <v>0.1</v>
      </c>
      <c r="F105" s="3116">
        <v>15</v>
      </c>
    </row>
    <row r="106" spans="1:6" ht="24">
      <c r="A106" s="3116">
        <v>34</v>
      </c>
      <c r="B106" s="3881"/>
      <c r="C106" s="3090" t="s">
        <v>2722</v>
      </c>
      <c r="D106" s="3090" t="s">
        <v>2723</v>
      </c>
      <c r="E106" s="3116">
        <v>0.1</v>
      </c>
      <c r="F106" s="3116">
        <v>15</v>
      </c>
    </row>
    <row r="107" spans="1:6" ht="24">
      <c r="A107" s="3116">
        <v>35</v>
      </c>
      <c r="B107" s="3877" t="s">
        <v>2724</v>
      </c>
      <c r="C107" s="3116" t="s">
        <v>2725</v>
      </c>
      <c r="D107" s="3090" t="s">
        <v>2726</v>
      </c>
      <c r="E107" s="3116">
        <v>0.15</v>
      </c>
      <c r="F107" s="3116">
        <v>20</v>
      </c>
    </row>
    <row r="108" spans="1:6" ht="13.5">
      <c r="A108" s="3116">
        <v>36</v>
      </c>
      <c r="B108" s="3872"/>
      <c r="C108" s="3116" t="s">
        <v>2727</v>
      </c>
      <c r="D108" s="3090" t="s">
        <v>2728</v>
      </c>
      <c r="E108" s="3116">
        <v>0.15</v>
      </c>
      <c r="F108" s="3116">
        <v>20</v>
      </c>
    </row>
    <row r="109" spans="1:6" ht="13.5">
      <c r="A109" s="3116">
        <v>37</v>
      </c>
      <c r="B109" s="3872"/>
      <c r="C109" s="3116" t="s">
        <v>2729</v>
      </c>
      <c r="D109" s="3090" t="s">
        <v>2730</v>
      </c>
      <c r="E109" s="3116">
        <v>0.15</v>
      </c>
      <c r="F109" s="3116">
        <v>20</v>
      </c>
    </row>
    <row r="110" spans="1:6" ht="13.5">
      <c r="A110" s="3116">
        <v>38</v>
      </c>
      <c r="B110" s="3872"/>
      <c r="C110" s="3116" t="s">
        <v>2731</v>
      </c>
      <c r="D110" s="3090" t="s">
        <v>2732</v>
      </c>
      <c r="E110" s="3116">
        <v>0.1</v>
      </c>
      <c r="F110" s="3116">
        <v>15</v>
      </c>
    </row>
    <row r="111" spans="1:6" ht="24">
      <c r="A111" s="3116">
        <v>39</v>
      </c>
      <c r="B111" s="3872"/>
      <c r="C111" s="3116" t="s">
        <v>2733</v>
      </c>
      <c r="D111" s="3090" t="s">
        <v>2734</v>
      </c>
      <c r="E111" s="3116">
        <v>0.1</v>
      </c>
      <c r="F111" s="3116">
        <v>15</v>
      </c>
    </row>
    <row r="112" spans="1:6" ht="24">
      <c r="A112" s="3116">
        <v>40</v>
      </c>
      <c r="B112" s="3881"/>
      <c r="C112" s="3116" t="s">
        <v>2735</v>
      </c>
      <c r="D112" s="3090" t="s">
        <v>2736</v>
      </c>
      <c r="E112" s="3116">
        <v>0.1</v>
      </c>
      <c r="F112" s="3116">
        <v>15</v>
      </c>
    </row>
    <row r="113" spans="1:6" ht="13.5">
      <c r="A113" s="3116">
        <v>41</v>
      </c>
      <c r="B113" s="3882" t="s">
        <v>2737</v>
      </c>
      <c r="C113" s="3116" t="s">
        <v>2738</v>
      </c>
      <c r="D113" s="3090" t="s">
        <v>2739</v>
      </c>
      <c r="E113" s="3116">
        <v>0.1</v>
      </c>
      <c r="F113" s="3116">
        <v>15</v>
      </c>
    </row>
    <row r="114" spans="1:6" ht="13.5">
      <c r="A114" s="3116">
        <v>42</v>
      </c>
      <c r="B114" s="3882"/>
      <c r="C114" s="3116" t="s">
        <v>2740</v>
      </c>
      <c r="D114" s="3090" t="s">
        <v>2741</v>
      </c>
      <c r="E114" s="3116">
        <v>0.1</v>
      </c>
      <c r="F114" s="3116">
        <v>15</v>
      </c>
    </row>
    <row r="115" spans="1:6" ht="24">
      <c r="A115" s="3116">
        <v>43</v>
      </c>
      <c r="B115" s="3882"/>
      <c r="C115" s="3116" t="s">
        <v>2742</v>
      </c>
      <c r="D115" s="3090" t="s">
        <v>2743</v>
      </c>
      <c r="E115" s="3116">
        <v>0.1</v>
      </c>
      <c r="F115" s="3116">
        <v>15</v>
      </c>
    </row>
    <row r="116" spans="1:6" ht="13.5">
      <c r="A116" s="3116">
        <v>44</v>
      </c>
      <c r="B116" s="3877" t="s">
        <v>2744</v>
      </c>
      <c r="C116" s="3116" t="s">
        <v>2745</v>
      </c>
      <c r="D116" s="3090" t="s">
        <v>2746</v>
      </c>
      <c r="E116" s="3116">
        <v>0.1</v>
      </c>
      <c r="F116" s="3116">
        <v>15</v>
      </c>
    </row>
    <row r="117" spans="1:6" ht="24">
      <c r="A117" s="3116">
        <v>45</v>
      </c>
      <c r="B117" s="3881"/>
      <c r="C117" s="3090" t="s">
        <v>2747</v>
      </c>
      <c r="D117" s="3090" t="s">
        <v>2748</v>
      </c>
      <c r="E117" s="3116">
        <v>0.1</v>
      </c>
      <c r="F117" s="3116">
        <v>15</v>
      </c>
    </row>
    <row r="118" spans="1:6" ht="24">
      <c r="A118" s="3116">
        <v>46</v>
      </c>
      <c r="B118" s="3877" t="s">
        <v>2749</v>
      </c>
      <c r="C118" s="3116" t="s">
        <v>2750</v>
      </c>
      <c r="D118" s="3090" t="s">
        <v>2751</v>
      </c>
      <c r="E118" s="3116">
        <v>0.1</v>
      </c>
      <c r="F118" s="3116">
        <v>15</v>
      </c>
    </row>
    <row r="119" spans="1:6" ht="24">
      <c r="A119" s="3116">
        <v>47</v>
      </c>
      <c r="B119" s="3881"/>
      <c r="C119" s="3116" t="s">
        <v>2752</v>
      </c>
      <c r="D119" s="3090" t="s">
        <v>2753</v>
      </c>
      <c r="E119" s="3116">
        <v>0.1</v>
      </c>
      <c r="F119" s="3116">
        <v>15</v>
      </c>
    </row>
    <row r="120" spans="1:6" ht="13.5">
      <c r="A120" s="3116">
        <v>48</v>
      </c>
      <c r="B120" s="3877" t="s">
        <v>2754</v>
      </c>
      <c r="C120" s="3116" t="s">
        <v>2755</v>
      </c>
      <c r="D120" s="3090" t="s">
        <v>2756</v>
      </c>
      <c r="E120" s="3116">
        <v>0.1</v>
      </c>
      <c r="F120" s="3116">
        <v>15</v>
      </c>
    </row>
    <row r="121" spans="1:6" ht="13.5">
      <c r="A121" s="3116">
        <v>49</v>
      </c>
      <c r="B121" s="3881"/>
      <c r="C121" s="3116" t="s">
        <v>2757</v>
      </c>
      <c r="D121" s="3090" t="s">
        <v>2758</v>
      </c>
      <c r="E121" s="3116">
        <v>0.1</v>
      </c>
      <c r="F121" s="3116">
        <v>15</v>
      </c>
    </row>
    <row r="122" spans="1:6" ht="24">
      <c r="A122" s="3116">
        <v>50</v>
      </c>
      <c r="B122" s="3882" t="s">
        <v>2759</v>
      </c>
      <c r="C122" s="3116" t="s">
        <v>2760</v>
      </c>
      <c r="D122" s="3090" t="s">
        <v>2761</v>
      </c>
      <c r="E122" s="3116">
        <v>0.1</v>
      </c>
      <c r="F122" s="3116">
        <v>15</v>
      </c>
    </row>
    <row r="123" spans="1:6" ht="24">
      <c r="A123" s="3116">
        <v>51</v>
      </c>
      <c r="B123" s="3882"/>
      <c r="C123" s="3116" t="s">
        <v>2762</v>
      </c>
      <c r="D123" s="3090" t="s">
        <v>2763</v>
      </c>
      <c r="E123" s="3116">
        <v>0.1</v>
      </c>
      <c r="F123" s="3116">
        <v>15</v>
      </c>
    </row>
    <row r="124" spans="1:6" ht="24">
      <c r="A124" s="3116">
        <v>52</v>
      </c>
      <c r="B124" s="3882" t="s">
        <v>2764</v>
      </c>
      <c r="C124" s="3116" t="s">
        <v>2765</v>
      </c>
      <c r="D124" s="3090" t="s">
        <v>2766</v>
      </c>
      <c r="E124" s="3116">
        <v>0.1</v>
      </c>
      <c r="F124" s="3116">
        <v>15</v>
      </c>
    </row>
    <row r="125" spans="1:6" ht="24">
      <c r="A125" s="3116">
        <v>53</v>
      </c>
      <c r="B125" s="388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82" t="s">
        <v>2772</v>
      </c>
      <c r="C127" s="3116" t="s">
        <v>2773</v>
      </c>
      <c r="D127" s="3090" t="s">
        <v>2774</v>
      </c>
      <c r="E127" s="3116">
        <v>0.1</v>
      </c>
      <c r="F127" s="3116">
        <v>15</v>
      </c>
    </row>
    <row r="128" spans="1:6" ht="13.5">
      <c r="A128" s="3116">
        <v>56</v>
      </c>
      <c r="B128" s="3882"/>
      <c r="C128" s="3116" t="s">
        <v>2775</v>
      </c>
      <c r="D128" s="3090" t="s">
        <v>2776</v>
      </c>
      <c r="E128" s="3116">
        <v>0.1</v>
      </c>
      <c r="F128" s="3116">
        <v>15</v>
      </c>
    </row>
    <row r="129" spans="1:6" ht="24">
      <c r="A129" s="3116">
        <v>57</v>
      </c>
      <c r="B129" s="3882"/>
      <c r="C129" s="3116" t="s">
        <v>2777</v>
      </c>
      <c r="D129" s="3090" t="s">
        <v>2778</v>
      </c>
      <c r="E129" s="3116">
        <v>0.1</v>
      </c>
      <c r="F129" s="3116">
        <v>15</v>
      </c>
    </row>
    <row r="130" spans="1:6" ht="24">
      <c r="A130" s="3116">
        <v>58</v>
      </c>
      <c r="B130" s="3882" t="s">
        <v>2779</v>
      </c>
      <c r="C130" s="3116" t="s">
        <v>2780</v>
      </c>
      <c r="D130" s="3090" t="s">
        <v>2781</v>
      </c>
      <c r="E130" s="3116">
        <v>0.1</v>
      </c>
      <c r="F130" s="3116">
        <v>15</v>
      </c>
    </row>
    <row r="131" spans="1:6" ht="13.5">
      <c r="A131" s="3116">
        <v>59</v>
      </c>
      <c r="B131" s="3882"/>
      <c r="C131" s="3116" t="s">
        <v>2782</v>
      </c>
      <c r="D131" s="3090" t="s">
        <v>2783</v>
      </c>
      <c r="E131" s="3116">
        <v>0.1</v>
      </c>
      <c r="F131" s="3116">
        <v>15</v>
      </c>
    </row>
    <row r="132" spans="1:6" ht="13.5">
      <c r="A132" s="3116">
        <v>60</v>
      </c>
      <c r="B132" s="3877" t="s">
        <v>2784</v>
      </c>
      <c r="C132" s="3116" t="s">
        <v>2785</v>
      </c>
      <c r="D132" s="3090" t="s">
        <v>2786</v>
      </c>
      <c r="E132" s="3116">
        <v>0.1</v>
      </c>
      <c r="F132" s="3116">
        <v>15</v>
      </c>
    </row>
    <row r="133" spans="1:6" ht="13.5">
      <c r="A133" s="3116">
        <v>61</v>
      </c>
      <c r="B133" s="3881"/>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82" t="s">
        <v>2792</v>
      </c>
      <c r="C135" s="3116" t="s">
        <v>2793</v>
      </c>
      <c r="D135" s="3090" t="s">
        <v>2794</v>
      </c>
      <c r="E135" s="3116">
        <v>0.1</v>
      </c>
      <c r="F135" s="3116">
        <v>15</v>
      </c>
    </row>
    <row r="136" spans="1:6" ht="13.5">
      <c r="A136" s="3116">
        <v>64</v>
      </c>
      <c r="B136" s="388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105421</v>
      </c>
      <c r="C2" s="2" t="s">
        <v>106</v>
      </c>
      <c r="D2" s="198"/>
      <c r="E2" s="198"/>
      <c r="F2" s="198"/>
      <c r="G2" s="198"/>
    </row>
    <row r="3" spans="1:7" s="199" customFormat="1" ht="18" customHeight="1" thickBot="1">
      <c r="A3" s="202" t="s">
        <v>58</v>
      </c>
      <c r="B3" s="203">
        <f ca="1">ROUND(B2*10000/'数据-汇总表'!E3,0)</f>
        <v>18068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150</v>
      </c>
      <c r="F9" s="220"/>
      <c r="G9" s="225"/>
    </row>
    <row r="10" spans="1:7" s="213" customFormat="1" ht="13.5" customHeight="1">
      <c r="A10" s="778" t="s">
        <v>356</v>
      </c>
      <c r="B10" s="223" t="s">
        <v>67</v>
      </c>
      <c r="C10" s="224">
        <f>ROUND(D10*E10/10000,0)</f>
        <v>1109</v>
      </c>
      <c r="D10" s="844">
        <f>'数据-汇总表'!E6</f>
        <v>58348.11</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1167</v>
      </c>
      <c r="D19" s="848">
        <f>'数据-汇总表'!E3</f>
        <v>58348.11</v>
      </c>
      <c r="E19" s="210">
        <f>'数据-取费表'!B31</f>
        <v>200</v>
      </c>
      <c r="F19" s="230"/>
      <c r="G19" s="1" t="s">
        <v>436</v>
      </c>
    </row>
    <row r="20" spans="1:7" s="213" customFormat="1" ht="13.5" customHeight="1">
      <c r="A20" s="776" t="s">
        <v>419</v>
      </c>
      <c r="B20" s="209" t="s">
        <v>77</v>
      </c>
      <c r="C20" s="231">
        <f>ROUND((C5+C19)*F20,0)</f>
        <v>436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2003</v>
      </c>
      <c r="D22" s="234">
        <f ca="1">C26</f>
        <v>8.9999999999999998E-4</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1878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106</v>
      </c>
      <c r="D24" s="237"/>
      <c r="E24" s="237"/>
      <c r="F24" s="238"/>
      <c r="G24" s="239" t="s">
        <v>82</v>
      </c>
    </row>
    <row r="25" spans="1:7" s="213" customFormat="1" ht="24">
      <c r="A25" s="779" t="s">
        <v>348</v>
      </c>
      <c r="B25" s="214" t="s">
        <v>420</v>
      </c>
      <c r="C25" s="1104">
        <f ca="1">ROUND(IF('数据-取费表'!B22&lt;=1,C20*F22*'数据-取费表'!B23/2,C20*(POWER((1+F22),'数据-取费表'!B23/2)-1)),0)</f>
        <v>19</v>
      </c>
      <c r="D25" s="237"/>
      <c r="E25" s="240"/>
      <c r="F25" s="238"/>
      <c r="G25" s="241" t="s">
        <v>83</v>
      </c>
    </row>
    <row r="26" spans="1:7" s="213" customFormat="1">
      <c r="A26" s="779" t="s">
        <v>350</v>
      </c>
      <c r="B26" s="214" t="s">
        <v>422</v>
      </c>
      <c r="C26" s="237">
        <f ca="1">ROUND(IF('数据-取费表'!B22&lt;=1,F21*F22*'数据-取费表'!B23/2,F21*(POWER((1+F22),'数据-取费表'!B23/2)-1)),4)</f>
        <v>8.9999999999999998E-4</v>
      </c>
      <c r="D26" s="237"/>
      <c r="E26" s="240"/>
      <c r="F26" s="238"/>
      <c r="G26" s="242"/>
    </row>
    <row r="27" spans="1:7" s="213" customFormat="1" ht="24.75">
      <c r="A27" s="776" t="s">
        <v>342</v>
      </c>
      <c r="B27" s="243" t="s">
        <v>85</v>
      </c>
      <c r="C27" s="244">
        <f>C28</f>
        <v>4443</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4443</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31059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62341</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57440</v>
      </c>
      <c r="D34" s="216"/>
      <c r="E34" s="219"/>
      <c r="F34" s="256">
        <f>IF('数据-取费表'!B24=0,1,'数据-取费表'!N16)</f>
        <v>1</v>
      </c>
      <c r="G34" s="218" t="s">
        <v>89</v>
      </c>
    </row>
    <row r="35" spans="1:7" ht="13.5" customHeight="1">
      <c r="A35" s="779" t="s">
        <v>351</v>
      </c>
      <c r="B35" s="214" t="s">
        <v>33</v>
      </c>
      <c r="C35" s="219">
        <f>ROUND(C34*F35,0)</f>
        <v>2872</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1167</v>
      </c>
      <c r="D37" s="216">
        <f>'数据-汇总表'!E3</f>
        <v>58348.11</v>
      </c>
      <c r="E37" s="248">
        <f>'数据-取费表'!B35</f>
        <v>200</v>
      </c>
      <c r="F37" s="258"/>
      <c r="G37" s="260" t="s">
        <v>92</v>
      </c>
    </row>
    <row r="38" spans="1:7" ht="13.5" customHeight="1">
      <c r="A38" s="779" t="s">
        <v>354</v>
      </c>
      <c r="B38" s="214" t="s">
        <v>36</v>
      </c>
      <c r="C38" s="219">
        <f>ROUND(C34*F38,0)</f>
        <v>862</v>
      </c>
      <c r="D38" s="219"/>
      <c r="E38" s="219"/>
      <c r="F38" s="258">
        <f>'数据-取费表'!B36</f>
        <v>1.4999999999999999E-2</v>
      </c>
      <c r="G38" s="218" t="s">
        <v>90</v>
      </c>
    </row>
    <row r="39" spans="1:7" s="213" customFormat="1" ht="13.5" customHeight="1">
      <c r="A39" s="776" t="s">
        <v>338</v>
      </c>
      <c r="B39" s="209" t="s">
        <v>77</v>
      </c>
      <c r="C39" s="231">
        <f>ROUND(C33*F20,0)</f>
        <v>1247</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2835</v>
      </c>
      <c r="D41" s="234">
        <f ca="1">C44</f>
        <v>8.9999999999999998E-4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2779</v>
      </c>
      <c r="D42" s="237"/>
      <c r="E42" s="237"/>
      <c r="F42" s="238"/>
      <c r="G42" s="3742" t="s">
        <v>94</v>
      </c>
    </row>
    <row r="43" spans="1:7" ht="13.5" customHeight="1">
      <c r="A43" s="779" t="s">
        <v>347</v>
      </c>
      <c r="B43" s="214" t="s">
        <v>426</v>
      </c>
      <c r="C43" s="237">
        <f ca="1">ROUND(IF('数据-取费表'!B22&lt;=1,C39*F22*'数据-取费表'!B21/2,C39*(POWER((1+F22),'数据-取费表'!B21/2)-1)),0)</f>
        <v>56</v>
      </c>
      <c r="D43" s="237"/>
      <c r="E43" s="237"/>
      <c r="F43" s="238"/>
      <c r="G43" s="3743"/>
    </row>
    <row r="44" spans="1:7" ht="13.5" customHeight="1">
      <c r="A44" s="779" t="s">
        <v>348</v>
      </c>
      <c r="B44" s="214" t="s">
        <v>428</v>
      </c>
      <c r="C44" s="237">
        <f ca="1">ROUND(IF('数据-取费表'!B22&lt;=1,C40*F22*'数据-取费表'!B21/2,C40*(POWER((1+F22),'数据-取费表'!B21/2)-1)),4)</f>
        <v>8.9999999999999998E-4</v>
      </c>
      <c r="D44" s="237"/>
      <c r="E44" s="237"/>
      <c r="F44" s="238"/>
      <c r="G44" s="3744"/>
    </row>
    <row r="45" spans="1:7" s="213" customFormat="1" ht="13.5" customHeight="1">
      <c r="A45" s="776" t="s">
        <v>341</v>
      </c>
      <c r="B45" s="243" t="s">
        <v>85</v>
      </c>
      <c r="C45" s="244">
        <f>C46</f>
        <v>12718</v>
      </c>
      <c r="D45" s="234">
        <f>C47</f>
        <v>4.0000000000000001E-3</v>
      </c>
      <c r="E45" s="235" t="s">
        <v>102</v>
      </c>
      <c r="F45" s="245"/>
      <c r="G45" s="246" t="s">
        <v>434</v>
      </c>
    </row>
    <row r="46" spans="1:7" s="213" customFormat="1" ht="13.5" customHeight="1">
      <c r="A46" s="779" t="s">
        <v>349</v>
      </c>
      <c r="B46" s="247" t="s">
        <v>427</v>
      </c>
      <c r="C46" s="248">
        <f>ROUND((C33+C39)*F27,0)</f>
        <v>12718</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85769</v>
      </c>
      <c r="D49" s="231"/>
      <c r="E49" s="231"/>
      <c r="F49" s="263"/>
      <c r="G49" s="233" t="s">
        <v>435</v>
      </c>
    </row>
    <row r="50" spans="1:7" s="257" customFormat="1" ht="24">
      <c r="A50" s="776" t="s">
        <v>344</v>
      </c>
      <c r="B50" s="209" t="s">
        <v>97</v>
      </c>
      <c r="C50" s="231"/>
      <c r="D50" s="231"/>
      <c r="E50" s="231"/>
      <c r="F50" s="263">
        <f>IF('数据-取费表'!B24=0,'数据-取费表'!N16,1)</f>
        <v>0.86699999999999999</v>
      </c>
      <c r="G50" s="246" t="s">
        <v>98</v>
      </c>
    </row>
    <row r="51" spans="1:7" ht="16.5" customHeight="1">
      <c r="A51" s="776" t="s">
        <v>345</v>
      </c>
      <c r="B51" s="209" t="s">
        <v>105</v>
      </c>
      <c r="C51" s="231">
        <f ca="1">ROUND(C49*F50,0)</f>
        <v>74362</v>
      </c>
      <c r="D51" s="231"/>
      <c r="E51" s="231"/>
      <c r="F51" s="263"/>
      <c r="G51" s="233" t="s">
        <v>37</v>
      </c>
    </row>
    <row r="52" spans="1:7" s="207" customFormat="1" ht="16.5" thickBot="1">
      <c r="A52" s="264" t="s">
        <v>38</v>
      </c>
      <c r="B52" s="265"/>
      <c r="C52" s="266">
        <f ca="1">C31+C51</f>
        <v>105421</v>
      </c>
      <c r="D52" s="265"/>
      <c r="E52" s="265"/>
      <c r="F52" s="265"/>
      <c r="G52" s="267"/>
    </row>
    <row r="55" spans="1:7" ht="15">
      <c r="B55" s="269" t="s">
        <v>39</v>
      </c>
      <c r="C55" s="270"/>
    </row>
    <row r="56" spans="1:7">
      <c r="B56" s="272" t="s">
        <v>40</v>
      </c>
      <c r="C56" s="273">
        <f ca="1">ROUND(C51/C52,3)</f>
        <v>0.70499999999999996</v>
      </c>
    </row>
    <row r="57" spans="1:7">
      <c r="B57" s="272" t="s">
        <v>41</v>
      </c>
      <c r="C57" s="274">
        <f ca="1">1-C56</f>
        <v>0.29500000000000004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85" t="s">
        <v>2844</v>
      </c>
      <c r="B1" s="3885"/>
      <c r="C1" s="3885"/>
      <c r="D1" s="3885"/>
      <c r="E1" s="3885"/>
      <c r="F1" s="3885"/>
      <c r="G1" s="3886"/>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83"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84"/>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87" t="s">
        <v>3186</v>
      </c>
      <c r="B1" s="3887"/>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88" t="s">
        <v>3237</v>
      </c>
      <c r="B1" s="3888"/>
      <c r="C1" s="3888"/>
      <c r="D1" s="3888"/>
      <c r="E1" s="3888"/>
      <c r="F1" s="3889"/>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45105</v>
      </c>
      <c r="B1" s="3208" t="s">
        <v>2843</v>
      </c>
      <c r="C1" s="3209"/>
      <c r="D1" s="3209"/>
      <c r="E1" s="3209"/>
      <c r="F1" s="3209"/>
      <c r="G1" s="3209"/>
      <c r="H1" s="3209"/>
      <c r="I1" s="3209"/>
      <c r="J1" s="3163"/>
      <c r="K1" s="3209" t="s">
        <v>454</v>
      </c>
      <c r="L1" s="3209"/>
      <c r="M1" s="3209"/>
      <c r="N1" s="3209"/>
      <c r="O1" s="3209"/>
      <c r="P1" s="3209"/>
      <c r="Q1" s="3163"/>
      <c r="R1" s="3890" t="s">
        <v>456</v>
      </c>
      <c r="S1" s="3891"/>
      <c r="T1" s="3891"/>
      <c r="U1" s="3891"/>
      <c r="V1" s="3891"/>
      <c r="W1" s="3891"/>
      <c r="X1" s="3163"/>
      <c r="Y1" s="3890" t="s">
        <v>457</v>
      </c>
      <c r="Z1" s="3891"/>
      <c r="AA1" s="3891"/>
      <c r="AB1" s="3891"/>
      <c r="AC1" s="3891"/>
      <c r="AD1" s="389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90" t="s">
        <v>2831</v>
      </c>
      <c r="S21" s="3891"/>
      <c r="T21" s="3891"/>
      <c r="U21" s="3891"/>
      <c r="V21" s="3891"/>
      <c r="W21" s="3891"/>
      <c r="X21" s="3163"/>
      <c r="Y21" s="3890" t="s">
        <v>2832</v>
      </c>
      <c r="Z21" s="3891"/>
      <c r="AA21" s="3891"/>
      <c r="AB21" s="3891"/>
      <c r="AC21" s="3891"/>
      <c r="AD21" s="3891"/>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97" t="s">
        <v>452</v>
      </c>
      <c r="C1" s="3897"/>
      <c r="D1" s="3897"/>
      <c r="E1" s="3897"/>
      <c r="F1" s="3897"/>
      <c r="G1" s="3893" t="s">
        <v>453</v>
      </c>
      <c r="H1" s="3893"/>
      <c r="I1" s="3893"/>
      <c r="J1" s="3893"/>
      <c r="K1" s="3893"/>
      <c r="L1" s="3893"/>
      <c r="N1" s="3893" t="s">
        <v>454</v>
      </c>
      <c r="O1" s="3893"/>
      <c r="P1" s="3893"/>
      <c r="Q1" s="3893"/>
      <c r="S1" s="3893" t="s">
        <v>455</v>
      </c>
      <c r="T1" s="3893"/>
      <c r="U1" s="3893"/>
      <c r="V1" s="3893"/>
      <c r="X1" s="3892" t="s">
        <v>456</v>
      </c>
      <c r="Y1" s="3893"/>
      <c r="Z1" s="3893"/>
      <c r="AA1" s="3893"/>
      <c r="AB1" s="3893"/>
      <c r="AD1" s="3892" t="s">
        <v>457</v>
      </c>
      <c r="AE1" s="3893"/>
      <c r="AF1" s="3893"/>
      <c r="AG1" s="3893"/>
      <c r="AH1" s="38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9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9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9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9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9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9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9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9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9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9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9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9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9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9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9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9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9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9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9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9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9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9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9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9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9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9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9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9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9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9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9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9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9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9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9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9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9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9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9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9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9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9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9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9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9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9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9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9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9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9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9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9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9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9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9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9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9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9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9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9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45105</v>
      </c>
      <c r="D1" s="1301" t="s">
        <v>603</v>
      </c>
      <c r="E1" s="1296">
        <f>'数据-取费表'!B22</f>
        <v>2.5</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45097</v>
      </c>
      <c r="D13" s="2820">
        <v>3.55</v>
      </c>
      <c r="E13" s="2820">
        <f>D13</f>
        <v>3.55</v>
      </c>
      <c r="F13" s="2820">
        <f>D13</f>
        <v>3.55</v>
      </c>
      <c r="G13" s="2820">
        <f>D13</f>
        <v>3.55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44795</v>
      </c>
      <c r="D14" s="2815">
        <v>3.65</v>
      </c>
      <c r="E14" s="2815">
        <v>3.65</v>
      </c>
      <c r="F14" s="2815">
        <v>3.65</v>
      </c>
      <c r="G14" s="2815">
        <v>3.65</v>
      </c>
      <c r="H14" s="2815">
        <v>4.3</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44701</v>
      </c>
      <c r="D15" s="2815">
        <v>3.7</v>
      </c>
      <c r="E15" s="2815">
        <f>D15</f>
        <v>3.7</v>
      </c>
      <c r="F15" s="2815">
        <f>D15</f>
        <v>3.7</v>
      </c>
      <c r="G15" s="2815">
        <f>D15</f>
        <v>3.7</v>
      </c>
      <c r="H15" s="2815">
        <v>4.45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44581</v>
      </c>
      <c r="D16" s="2815">
        <v>3.7</v>
      </c>
      <c r="E16" s="2815">
        <f>D16</f>
        <v>3.7</v>
      </c>
      <c r="F16" s="2815">
        <f>D16</f>
        <v>3.7</v>
      </c>
      <c r="G16" s="2815">
        <f>D16</f>
        <v>3.7</v>
      </c>
      <c r="H16" s="2815">
        <v>4.5999999999999996</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44550</v>
      </c>
      <c r="D17" s="2815">
        <v>3.8</v>
      </c>
      <c r="E17" s="2815">
        <f>D17</f>
        <v>3.8</v>
      </c>
      <c r="F17" s="2815">
        <f>D17</f>
        <v>3.8</v>
      </c>
      <c r="G17" s="2815">
        <f>D17</f>
        <v>3.8</v>
      </c>
      <c r="H17" s="2815">
        <v>4.6500000000000004</v>
      </c>
      <c r="I17" s="2815"/>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43881</v>
      </c>
      <c r="D19" s="2815">
        <v>4.05</v>
      </c>
      <c r="E19" s="2815">
        <v>4.05</v>
      </c>
      <c r="F19" s="2815">
        <v>4.05</v>
      </c>
      <c r="G19" s="2815">
        <v>4.05</v>
      </c>
      <c r="H19" s="2815">
        <v>4.75</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43789</v>
      </c>
      <c r="D20" s="2815">
        <v>4.1500000000000004</v>
      </c>
      <c r="E20" s="2815">
        <v>4.1500000000000004</v>
      </c>
      <c r="F20" s="2815">
        <v>4.1500000000000004</v>
      </c>
      <c r="G20" s="2815">
        <v>4.1500000000000004</v>
      </c>
      <c r="H20" s="2815">
        <v>4.8</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43728</v>
      </c>
      <c r="D21" s="2815">
        <v>4.2</v>
      </c>
      <c r="E21" s="2815">
        <v>4.2</v>
      </c>
      <c r="F21" s="2815">
        <v>4.2</v>
      </c>
      <c r="G21" s="2815">
        <v>4.2</v>
      </c>
      <c r="H21" s="2815">
        <v>4.8499999999999996</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t="s">
        <v>2312</v>
      </c>
      <c r="C22" s="2817">
        <v>43697</v>
      </c>
      <c r="D22" s="2818">
        <v>4.25</v>
      </c>
      <c r="E22" s="2818">
        <v>4.25</v>
      </c>
      <c r="F22" s="2818">
        <v>4.25</v>
      </c>
      <c r="G22" s="2818">
        <v>4.25</v>
      </c>
      <c r="H22" s="2818">
        <v>4.8499999999999996</v>
      </c>
      <c r="I22" s="2818"/>
      <c r="J22" s="2818"/>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22"/>
      <c r="C23" s="2823">
        <v>42301</v>
      </c>
      <c r="D23" s="2824">
        <v>4.3499999999999996</v>
      </c>
      <c r="E23" s="2824">
        <v>4.3499999999999996</v>
      </c>
      <c r="F23" s="2824">
        <v>4.75</v>
      </c>
      <c r="G23" s="2824">
        <v>4.75</v>
      </c>
      <c r="H23" s="2824">
        <v>4.9000000000000004</v>
      </c>
      <c r="I23" s="2824"/>
      <c r="J23" s="282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70" t="str">
        <f>IF(项目基本情况!B9="房地产市场价值","估价结果一览表","结果表-2")</f>
        <v>结果表-2</v>
      </c>
      <c r="B1" s="3570"/>
      <c r="C1" s="3570"/>
      <c r="D1" s="3570"/>
      <c r="E1" s="3570"/>
      <c r="F1" s="3570"/>
      <c r="G1" s="3570"/>
      <c r="H1" s="3570"/>
      <c r="I1" s="3570"/>
    </row>
    <row r="2" spans="1:9" ht="30" customHeight="1" thickTop="1">
      <c r="A2" s="3571" t="s">
        <v>928</v>
      </c>
      <c r="B2" s="3571" t="s">
        <v>929</v>
      </c>
      <c r="C2" s="3571" t="s">
        <v>930</v>
      </c>
      <c r="D2" s="3571" t="str">
        <f>结果表!D116</f>
        <v>出让国有建设用地使用权价值</v>
      </c>
      <c r="E2" s="3571"/>
      <c r="F2" s="3571" t="str">
        <f>结果表!F116</f>
        <v>在建建筑物价值</v>
      </c>
      <c r="G2" s="3571"/>
      <c r="H2" s="3571" t="str">
        <f>IF(项目基本情况!B9="房地产市场价值","房地产市场价值","房地产价值")</f>
        <v>房地产价值</v>
      </c>
      <c r="I2" s="3571"/>
    </row>
    <row r="3" spans="1:9" ht="15">
      <c r="A3" s="3572"/>
      <c r="B3" s="3572"/>
      <c r="C3" s="3572"/>
      <c r="D3" s="853" t="s">
        <v>925</v>
      </c>
      <c r="E3" s="853" t="s">
        <v>931</v>
      </c>
      <c r="F3" s="853" t="s">
        <v>925</v>
      </c>
      <c r="G3" s="853" t="s">
        <v>926</v>
      </c>
      <c r="H3" s="853" t="s">
        <v>925</v>
      </c>
      <c r="I3" s="853" t="s">
        <v>926</v>
      </c>
    </row>
    <row r="4" spans="1:9" ht="30">
      <c r="A4" s="1504" t="str">
        <f>项目基本情况!S2</f>
        <v>北京市南口路南口段1号院一区1至14号商业用房房地产</v>
      </c>
      <c r="B4" s="853">
        <f>项目基本情况!C17</f>
        <v>58348.11</v>
      </c>
      <c r="C4" s="853">
        <f>项目基本情况!C18</f>
        <v>0</v>
      </c>
      <c r="D4" s="853">
        <f ca="1">结果表!D118</f>
        <v>210881</v>
      </c>
      <c r="E4" s="853">
        <f ca="1">结果表!E118</f>
        <v>36714</v>
      </c>
      <c r="F4" s="853">
        <f ca="1">结果表!F118</f>
        <v>61927</v>
      </c>
      <c r="G4" s="853">
        <f ca="1">结果表!G118</f>
        <v>10781</v>
      </c>
      <c r="H4" s="853">
        <f ca="1">结果表!H118</f>
        <v>272808</v>
      </c>
      <c r="I4" s="853">
        <f ca="1">结果表!I118</f>
        <v>47495</v>
      </c>
    </row>
    <row r="5" spans="1:9" ht="30" customHeight="1">
      <c r="A5" s="3572" t="s">
        <v>927</v>
      </c>
      <c r="B5" s="3572"/>
      <c r="C5" s="3572"/>
      <c r="D5" s="3572" t="str">
        <f ca="1">结果表!D119</f>
        <v>贰拾壹亿零捌佰捌拾壹万元整</v>
      </c>
      <c r="E5" s="3572"/>
      <c r="F5" s="3572" t="str">
        <f ca="1">结果表!F119</f>
        <v>陆亿壹仟玖佰贰拾柒万元整</v>
      </c>
      <c r="G5" s="3572"/>
      <c r="H5" s="3572" t="str">
        <f ca="1">结果表!H119</f>
        <v>贰拾柒亿贰仟捌佰零捌万元整</v>
      </c>
      <c r="I5" s="3572"/>
    </row>
    <row r="6" spans="1:9" ht="15.75">
      <c r="A6" s="3573" t="str">
        <f>结果表!A120</f>
        <v>估价师知悉的除抵押担保权以外的法定优先受偿款</v>
      </c>
      <c r="B6" s="3573"/>
      <c r="C6" s="3573"/>
      <c r="D6" s="3573">
        <f>结果表!D120</f>
        <v>0</v>
      </c>
      <c r="E6" s="3573"/>
      <c r="F6" s="3573"/>
      <c r="G6" s="3573"/>
      <c r="H6" s="3573"/>
      <c r="I6" s="3573"/>
    </row>
    <row r="7" spans="1:9" ht="15">
      <c r="A7" s="3572" t="s">
        <v>927</v>
      </c>
      <c r="B7" s="3572"/>
      <c r="C7" s="3572"/>
      <c r="D7" s="3574" t="str">
        <f>结果表!D121</f>
        <v>零元整</v>
      </c>
      <c r="E7" s="3575"/>
      <c r="F7" s="3575"/>
      <c r="G7" s="3575"/>
      <c r="H7" s="3575"/>
      <c r="I7" s="3576"/>
    </row>
    <row r="8" spans="1:9" ht="15.75">
      <c r="A8" s="3573" t="str">
        <f>结果表!A122</f>
        <v/>
      </c>
      <c r="B8" s="3573"/>
      <c r="C8" s="3573"/>
      <c r="D8" s="3573" t="str">
        <f>结果表!D122</f>
        <v>——</v>
      </c>
      <c r="E8" s="3573"/>
      <c r="F8" s="3573"/>
      <c r="G8" s="3573"/>
      <c r="H8" s="3573"/>
      <c r="I8" s="3573"/>
    </row>
    <row r="9" spans="1:9" ht="15">
      <c r="A9" s="3572" t="s">
        <v>927</v>
      </c>
      <c r="B9" s="3572"/>
      <c r="C9" s="3572"/>
      <c r="D9" s="3572" t="e">
        <f>结果表!D123</f>
        <v>#VALUE!</v>
      </c>
      <c r="E9" s="3572"/>
      <c r="F9" s="3572"/>
      <c r="G9" s="3572"/>
      <c r="H9" s="3572"/>
      <c r="I9" s="3572"/>
    </row>
    <row r="10" spans="1:9" ht="15.75">
      <c r="A10" s="3573" t="str">
        <f>结果表!A124</f>
        <v>抵押担保权已注销时的房地产抵押价值</v>
      </c>
      <c r="B10" s="3573"/>
      <c r="C10" s="3573"/>
      <c r="D10" s="3573">
        <f ca="1">结果表!D124</f>
        <v>272808</v>
      </c>
      <c r="E10" s="3573"/>
      <c r="F10" s="3573"/>
      <c r="G10" s="3573"/>
      <c r="H10" s="3573"/>
      <c r="I10" s="3573"/>
    </row>
    <row r="11" spans="1:9" ht="15">
      <c r="A11" s="3572" t="s">
        <v>927</v>
      </c>
      <c r="B11" s="3572"/>
      <c r="C11" s="3572"/>
      <c r="D11" s="3572" t="str">
        <f ca="1">结果表!D125</f>
        <v>贰拾柒亿贰仟捌佰零捌万元整</v>
      </c>
      <c r="E11" s="3572"/>
      <c r="F11" s="3572"/>
      <c r="G11" s="3572"/>
      <c r="H11" s="3572"/>
      <c r="I11" s="3572"/>
    </row>
    <row r="12" spans="1:9" ht="15.75">
      <c r="A12" s="3573" t="str">
        <f>结果表!A126</f>
        <v/>
      </c>
      <c r="B12" s="3573"/>
      <c r="C12" s="3573"/>
      <c r="D12" s="3573" t="str">
        <f>结果表!D126</f>
        <v>——</v>
      </c>
      <c r="E12" s="3573"/>
      <c r="F12" s="3573"/>
      <c r="G12" s="3573"/>
      <c r="H12" s="3573"/>
      <c r="I12" s="3573"/>
    </row>
    <row r="13" spans="1:9" ht="15.75" thickBot="1">
      <c r="A13" s="3577" t="s">
        <v>927</v>
      </c>
      <c r="B13" s="3577"/>
      <c r="C13" s="3577"/>
      <c r="D13" s="3577" t="e">
        <f>结果表!D127</f>
        <v>#VALUE!</v>
      </c>
      <c r="E13" s="3577"/>
      <c r="F13" s="3577"/>
      <c r="G13" s="3577"/>
      <c r="H13" s="3577"/>
      <c r="I13" s="3577"/>
    </row>
    <row r="14" spans="1:9" ht="15" thickTop="1">
      <c r="A14" s="3578" t="s">
        <v>932</v>
      </c>
      <c r="B14" s="3578"/>
      <c r="C14" s="3578"/>
      <c r="D14" s="3578"/>
      <c r="E14" s="3578"/>
      <c r="F14" s="3578"/>
      <c r="G14" s="3578"/>
      <c r="H14" s="3578"/>
      <c r="I14" s="35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79" t="s">
        <v>949</v>
      </c>
      <c r="B1" s="3579"/>
      <c r="C1" s="3579"/>
      <c r="D1" s="3579"/>
    </row>
    <row r="2" spans="1:4" ht="18">
      <c r="A2" s="3580" t="s">
        <v>933</v>
      </c>
      <c r="B2" s="3580"/>
      <c r="C2" s="3580"/>
      <c r="D2" s="3580"/>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80" t="s">
        <v>939</v>
      </c>
      <c r="B6" s="3580"/>
      <c r="C6" s="3580"/>
      <c r="D6" s="35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81" t="s">
        <v>942</v>
      </c>
      <c r="B11" s="3582"/>
      <c r="C11" s="3582"/>
      <c r="D11" s="3582"/>
    </row>
    <row r="12" spans="1:4" ht="15.75">
      <c r="A12" s="35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3"/>
      <c r="C12" s="3583"/>
      <c r="D12" s="3583"/>
    </row>
    <row r="13" spans="1:4" ht="30" customHeight="1">
      <c r="A13" s="35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3"/>
      <c r="C13" s="3583"/>
      <c r="D13" s="3583"/>
    </row>
    <row r="14" spans="1:4" ht="15.75" customHeight="1">
      <c r="A14" s="3582" t="str">
        <f>IF(项目基本情况!B8="抵押","4.本次评估估价师所知悉的法定优先受偿款情况说明如下：","——")</f>
        <v>4.本次评估估价师所知悉的法定优先受偿款情况说明如下：</v>
      </c>
      <c r="B14" s="3583"/>
      <c r="C14" s="3583"/>
      <c r="D14" s="3583"/>
    </row>
    <row r="15" spans="1:4" ht="42" customHeight="1">
      <c r="A15" s="35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582"/>
      <c r="C15" s="3582"/>
      <c r="D15" s="3582"/>
    </row>
    <row r="16" spans="1:4" ht="30" customHeight="1">
      <c r="A16" s="3585" t="s">
        <v>943</v>
      </c>
      <c r="B16" s="3585"/>
      <c r="C16" s="3585"/>
      <c r="D16" s="3585"/>
    </row>
    <row r="17" spans="1:4" ht="144" customHeight="1">
      <c r="A17" s="3585" t="s">
        <v>944</v>
      </c>
      <c r="B17" s="3585"/>
      <c r="C17" s="3585"/>
      <c r="D17" s="3585"/>
    </row>
    <row r="18" spans="1:4" ht="15.75" customHeight="1">
      <c r="A18" s="3582" t="str">
        <f>IF(项目基本情况!B8="抵押",结果表!K120,"——")</f>
        <v>故，本次评估不存在估价师知悉的除抵押担保权以外的法定优先受偿款</v>
      </c>
      <c r="B18" s="3582"/>
      <c r="C18" s="3582"/>
      <c r="D18" s="3582"/>
    </row>
    <row r="19" spans="1:4" ht="46.5" customHeight="1">
      <c r="A19" s="35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2"/>
      <c r="C19" s="3582"/>
      <c r="D19" s="3582"/>
    </row>
    <row r="20" spans="1:4" ht="57.75" customHeight="1">
      <c r="A20" s="35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2"/>
      <c r="C20" s="3582"/>
      <c r="D20" s="3582"/>
    </row>
    <row r="21" spans="1:4" ht="57.75" customHeight="1">
      <c r="A21" s="35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6"/>
      <c r="C21" s="3586"/>
      <c r="D21" s="3586"/>
    </row>
    <row r="22" spans="1:4" ht="18.75" customHeight="1">
      <c r="A22" s="3587" t="s">
        <v>945</v>
      </c>
      <c r="B22" s="3587"/>
      <c r="C22" s="3587"/>
      <c r="D22" s="35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84">
        <v>42551</v>
      </c>
      <c r="D31" s="35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93" t="s">
        <v>956</v>
      </c>
      <c r="B15" s="3588" t="s">
        <v>109</v>
      </c>
      <c r="C15" s="3589"/>
    </row>
    <row r="16" spans="1:7" ht="13.5">
      <c r="A16" s="3594"/>
      <c r="B16" s="3588" t="s">
        <v>42</v>
      </c>
      <c r="C16" s="3589"/>
    </row>
    <row r="17" spans="1:3" ht="13.5">
      <c r="A17" s="3594"/>
      <c r="B17" s="3591" t="s">
        <v>957</v>
      </c>
      <c r="C17" s="1531" t="s">
        <v>956</v>
      </c>
    </row>
    <row r="18" spans="1:3" ht="13.5">
      <c r="A18" s="3594"/>
      <c r="B18" s="3591"/>
      <c r="C18" s="1531" t="s">
        <v>958</v>
      </c>
    </row>
    <row r="19" spans="1:3" ht="13.5">
      <c r="A19" s="3594"/>
      <c r="B19" s="3591"/>
      <c r="C19" s="1531" t="s">
        <v>959</v>
      </c>
    </row>
    <row r="20" spans="1:3" ht="13.5">
      <c r="A20" s="3595"/>
      <c r="B20" s="3590" t="s">
        <v>960</v>
      </c>
      <c r="C20" s="3589"/>
    </row>
    <row r="21" spans="1:3" ht="13.5">
      <c r="A21" s="1532" t="s">
        <v>961</v>
      </c>
      <c r="B21" s="1533"/>
      <c r="C21" s="1534"/>
    </row>
    <row r="22" spans="1:3" ht="13.5">
      <c r="A22" s="3592" t="s">
        <v>962</v>
      </c>
      <c r="B22" s="3590" t="s">
        <v>963</v>
      </c>
      <c r="C22" s="3589"/>
    </row>
    <row r="23" spans="1:3" ht="13.5">
      <c r="A23" s="3592"/>
      <c r="B23" s="3590" t="s">
        <v>964</v>
      </c>
      <c r="C23" s="3589"/>
    </row>
    <row r="24" spans="1:3" ht="13.5">
      <c r="A24" s="3592"/>
      <c r="B24" s="3590" t="s">
        <v>965</v>
      </c>
      <c r="C24" s="3589"/>
    </row>
    <row r="25" spans="1:3" ht="13.5">
      <c r="A25" s="3592"/>
      <c r="B25" s="3591" t="s">
        <v>966</v>
      </c>
      <c r="C25" s="1531" t="s">
        <v>967</v>
      </c>
    </row>
    <row r="26" spans="1:3" ht="13.5">
      <c r="A26" s="3592"/>
      <c r="B26" s="3591"/>
      <c r="C26" s="1531" t="s">
        <v>968</v>
      </c>
    </row>
    <row r="27" spans="1:3" ht="13.5">
      <c r="A27" s="3592"/>
      <c r="B27" s="3591"/>
      <c r="C27" s="1531" t="s">
        <v>969</v>
      </c>
    </row>
    <row r="28" spans="1:3" ht="13.5">
      <c r="A28" s="3592"/>
      <c r="B28" s="3591"/>
      <c r="C28" s="1531" t="s">
        <v>970</v>
      </c>
    </row>
    <row r="29" spans="1:3" ht="13.5">
      <c r="A29" s="3592"/>
      <c r="B29" s="3591"/>
      <c r="C29" s="1531" t="s">
        <v>971</v>
      </c>
    </row>
    <row r="30" spans="1:3" ht="13.5">
      <c r="A30" s="3592"/>
      <c r="B30" s="3591"/>
      <c r="C30" s="1531" t="s">
        <v>972</v>
      </c>
    </row>
    <row r="31" spans="1:3" ht="13.5">
      <c r="A31" s="3592"/>
      <c r="B31" s="3591"/>
      <c r="C31" s="1531" t="s">
        <v>973</v>
      </c>
    </row>
    <row r="32" spans="1:3" ht="13.5">
      <c r="A32" s="3592"/>
      <c r="B32" s="3591"/>
      <c r="C32" s="1531" t="s">
        <v>974</v>
      </c>
    </row>
    <row r="33" spans="1:3" ht="13.5">
      <c r="A33" s="3592"/>
      <c r="B33" s="35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45106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96" t="s">
        <v>2159</v>
      </c>
      <c r="B17" s="3596"/>
      <c r="C17" s="3596"/>
      <c r="D17" s="3596"/>
      <c r="E17" s="3596"/>
      <c r="F17" s="3596"/>
      <c r="G17" s="3596"/>
      <c r="H17" s="3596"/>
    </row>
    <row r="18" spans="1:8" ht="24" customHeight="1">
      <c r="A18" s="3597" t="s">
        <v>2160</v>
      </c>
      <c r="B18" s="3597"/>
      <c r="C18" s="3597"/>
      <c r="D18" s="2342"/>
      <c r="E18" s="3598" t="s">
        <v>2161</v>
      </c>
      <c r="F18" s="3597"/>
      <c r="G18" s="359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成本法</vt:lpstr>
      <vt:lpstr>2019年</vt:lpstr>
      <vt:lpstr>2021年</vt:lpstr>
      <vt:lpstr>本宗</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2023-06-29T07:30:31Z</dcterms:modified>
</cp:coreProperties>
</file>