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25" windowWidth="19200" windowHeight="7605"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汇总表" sheetId="80"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Sheet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J49" i="67" l="1"/>
  <c r="U5" i="43"/>
  <c r="U4" i="43"/>
  <c r="U3" i="43"/>
  <c r="U2" i="43"/>
  <c r="G51" i="43"/>
  <c r="G52" i="43"/>
  <c r="G55" i="43"/>
  <c r="G56" i="43"/>
  <c r="G57" i="43"/>
  <c r="G58" i="43"/>
  <c r="G50" i="43"/>
  <c r="I7" i="6"/>
  <c r="B29" i="1"/>
  <c r="Y6" i="1"/>
  <c r="N6" i="1"/>
  <c r="N18" i="1"/>
  <c r="N20" i="1" s="1"/>
  <c r="I16" i="3"/>
  <c r="I15" i="3"/>
  <c r="I14" i="3"/>
  <c r="I13" i="3"/>
  <c r="R55" i="80"/>
  <c r="Q54" i="80"/>
  <c r="Q48" i="80"/>
  <c r="Q31" i="80"/>
  <c r="F27" i="80"/>
  <c r="B29" i="80" s="1"/>
  <c r="I22" i="80"/>
  <c r="I33" i="80" s="1"/>
  <c r="C14" i="80"/>
  <c r="I31" i="80" s="1"/>
  <c r="L11" i="80"/>
  <c r="I34" i="80" s="1"/>
  <c r="Q8" i="80"/>
  <c r="Q55" i="80" s="1"/>
  <c r="D3" i="4"/>
  <c r="Q56" i="80" l="1"/>
  <c r="I32" i="80"/>
  <c r="J35" i="80" s="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H5" i="3" s="1"/>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15"/>
  <c r="F13" i="67"/>
  <c r="M26" i="15"/>
  <c r="F40" i="67"/>
  <c r="M24" i="67"/>
  <c r="M8" i="15"/>
  <c r="M9" i="67"/>
  <c r="M28" i="15"/>
  <c r="F16" i="67"/>
  <c r="F42" i="67"/>
  <c r="M29" i="15"/>
  <c r="J15" i="67"/>
  <c r="F13" i="15"/>
  <c r="F42" i="15"/>
  <c r="F38" i="15"/>
  <c r="F40" i="15"/>
  <c r="F9" i="67"/>
  <c r="D34" i="9"/>
  <c r="M23" i="15"/>
  <c r="F36" i="67"/>
  <c r="F5" i="73"/>
  <c r="B8" i="76"/>
  <c r="E8" i="76"/>
  <c r="D6" i="73"/>
  <c r="M6" i="67"/>
  <c r="F3" i="73"/>
  <c r="M26" i="67"/>
  <c r="B12" i="76"/>
  <c r="F38" i="67"/>
  <c r="F37" i="15"/>
  <c r="F36" i="15"/>
  <c r="B10" i="76"/>
  <c r="C76" i="67"/>
  <c r="B9" i="76"/>
  <c r="M28" i="67"/>
  <c r="F43" i="15"/>
  <c r="M22" i="15"/>
  <c r="L47" i="15"/>
  <c r="F6" i="15"/>
  <c r="F20" i="31"/>
  <c r="F37" i="67"/>
  <c r="M24" i="15"/>
  <c r="E2" i="69"/>
  <c r="E2" i="68"/>
  <c r="F7" i="67"/>
  <c r="E12" i="76"/>
  <c r="AO13" i="1"/>
  <c r="B7" i="76"/>
  <c r="M9" i="15"/>
  <c r="M29" i="67"/>
  <c r="M6" i="15"/>
  <c r="F43" i="67"/>
  <c r="B13" i="76"/>
  <c r="L47" i="67"/>
  <c r="B11" i="76"/>
  <c r="F6" i="67"/>
  <c r="M23" i="67"/>
  <c r="F8" i="67"/>
  <c r="E7" i="76"/>
  <c r="M22" i="67"/>
  <c r="F7" i="73"/>
  <c r="J15" i="15"/>
  <c r="F8" i="15"/>
  <c r="F4" i="73"/>
  <c r="D35" i="9"/>
  <c r="L48" i="15"/>
  <c r="F9" i="15"/>
  <c r="F6" i="73"/>
  <c r="E10" i="76"/>
  <c r="C76" i="15"/>
  <c r="F16" i="15"/>
  <c r="L48" i="67"/>
  <c r="E9" i="76"/>
  <c r="E13" i="76"/>
  <c r="E11" i="76"/>
  <c r="F26" i="67"/>
  <c r="F26" i="15"/>
  <c r="M8" i="67"/>
  <c r="C40" i="68" l="1"/>
  <c r="D54" i="43"/>
  <c r="D53" i="43"/>
  <c r="D52" i="43"/>
  <c r="C21" i="68"/>
  <c r="C40" i="69"/>
  <c r="G22" i="69"/>
  <c r="G22" i="11"/>
  <c r="E1" i="73"/>
  <c r="G26" i="12"/>
  <c r="G16" i="3"/>
  <c r="BB5" i="3"/>
  <c r="BL15" i="3"/>
  <c r="AZ15"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4" i="73"/>
  <c r="C16" i="15"/>
  <c r="D5" i="73"/>
  <c r="C16" i="67"/>
  <c r="D3" i="73"/>
  <c r="E50" i="43" l="1"/>
  <c r="B48" i="43" s="1"/>
  <c r="J26" i="43"/>
  <c r="E59" i="40"/>
  <c r="G26" i="43"/>
  <c r="P6" i="1"/>
  <c r="C13" i="12" s="1"/>
  <c r="F26" i="43"/>
  <c r="D26" i="43" s="1"/>
  <c r="C25" i="43" s="1"/>
  <c r="K16" i="1"/>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T2" i="43"/>
  <c r="W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F41" i="67"/>
  <c r="F41" i="15"/>
  <c r="V3" i="43" l="1"/>
  <c r="W3" i="43"/>
  <c r="V5" i="43"/>
  <c r="W5" i="43"/>
  <c r="V4" i="43"/>
  <c r="W4" i="43"/>
  <c r="F25" i="12"/>
  <c r="C26" i="12" s="1"/>
  <c r="D25" i="12" s="1"/>
  <c r="F69" i="67"/>
  <c r="V2" i="43"/>
  <c r="C6" i="69"/>
  <c r="C7" i="69" s="1"/>
  <c r="F22" i="11"/>
  <c r="C23" i="11" s="1"/>
  <c r="D116" i="43"/>
  <c r="F24" i="67"/>
  <c r="C24" i="67" s="1"/>
  <c r="F22" i="68"/>
  <c r="F41" i="68" s="1"/>
  <c r="E49" i="34"/>
  <c r="F24" i="15"/>
  <c r="C24" i="15" s="1"/>
  <c r="F22" i="69"/>
  <c r="F41" i="69" s="1"/>
  <c r="O36" i="43"/>
  <c r="Q36" i="43"/>
  <c r="N36" i="43"/>
  <c r="M36" i="43"/>
  <c r="P36" i="43"/>
  <c r="C17" i="71"/>
  <c r="D18"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34" i="43" l="1"/>
  <c r="E34" i="43" s="1"/>
  <c r="C31" i="43" s="1"/>
  <c r="W6" i="43"/>
  <c r="C26" i="11"/>
  <c r="D22" i="11" s="1"/>
  <c r="C25" i="11"/>
  <c r="C44" i="11"/>
  <c r="D41" i="11" s="1"/>
  <c r="C24" i="11"/>
  <c r="C26" i="69"/>
  <c r="D22" i="69" s="1"/>
  <c r="C26" i="68"/>
  <c r="D22" i="68" s="1"/>
  <c r="C44" i="68"/>
  <c r="D41" i="68" s="1"/>
  <c r="C23" i="68"/>
  <c r="C44" i="69"/>
  <c r="D41" i="69" s="1"/>
  <c r="C16" i="71"/>
  <c r="D17" i="71"/>
  <c r="C18" i="67"/>
  <c r="C15" i="67"/>
  <c r="H23" i="6"/>
  <c r="R23" i="6" s="1"/>
  <c r="R10" i="1" s="1"/>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19" i="9"/>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8" i="1"/>
  <c r="AO10" i="1"/>
  <c r="AO12" i="1"/>
  <c r="AO11" i="1"/>
  <c r="AO7" i="1"/>
  <c r="AO9" i="1"/>
  <c r="D103" i="9" l="1"/>
  <c r="G20" i="9"/>
  <c r="C32" i="9" s="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5" i="9" l="1"/>
  <c r="C34"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s="1"/>
  <c r="B52" i="72" s="1"/>
  <c r="H102" i="9" l="1"/>
  <c r="E14" i="74"/>
  <c r="D14" i="74" s="1"/>
  <c r="D28" i="74" s="1"/>
  <c r="D29" i="74" s="1"/>
  <c r="H118" i="9"/>
  <c r="F118" i="9"/>
  <c r="F4" i="52" s="1"/>
  <c r="B51" i="72" s="1"/>
  <c r="D7" i="53"/>
  <c r="B21" i="72" s="1"/>
  <c r="E118" i="9"/>
  <c r="C105" i="9"/>
  <c r="D109" i="9" s="1"/>
  <c r="I4" i="52"/>
  <c r="C104" i="9" l="1"/>
  <c r="H101" i="9"/>
  <c r="H107" i="9" s="1"/>
  <c r="H4" i="52"/>
  <c r="H119" i="9"/>
  <c r="H5" i="52" s="1"/>
  <c r="F119" i="9"/>
  <c r="F5" i="52" s="1"/>
  <c r="B53" i="72" s="1"/>
  <c r="E4" i="52"/>
  <c r="B48" i="72" s="1"/>
  <c r="D118" i="9"/>
  <c r="D45" i="9" l="1"/>
  <c r="D53" i="9" s="1"/>
  <c r="D5" i="53"/>
  <c r="D6" i="53" s="1"/>
  <c r="B22" i="72" s="1"/>
  <c r="M48" i="9"/>
  <c r="H108" i="9"/>
  <c r="D122" i="9"/>
  <c r="M49" i="9"/>
  <c r="D13" i="53"/>
  <c r="D4" i="52"/>
  <c r="B47" i="72" s="1"/>
  <c r="D119" i="9"/>
  <c r="D5" i="52" s="1"/>
  <c r="B49" i="72" s="1"/>
  <c r="D55" i="9" l="1"/>
  <c r="M53" i="9" s="1"/>
  <c r="C72" i="9"/>
  <c r="C85" i="9"/>
  <c r="C64" i="9"/>
  <c r="C63" i="9" s="1"/>
  <c r="C67" i="9" s="1"/>
  <c r="C68" i="9" s="1"/>
  <c r="D54" i="9" s="1"/>
  <c r="B20" i="72"/>
  <c r="C93" i="9"/>
  <c r="C86" i="9" s="1"/>
  <c r="D52" i="9"/>
  <c r="C78" i="9"/>
  <c r="C73" i="9" s="1"/>
  <c r="D14" i="53"/>
  <c r="B32" i="72" s="1"/>
  <c r="B30" i="72"/>
  <c r="L68" i="9"/>
  <c r="M68" i="9" s="1"/>
  <c r="L65" i="9"/>
  <c r="M65" i="9" s="1"/>
  <c r="L66" i="9"/>
  <c r="M66" i="9" s="1"/>
  <c r="L64" i="9"/>
  <c r="M64" i="9" s="1"/>
  <c r="L67" i="9"/>
  <c r="M67" i="9" s="1"/>
  <c r="L63" i="9"/>
  <c r="M63" i="9" s="1"/>
  <c r="D8" i="52"/>
  <c r="D123" i="9"/>
  <c r="D9" i="52" s="1"/>
  <c r="D15" i="53"/>
  <c r="B31" i="72" s="1"/>
  <c r="C79" i="9" l="1"/>
  <c r="C80" i="9" s="1"/>
  <c r="E80" i="9" s="1"/>
  <c r="E81" i="9" s="1"/>
  <c r="D59" i="9"/>
  <c r="M55" i="9" s="1"/>
  <c r="C95" i="9"/>
  <c r="C96" i="9" s="1"/>
  <c r="E96" i="9" s="1"/>
  <c r="E97" i="9" s="1"/>
  <c r="M69" i="9"/>
  <c r="N69" i="9" s="1"/>
  <c r="C97" i="9" l="1"/>
  <c r="D58" i="9" s="1"/>
  <c r="D56" i="9" s="1"/>
  <c r="M54" i="9" s="1"/>
  <c r="N57" i="9" s="1"/>
  <c r="P57" i="9" s="1"/>
  <c r="C81" i="9"/>
  <c r="N59" i="9" l="1"/>
  <c r="N60" i="9" s="1"/>
  <c r="N58" i="9"/>
  <c r="N61" i="9" l="1"/>
  <c r="B5" i="74"/>
  <c r="C5" i="74" s="1"/>
  <c r="F14" i="74"/>
  <c r="G14" i="74"/>
  <c r="B6" i="74" s="1"/>
  <c r="D6" i="74" l="1"/>
  <c r="C6"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<sst xmlns="http://schemas.openxmlformats.org/spreadsheetml/2006/main" count="7851" uniqueCount="3436">
  <si>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</si>
  <si>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</si>
  <si>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</si>
  <si>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</si>
  <si>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</si>
  <si>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</si>
  <si>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</si>
  <si>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</si>
  <si>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</si>
  <si>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</si>
  <si>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</si>
  <si>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</si>
  <si>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</si>
  <si>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</si>
  <si>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</si>
  <si>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</si>
  <si>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</si>
  <si>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</si>
  <si>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</si>
  <si>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</si>
  <si>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</si>
  <si>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</si>
  <si>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</si>
  <si>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</si>
  <si>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</si>
  <si>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</si>
  <si>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</si>
  <si>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</si>
  <si>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</si>
  <si>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</si>
  <si>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</si>
  <si>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</si>
  <si>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</si>
  <si>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</si>
  <si>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</si>
  <si>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</si>
  <si>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</si>
  <si>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</si>
  <si>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</si>
  <si>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</si>
  <si>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</si>
  <si>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</si>
  <si>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</si>
  <si>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</si>
  <si>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</si>
  <si>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</si>
  <si>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</si>
  <si>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</si>
  <si>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</si>
  <si>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</si>
  <si>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</si>
  <si>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</si>
  <si>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</si>
  <si>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</si>
  <si>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</si>
  <si>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</si>
  <si>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</si>
  <si>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</si>
  <si>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</si>
  <si>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</si>
  <si>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</si>
  <si>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</si>
  <si>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</si>
  <si>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</si>
  <si>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</si>
  <si>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</si>
  <si>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</si>
  <si>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</si>
  <si>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</si>
  <si>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</si>
  <si>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</si>
  <si>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</si>
  <si>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</si>
  <si>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</si>
  <si>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</si>
  <si>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</si>
  <si>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</si>
  <si>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</si>
  <si>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</si>
  <si>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</si>
  <si>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</si>
  <si>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</si>
  <si>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</si>
  <si>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</si>
  <si>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</si>
  <si>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</si>
  <si>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</si>
  <si>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</si>
  <si>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</si>
  <si>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</si>
  <si>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</si>
  <si>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</si>
  <si>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</si>
  <si>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</si>
  <si>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</si>
  <si>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</si>
  <si>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</si>
  <si>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</si>
  <si>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</si>
  <si>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</si>
  <si>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</si>
  <si>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</si>
  <si>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</si>
  <si>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</si>
  <si>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</si>
  <si>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</si>
  <si>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</si>
  <si>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</si>
  <si>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</si>
  <si>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</si>
  <si>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</si>
  <si>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</si>
  <si>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</si>
  <si>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</si>
  <si>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</si>
  <si>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</si>
  <si>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</si>
  <si>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</si>
  <si>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</si>
  <si>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</si>
  <si>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</si>
  <si>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</si>
  <si>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</si>
  <si>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</si>
  <si>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</si>
  <si>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</si>
  <si>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</si>
  <si>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</si>
  <si>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</si>
  <si>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</si>
  <si>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</si>
  <si>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</si>
  <si>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</si>
  <si>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</si>
  <si>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</si>
  <si>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</si>
  <si>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</si>
  <si>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</si>
  <si>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</si>
  <si>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</si>
  <si>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</si>
  <si>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</si>
  <si>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</si>
  <si>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</si>
  <si>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</si>
  <si>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</si>
  <si>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</si>
  <si>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</si>
  <si>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</si>
  <si>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</si>
  <si>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</si>
  <si>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</si>
  <si>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</si>
  <si>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</si>
  <si>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</si>
  <si>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</si>
  <si>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</si>
  <si>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</si>
  <si>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</si>
  <si>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</si>
  <si>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</si>
  <si>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</si>
  <si>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</si>
  <si>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</si>
  <si>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</si>
  <si>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</si>
  <si>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</si>
  <si>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</si>
  <si>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</si>
  <si>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</si>
  <si>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</si>
  <si>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</si>
  <si>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</si>
  <si>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</si>
  <si>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</si>
  <si>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</si>
  <si>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</si>
  <si>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</si>
  <si>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</si>
  <si>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</si>
  <si>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</si>
  <si>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</si>
  <si>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</si>
  <si>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</si>
  <si>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</si>
  <si>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</si>
  <si>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</si>
  <si>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</si>
  <si>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</si>
  <si>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</si>
  <si>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</si>
  <si>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</si>
  <si>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</si>
  <si>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</si>
  <si>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</si>
  <si>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</si>
  <si>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</si>
  <si>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</si>
  <si>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</si>
  <si>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</si>
  <si>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</si>
  <si>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</si>
  <si>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</si>
  <si>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</si>
  <si>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</si>
  <si>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</si>
  <si>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</si>
  <si>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</si>
  <si>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</si>
  <si>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</si>
  <si>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</si>
  <si>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</si>
  <si>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</si>
  <si>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</si>
  <si>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</si>
  <si>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</si>
  <si>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</si>
  <si>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</si>
  <si>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</si>
  <si>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</si>
  <si>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</si>
  <si>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</si>
  <si>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</si>
  <si>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</si>
  <si>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</si>
  <si>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</si>
  <si>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</si>
  <si>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</si>
  <si>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</si>
  <si>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</si>
  <si>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</si>
  <si>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</si>
  <si>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</si>
  <si>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</si>
  <si>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</si>
  <si>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</si>
  <si>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</si>
  <si>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</si>
  <si>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</si>
  <si>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</si>
  <si>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</si>
  <si>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</si>
  <si>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</si>
  <si>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</si>
  <si>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</si>
  <si>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</si>
  <si>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</si>
  <si>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</si>
  <si>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</si>
  <si>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</si>
  <si>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</si>
  <si>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</si>
  <si>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</si>
  <si>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</si>
  <si>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</si>
  <si>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</si>
  <si>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</si>
  <si>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</si>
  <si>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</si>
  <si>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</si>
  <si>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</si>
  <si>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</si>
  <si>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</si>
  <si>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</si>
  <si>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</si>
  <si>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</si>
  <si>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</si>
  <si>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</si>
  <si>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</si>
  <si>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</si>
  <si>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</si>
  <si>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</si>
  <si>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</si>
  <si>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</si>
  <si>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</si>
  <si>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</si>
  <si>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</si>
  <si>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</si>
  <si>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</si>
  <si>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</si>
  <si>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</si>
  <si>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</si>
  <si>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</si>
  <si>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</si>
  <si>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</si>
  <si>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</si>
  <si>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</si>
  <si>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</si>
  <si>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</si>
  <si>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</si>
  <si>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</si>
  <si>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</si>
  <si>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</si>
  <si>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</si>
  <si>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</si>
  <si>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</si>
  <si>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</si>
  <si>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</si>
  <si>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</si>
  <si>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</si>
  <si>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</si>
  <si>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</si>
  <si>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</si>
  <si>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</si>
  <si>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</si>
  <si>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</si>
  <si>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</si>
  <si>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</si>
  <si>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</si>
  <si>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</si>
  <si>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</si>
  <si>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</si>
  <si>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</si>
  <si>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</si>
  <si>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</si>
  <si>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</si>
  <si>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</si>
  <si>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</si>
  <si>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</si>
  <si>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</si>
  <si>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</si>
  <si>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</si>
  <si>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</si>
  <si>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</si>
  <si>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</si>
  <si>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</si>
  <si>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</si>
  <si>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</si>
  <si>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</si>
  <si>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</si>
  <si>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</si>
  <si>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</si>
  <si>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</si>
  <si>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</si>
  <si>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</si>
  <si>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</si>
  <si>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</si>
  <si>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</si>
  <si>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</si>
  <si>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</si>
  <si>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</si>
  <si>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</si>
  <si>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</si>
  <si>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</si>
  <si>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</si>
  <si>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</si>
  <si>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</si>
  <si>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</si>
  <si>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</si>
  <si>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</si>
  <si>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</si>
  <si>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</si>
  <si>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</si>
  <si>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</si>
  <si>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</si>
  <si>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</si>
  <si>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</si>
  <si>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</si>
  <si>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</si>
  <si>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</si>
  <si>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</si>
  <si>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</si>
  <si>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</si>
  <si>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</si>
  <si>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</si>
  <si>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</si>
  <si>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</si>
  <si>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</si>
  <si>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</si>
  <si>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</si>
  <si>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</si>
  <si>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</si>
  <si>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</si>
  <si>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</si>
  <si>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</si>
  <si>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</si>
  <si>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</si>
  <si>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</si>
  <si>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</si>
  <si>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</si>
  <si>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</si>
  <si>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</si>
  <si>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</si>
  <si>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</si>
  <si>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</si>
  <si>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</si>
  <si>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</si>
  <si>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</si>
  <si>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</si>
  <si>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</si>
  <si>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</si>
  <si>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</si>
  <si>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</si>
  <si>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</si>
  <si>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</si>
  <si>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</si>
  <si>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</si>
  <si>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</si>
  <si>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</si>
  <si>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</si>
  <si>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</si>
  <si>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</si>
  <si>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</si>
  <si>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</si>
  <si>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</si>
  <si>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</si>
  <si>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</si>
  <si>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</si>
  <si>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</si>
  <si>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</si>
  <si>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</si>
  <si>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</si>
  <si>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</si>
  <si>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</si>
  <si>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</si>
  <si>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</si>
  <si>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</si>
  <si>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</si>
  <si>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</si>
  <si>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</si>
  <si>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</si>
  <si>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</si>
  <si>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</si>
  <si>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</si>
  <si>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</si>
  <si>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</si>
  <si>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</si>
  <si>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</si>
  <si>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</si>
  <si>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</si>
  <si>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</si>
  <si>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</si>
  <si>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</si>
  <si>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</si>
  <si>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</si>
  <si>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</si>
  <si>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</si>
  <si>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</si>
  <si>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</si>
  <si>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</si>
  <si>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</si>
  <si>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</si>
  <si>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</si>
  <si>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</si>
  <si>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</si>
  <si>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</si>
  <si>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</si>
  <si>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</si>
  <si>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</si>
  <si>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</si>
  <si>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</si>
  <si>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</si>
  <si>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</si>
  <si>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</si>
  <si>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</si>
  <si>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</si>
  <si>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</si>
  <si>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</si>
  <si>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</si>
  <si>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</si>
  <si>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</si>
  <si>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</si>
  <si>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</si>
  <si>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</si>
  <si>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</si>
  <si>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</si>
  <si>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</si>
  <si>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</si>
  <si>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</si>
  <si>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</si>
  <si>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</si>
  <si>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</si>
  <si>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</si>
  <si>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</si>
  <si>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</si>
  <si>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</si>
  <si>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</si>
  <si>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</si>
  <si>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</si>
  <si>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</si>
  <si>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</si>
  <si>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</si>
  <si>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</si>
  <si>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</si>
  <si>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</si>
  <si>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</si>
  <si>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</si>
  <si>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</si>
  <si>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</si>
  <si>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</si>
  <si>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</si>
  <si>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</si>
  <si>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</si>
  <si>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</si>
  <si>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</si>
  <si>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</si>
  <si>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</si>
  <si>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</si>
  <si>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</si>
  <si>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</si>
  <si>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</si>
  <si>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</si>
  <si>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</si>
  <si>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</si>
  <si>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</si>
  <si>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</si>
  <si>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</si>
  <si>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</si>
  <si>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</si>
  <si>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</si>
  <si>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</si>
  <si>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</si>
  <si>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</si>
  <si>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</si>
  <si>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</si>
  <si>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</si>
  <si>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</si>
  <si>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</si>
  <si>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</si>
  <si>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</si>
  <si>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</si>
  <si>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</si>
  <si>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</si>
  <si>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</si>
  <si>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</si>
  <si>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</si>
  <si>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</si>
  <si>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</si>
  <si>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</si>
  <si>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</si>
  <si>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</si>
  <si>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</si>
  <si>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</si>
  <si>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</si>
  <si>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</si>
  <si>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</si>
  <si>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</si>
  <si>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</si>
  <si>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</si>
  <si>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</si>
  <si>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</si>
  <si>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</si>
  <si>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</si>
  <si>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</si>
  <si>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</si>
  <si>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</si>
  <si>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</si>
  <si>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</si>
  <si>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</si>
  <si>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</si>
  <si>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</si>
  <si>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</si>
  <si>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</si>
  <si>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</si>
  <si>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</si>
  <si>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</si>
  <si>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</si>
  <si>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</si>
  <si>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</si>
  <si>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</si>
  <si>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</si>
  <si>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</si>
  <si>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</si>
  <si>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</si>
  <si>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</si>
  <si>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</si>
  <si>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</si>
  <si>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</si>
  <si>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</si>
  <si>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</si>
  <si>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</si>
  <si>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</si>
  <si>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</si>
  <si>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</si>
  <si>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</si>
  <si>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</si>
  <si>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</si>
  <si>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</si>
  <si>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</si>
  <si>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</si>
  <si>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</si>
  <si>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</si>
  <si>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</si>
  <si>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</si>
  <si>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</si>
  <si>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</si>
  <si>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</si>
  <si>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</si>
  <si>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</si>
  <si>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</si>
  <si>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</si>
  <si>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</si>
  <si>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</si>
  <si>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</si>
  <si>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</si>
  <si>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</si>
  <si>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</si>
  <si>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</si>
  <si>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</si>
  <si>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</si>
  <si>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</si>
  <si>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</si>
  <si>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</si>
  <si>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</si>
  <si>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</si>
  <si>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</si>
  <si>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</si>
  <si>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</si>
  <si>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</si>
  <si>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</si>
  <si>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</si>
  <si>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</si>
  <si>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</si>
  <si>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</si>
  <si>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</si>
  <si>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</si>
  <si>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</si>
  <si>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</si>
  <si>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</si>
  <si>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</si>
  <si>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</si>
  <si>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</si>
  <si>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</si>
  <si>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</si>
  <si>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</si>
  <si>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</si>
  <si>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</si>
  <si>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</si>
  <si>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</si>
  <si>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</si>
  <si>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</si>
  <si>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</si>
  <si>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</si>
  <si>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</si>
  <si>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</si>
  <si>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</si>
  <si>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</si>
  <si>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</si>
  <si>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</si>
  <si>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</si>
  <si>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</si>
  <si>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</si>
  <si>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</si>
  <si>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</si>
  <si>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</si>
  <si>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</si>
  <si>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</si>
  <si>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</si>
  <si>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</si>
  <si>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</si>
  <si>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</si>
  <si>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</si>
  <si>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</si>
  <si>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</si>
  <si>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</si>
  <si>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</si>
  <si>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</si>
  <si>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</si>
  <si>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</si>
  <si>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</si>
  <si>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</si>
  <si>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</si>
  <si>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</si>
  <si>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</si>
  <si>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</si>
  <si>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</si>
  <si>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</si>
  <si>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</si>
  <si>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</si>
  <si>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</si>
  <si>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</si>
  <si>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</si>
  <si>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</si>
  <si>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</si>
  <si>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</si>
  <si>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</si>
  <si>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</si>
  <si>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</si>
  <si>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</si>
  <si>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</si>
  <si>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</si>
  <si>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</si>
  <si>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</si>
  <si>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</si>
  <si>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</si>
  <si>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</si>
  <si>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</si>
  <si>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</si>
  <si>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</si>
  <si>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</si>
  <si>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</si>
  <si>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</si>
  <si>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</si>
  <si>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</si>
  <si>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</si>
  <si>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</si>
  <si>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</si>
  <si>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</si>
  <si>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</si>
  <si>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</si>
  <si>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</si>
  <si>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</si>
  <si>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</si>
  <si>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</si>
  <si>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</si>
  <si>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</si>
  <si>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</si>
  <si>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</si>
  <si>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</si>
  <si>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</si>
  <si>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</si>
  <si>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</si>
  <si>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</si>
  <si>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</si>
  <si>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</si>
  <si>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</si>
  <si>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</si>
  <si>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</si>
  <si>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</si>
  <si>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</si>
  <si>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</si>
  <si>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</si>
  <si>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</si>
  <si>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</si>
  <si>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</si>
  <si>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</si>
  <si>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</si>
  <si>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</si>
  <si>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</si>
  <si>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</si>
  <si>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</si>
  <si>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</si>
  <si>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</si>
  <si>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</si>
  <si>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</si>
  <si>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</si>
  <si>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</si>
  <si>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</si>
  <si>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</si>
  <si>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</si>
  <si>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</si>
  <si>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</si>
  <si>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</si>
  <si>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</si>
  <si>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</si>
  <si>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</si>
  <si>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</si>
  <si>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</si>
  <si>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</si>
  <si>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</si>
  <si>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</si>
  <si>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</si>
  <si>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</si>
  <si>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</si>
  <si>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</si>
  <si>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</si>
  <si>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</si>
  <si>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</si>
  <si>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</si>
  <si>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</si>
  <si>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</si>
  <si>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</si>
  <si>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</si>
  <si>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</si>
  <si>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</si>
  <si>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</si>
  <si>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</si>
  <si>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</si>
  <si>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</si>
  <si>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</si>
  <si>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</si>
  <si>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</si>
  <si>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</si>
  <si>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</si>
  <si>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</si>
  <si>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</si>
  <si>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</si>
  <si>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</si>
  <si>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</si>
  <si>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</si>
  <si>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</si>
  <si>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</si>
  <si>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</si>
  <si>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</si>
  <si>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</si>
  <si>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</si>
  <si>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</si>
  <si>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</si>
  <si>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</si>
  <si>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</si>
  <si>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</si>
  <si>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</si>
  <si>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</si>
  <si>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</si>
  <si>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</si>
  <si>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</si>
  <si>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</si>
  <si>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</si>
  <si>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</si>
  <si>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</si>
  <si>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</si>
  <si>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</si>
  <si>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</si>
  <si>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</si>
  <si>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</si>
  <si>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</si>
  <si>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</si>
  <si>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</si>
  <si>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</si>
  <si>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</si>
  <si>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</si>
  <si>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</si>
  <si>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</si>
  <si>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</si>
  <si>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</si>
  <si>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</si>
  <si>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</si>
  <si>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</si>
  <si>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</si>
  <si>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</si>
  <si>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</si>
  <si>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</si>
  <si>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</si>
  <si>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</si>
  <si>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</si>
  <si>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</si>
  <si>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</si>
  <si>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</si>
  <si>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</si>
  <si>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</si>
  <si>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</si>
  <si>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</si>
  <si>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</si>
  <si>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</si>
  <si>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</si>
  <si>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</si>
  <si>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</si>
  <si>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</si>
  <si>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</si>
  <si>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</si>
  <si>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</si>
  <si>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</si>
  <si>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</si>
  <si>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</si>
  <si>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</si>
  <si>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</si>
  <si>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</si>
  <si>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</si>
  <si>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</si>
  <si>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</si>
  <si>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</si>
  <si>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</si>
  <si>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</si>
  <si>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</si>
  <si>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</si>
  <si>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</si>
  <si>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</si>
  <si>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</si>
  <si>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</si>
  <si>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</si>
  <si>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</si>
  <si>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</si>
  <si>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</si>
  <si>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</si>
  <si>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</si>
  <si>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</si>
  <si>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</si>
  <si>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</si>
  <si>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</si>
  <si>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</si>
  <si>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</si>
  <si>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</si>
  <si>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</si>
  <si>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</si>
  <si>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</si>
  <si>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</si>
  <si>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</si>
  <si>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</si>
  <si>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</si>
  <si>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</si>
  <si>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</si>
  <si>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</si>
  <si>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</si>
  <si>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</si>
  <si>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</si>
  <si>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</si>
  <si>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</si>
  <si>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</si>
  <si>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</si>
  <si>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</si>
  <si>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</si>
  <si>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</si>
  <si>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</si>
  <si>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</si>
  <si>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</si>
  <si>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</si>
  <si>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</si>
  <si>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</si>
  <si>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</si>
  <si>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</si>
  <si>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</si>
  <si>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</si>
  <si>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</si>
  <si>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</si>
  <si>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</si>
  <si>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</si>
  <si>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</si>
  <si>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</si>
  <si>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</si>
  <si>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</si>
  <si>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</si>
  <si>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</si>
  <si>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</si>
  <si>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</si>
  <si>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</si>
  <si>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</si>
  <si>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</si>
  <si>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</si>
  <si>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</si>
  <si>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</si>
  <si>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</si>
  <si>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</si>
  <si>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</si>
  <si>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</si>
  <si>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</si>
  <si>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</si>
  <si>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</si>
  <si>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</si>
  <si>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</si>
  <si>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</si>
  <si>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</si>
  <si>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</si>
  <si>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</si>
  <si>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</si>
  <si>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</si>
  <si>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</si>
  <si>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</si>
  <si>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</si>
  <si>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</si>
  <si>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</si>
  <si>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</si>
  <si>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</si>
  <si>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</si>
  <si>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</si>
  <si>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</si>
  <si>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</si>
  <si>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</si>
  <si>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</si>
  <si>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</si>
  <si>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</si>
  <si>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</si>
  <si>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</si>
  <si>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</si>
  <si>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</si>
  <si>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</si>
  <si>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</si>
  <si>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</si>
  <si>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</si>
  <si>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</si>
  <si>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</si>
  <si>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</si>
  <si>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</si>
  <si>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</si>
  <si>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</si>
  <si>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</si>
  <si>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</si>
  <si>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</si>
  <si>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</si>
  <si>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</si>
  <si>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</si>
  <si>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</si>
  <si>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</si>
  <si>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</si>
  <si>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</si>
  <si>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</si>
  <si>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</si>
  <si>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</si>
  <si>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</si>
  <si>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</si>
  <si>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</si>
  <si>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</si>
  <si>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</si>
  <si>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</si>
  <si>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</si>
  <si>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</si>
  <si>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</si>
  <si>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</si>
  <si>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</si>
  <si>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</si>
  <si>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</si>
  <si>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</si>
  <si>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</si>
  <si>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</si>
  <si>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</si>
  <si>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</si>
  <si>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</si>
  <si>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</si>
  <si>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</si>
  <si>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</si>
  <si>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</si>
  <si>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</si>
  <si>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</si>
  <si>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</si>
  <si>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</si>
  <si>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</si>
  <si>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</si>
  <si>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</si>
  <si>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</si>
  <si>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</si>
  <si>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</si>
  <si>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</si>
  <si>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</si>
  <si>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</si>
  <si>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</si>
  <si>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</si>
  <si>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</si>
  <si>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</si>
  <si>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</si>
  <si>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</si>
  <si>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</si>
  <si>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</si>
  <si>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</si>
  <si>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</si>
  <si>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</si>
  <si>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</si>
  <si>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</si>
  <si>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</si>
  <si>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</si>
  <si>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</si>
  <si>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</si>
  <si>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</si>
  <si>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</si>
  <si>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</si>
  <si>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</si>
  <si>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</si>
  <si>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</si>
  <si>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</si>
  <si>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</si>
  <si>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</si>
  <si>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</si>
  <si>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</si>
  <si>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</si>
  <si>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</si>
  <si>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</si>
  <si>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</si>
  <si>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</si>
  <si>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</si>
  <si>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</si>
  <si>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</si>
  <si>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</si>
  <si>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</si>
  <si>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</si>
  <si>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</si>
  <si>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</si>
  <si>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</si>
  <si>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</si>
  <si>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</si>
  <si>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</si>
  <si>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</si>
  <si>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</si>
  <si>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</si>
  <si>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</si>
  <si>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</si>
  <si>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</si>
  <si>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</si>
  <si>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</si>
  <si>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</si>
  <si>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</si>
  <si>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</si>
  <si>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</si>
  <si>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</si>
  <si>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</si>
  <si>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</si>
  <si>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</si>
  <si>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</si>
  <si>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</si>
  <si>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</si>
  <si>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</si>
  <si>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</si>
  <si>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</si>
  <si>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</si>
  <si>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</si>
  <si>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</si>
  <si>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</si>
  <si>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</si>
  <si>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</si>
  <si>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</si>
  <si>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</si>
  <si>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</si>
  <si>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</si>
  <si>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</si>
  <si>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</si>
  <si>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</si>
  <si>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</si>
  <si>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</si>
  <si>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</si>
  <si>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</si>
  <si>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</si>
  <si>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</si>
  <si>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</si>
  <si>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</si>
  <si>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</si>
  <si>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</si>
  <si>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</si>
  <si>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</si>
  <si>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</si>
  <si>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</si>
  <si>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</si>
  <si>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</si>
  <si>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</si>
  <si>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</si>
  <si>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</si>
  <si>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</si>
  <si>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</si>
  <si>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</si>
  <si>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</si>
  <si>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</si>
  <si>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</si>
  <si>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</si>
  <si>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</si>
  <si>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</si>
  <si>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</si>
  <si>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</si>
  <si>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</si>
  <si>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</si>
  <si>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</si>
  <si>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</si>
  <si>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</si>
  <si>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</si>
  <si>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</si>
  <si>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</si>
  <si>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</si>
  <si>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</si>
  <si>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</si>
  <si>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</si>
  <si>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</si>
  <si>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</si>
  <si>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</si>
  <si>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</si>
  <si>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</si>
  <si>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</si>
  <si>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</si>
  <si>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</si>
  <si>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</si>
  <si>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</si>
  <si>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</si>
  <si>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</si>
  <si>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</si>
  <si>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</si>
  <si>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</si>
  <si>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</si>
  <si>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</si>
  <si>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</si>
  <si>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</si>
  <si>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</si>
  <si>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</si>
  <si>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</si>
  <si>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</si>
  <si>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</si>
  <si>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</si>
  <si>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</si>
  <si>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</si>
  <si>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</si>
  <si>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</si>
  <si>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</si>
  <si>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</si>
  <si>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</si>
  <si>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</si>
  <si>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</si>
  <si>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</si>
  <si>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</si>
  <si>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</si>
  <si>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</si>
  <si>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</si>
  <si>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</si>
  <si>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</si>
  <si>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</si>
  <si>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</si>
  <si>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</si>
  <si>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</si>
  <si>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</si>
  <si>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</si>
  <si>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</si>
  <si>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</si>
  <si>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</si>
  <si>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</si>
  <si>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</si>
  <si>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</si>
  <si>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</si>
  <si>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</si>
  <si>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</si>
  <si>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</si>
  <si>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</si>
  <si>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</si>
  <si>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</si>
  <si>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</si>
  <si>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</si>
  <si>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</si>
  <si>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</si>
  <si>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</si>
  <si>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</si>
  <si>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</si>
  <si>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</si>
  <si>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</si>
  <si>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</si>
  <si>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</si>
  <si>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</si>
  <si>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</si>
  <si>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</si>
  <si>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</si>
  <si>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</si>
  <si>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</si>
  <si>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</si>
  <si>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</si>
  <si>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</si>
  <si>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</si>
  <si>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</si>
  <si>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</si>
  <si>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</si>
  <si>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</si>
  <si>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</si>
  <si>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</si>
  <si>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</si>
  <si>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</si>
  <si>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</si>
  <si>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</si>
  <si>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</si>
  <si>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</si>
  <si>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</si>
  <si>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</si>
  <si>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</si>
  <si>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</si>
  <si>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</si>
  <si>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</si>
  <si>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</si>
  <si>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</si>
  <si>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</si>
  <si>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</si>
  <si>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</si>
  <si>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</si>
  <si>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</si>
  <si>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</si>
  <si>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</si>
  <si>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</si>
  <si>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</si>
  <si>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</si>
  <si>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</si>
  <si>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</si>
  <si>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</si>
  <si>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</si>
  <si>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</si>
  <si>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</si>
  <si>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</si>
  <si>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</si>
  <si>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</si>
  <si>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</si>
  <si>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</si>
  <si>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</si>
  <si>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</si>
  <si>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</si>
  <si>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</si>
  <si>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</si>
  <si>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</si>
  <si>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</si>
  <si>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</si>
  <si>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</si>
  <si>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</si>
  <si>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</si>
  <si>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</si>
  <si>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</si>
  <si>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</si>
  <si>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</si>
  <si>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</si>
  <si>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</si>
  <si>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</si>
  <si>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</si>
  <si>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</si>
  <si>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</si>
  <si>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</si>
  <si>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</si>
  <si>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</si>
  <si>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</si>
  <si>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</si>
  <si>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</si>
  <si>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</si>
  <si>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</si>
  <si>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</si>
  <si>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</si>
  <si>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</si>
  <si>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</si>
  <si>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</si>
  <si>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</si>
  <si>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</si>
  <si>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</si>
  <si>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</si>
  <si>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</si>
  <si>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</si>
  <si>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</si>
  <si>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</si>
  <si>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</si>
  <si>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</si>
  <si>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</si>
  <si>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</si>
  <si>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</si>
  <si>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</si>
  <si>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</si>
  <si>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</si>
  <si>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</si>
  <si>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</si>
  <si>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</si>
  <si>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</si>
  <si>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</si>
  <si>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</si>
  <si>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</si>
  <si>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</si>
  <si>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</si>
  <si>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</si>
  <si>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</si>
  <si>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</si>
  <si>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</si>
  <si>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</si>
  <si>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</si>
  <si>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</si>
  <si>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</si>
  <si>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</si>
  <si>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</si>
  <si>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</si>
  <si>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</si>
  <si>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</si>
  <si>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</si>
  <si>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</si>
  <si>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</si>
  <si>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</si>
  <si>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</si>
  <si>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</si>
  <si>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</si>
  <si>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</si>
  <si>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</si>
  <si>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</si>
  <si>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</si>
  <si>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</si>
  <si>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</si>
  <si>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</si>
  <si>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</si>
  <si>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</si>
  <si>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</si>
  <si>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</si>
  <si>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</si>
  <si>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</si>
  <si>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</si>
  <si>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</si>
  <si>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</si>
  <si>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</si>
  <si>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</si>
  <si>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</si>
  <si>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</si>
  <si>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</si>
  <si>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</si>
  <si>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</si>
  <si>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</si>
  <si>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</si>
  <si>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</si>
  <si>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</si>
  <si>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</si>
  <si>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</si>
  <si>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</si>
  <si>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</si>
  <si>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</si>
  <si>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</si>
  <si>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</si>
  <si>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</si>
  <si>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</si>
  <si>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</si>
  <si>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</si>
  <si>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</si>
  <si>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</si>
  <si>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</si>
  <si>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</si>
  <si>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</si>
  <si>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</si>
  <si>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</si>
  <si>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</si>
  <si>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</si>
  <si>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</si>
  <si>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</si>
  <si>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</si>
  <si>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</si>
  <si>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</si>
  <si>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</si>
  <si>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</si>
  <si>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</si>
  <si>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</si>
  <si>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</si>
  <si>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</si>
  <si>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</si>
  <si>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</si>
  <si>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</si>
  <si>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</si>
  <si>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</si>
  <si>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</si>
  <si>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</si>
  <si>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</si>
  <si>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</si>
  <si>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</si>
  <si>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</si>
  <si>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</si>
  <si>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</si>
  <si>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</si>
  <si>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</si>
  <si>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</si>
  <si>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</si>
  <si>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</si>
  <si>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</si>
  <si>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</si>
  <si>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</si>
  <si>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</si>
  <si>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</si>
  <si>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</si>
  <si>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</si>
  <si>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</si>
  <si>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</si>
  <si>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</si>
  <si>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</si>
  <si>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</si>
  <si>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</si>
  <si>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</si>
  <si>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</si>
  <si>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</si>
  <si>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</si>
  <si>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</si>
  <si>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</si>
  <si>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</si>
  <si>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</si>
  <si>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</si>
  <si>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</si>
  <si>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</si>
  <si>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</si>
  <si>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</si>
  <si>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</si>
  <si>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</si>
  <si>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</si>
  <si>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</si>
  <si>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</si>
  <si>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</si>
  <si>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</si>
  <si>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</si>
  <si>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</si>
  <si>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</si>
  <si>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</si>
  <si>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</si>
  <si>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</si>
  <si>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</si>
  <si>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</si>
  <si>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</si>
  <si>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</si>
  <si>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</si>
  <si>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</si>
  <si>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</si>
  <si>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</si>
  <si>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</si>
  <si>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</si>
  <si>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</si>
  <si>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</si>
  <si>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</si>
  <si>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</si>
  <si>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</si>
  <si>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</si>
  <si>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</si>
  <si>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</si>
  <si>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</si>
  <si>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</si>
  <si>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</si>
  <si>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</si>
  <si>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</si>
  <si>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</si>
  <si>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</si>
  <si>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</si>
  <si>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</si>
  <si>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</si>
  <si>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</si>
  <si>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</si>
  <si>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</si>
  <si>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</si>
  <si>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</si>
  <si>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</si>
  <si>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</si>
  <si>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</si>
  <si>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</si>
  <si>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</si>
  <si>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</si>
  <si>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</si>
  <si>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</si>
  <si>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</si>
  <si>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</si>
  <si>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</si>
  <si>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</si>
  <si>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</si>
  <si>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</si>
  <si>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</si>
  <si>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</si>
  <si>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</si>
  <si>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</si>
  <si>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</si>
  <si>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</si>
  <si>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</si>
  <si>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</si>
  <si>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</si>
  <si>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</si>
  <si>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</si>
  <si>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</si>
  <si>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</si>
  <si>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</si>
  <si>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</si>
  <si>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</si>
  <si>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</si>
  <si>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</si>
  <si>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</si>
  <si>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</si>
  <si>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</si>
  <si>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</si>
  <si>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</si>
  <si>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</si>
  <si>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</si>
  <si>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</si>
  <si>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</si>
  <si>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</si>
  <si>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</si>
  <si>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</si>
  <si>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</si>
  <si>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</si>
  <si>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</si>
  <si>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</si>
  <si>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</si>
  <si>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</si>
  <si>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</si>
  <si>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</si>
  <si>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</si>
  <si>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</si>
  <si>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</si>
  <si>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</si>
  <si>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</si>
  <si>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</si>
  <si>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</si>
  <si>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</si>
  <si>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</si>
  <si>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</si>
  <si>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</si>
  <si>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</si>
  <si>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</si>
  <si>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</si>
  <si>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</si>
  <si>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</si>
  <si>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</si>
  <si>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</si>
  <si>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</si>
  <si>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</si>
  <si>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</si>
  <si>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</si>
  <si>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</si>
  <si>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</si>
  <si>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</si>
  <si>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</si>
  <si>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</si>
  <si>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</si>
  <si>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</si>
  <si>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</si>
  <si>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</si>
  <si>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</si>
  <si>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</si>
  <si>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</si>
  <si>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</si>
  <si>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</si>
  <si>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</si>
  <si>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</si>
  <si>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</si>
  <si>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</si>
  <si>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</si>
  <si>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</si>
  <si>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</si>
  <si>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</si>
  <si>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</si>
  <si>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</si>
  <si>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</si>
  <si>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</si>
  <si>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</si>
  <si>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</si>
  <si>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</si>
  <si>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</si>
  <si>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</si>
  <si>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</si>
  <si>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</si>
  <si>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</si>
  <si>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</si>
  <si>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</si>
  <si>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</si>
  <si>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</si>
  <si>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</si>
  <si>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</si>
  <si>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</si>
  <si>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</si>
  <si>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</si>
  <si>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</si>
  <si>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</si>
  <si>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</si>
  <si>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</si>
  <si>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</si>
  <si>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</si>
  <si>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</si>
  <si>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</si>
  <si>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</si>
  <si>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</si>
  <si>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</si>
  <si>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</si>
  <si>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</si>
  <si>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</si>
  <si>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</si>
  <si>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</si>
  <si>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</si>
  <si>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</si>
  <si>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</si>
  <si>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</si>
  <si>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</si>
  <si>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</si>
  <si>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</si>
  <si>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</si>
  <si>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</si>
  <si>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</si>
  <si>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</si>
  <si>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</si>
  <si>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</si>
  <si>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</si>
  <si>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</si>
  <si>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</si>
  <si>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</si>
  <si>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</si>
  <si>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</si>
  <si>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</si>
  <si>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</si>
  <si>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</si>
  <si>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</si>
  <si>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</si>
  <si>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</si>
  <si>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</si>
  <si>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</si>
  <si>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</si>
  <si>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</si>
  <si>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</si>
  <si>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</si>
  <si>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</si>
  <si>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</si>
  <si>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</si>
  <si>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</si>
  <si>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</si>
  <si>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</si>
  <si>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</si>
  <si>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</si>
  <si>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</si>
  <si>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</si>
  <si>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</si>
  <si>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</si>
  <si>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</si>
  <si>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</si>
  <si>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</si>
  <si>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</si>
  <si>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</si>
  <si>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</si>
  <si>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</si>
  <si>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</si>
  <si>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</si>
  <si>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</si>
  <si>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</si>
  <si>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</si>
  <si>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</si>
  <si>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</si>
  <si>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</si>
  <si>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</si>
  <si>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</si>
  <si>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</si>
  <si>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</si>
  <si>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</si>
  <si>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</si>
  <si>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</si>
  <si>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</si>
  <si>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</si>
  <si>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</si>
  <si>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</si>
  <si>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</si>
  <si>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</si>
  <si>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</si>
  <si>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</si>
  <si>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</si>
  <si>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</si>
  <si>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</si>
  <si>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</si>
  <si>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</si>
  <si>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</si>
  <si>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</si>
  <si>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</si>
  <si>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</si>
  <si>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</si>
  <si>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</si>
  <si>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</si>
  <si>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</si>
  <si>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</si>
  <si>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</si>
  <si>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</si>
  <si>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</si>
  <si>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</si>
  <si>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</si>
  <si>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</si>
  <si>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</si>
  <si>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</si>
  <si>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</si>
  <si>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</si>
  <si>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</si>
  <si>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</si>
  <si>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</si>
  <si>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</si>
  <si>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</si>
  <si>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</si>
  <si>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</si>
  <si>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</si>
  <si>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</si>
  <si>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</si>
  <si>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</si>
  <si>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</si>
  <si>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</si>
  <si>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</si>
  <si>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</si>
  <si>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</si>
  <si>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</si>
  <si>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</si>
  <si>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</si>
  <si>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</si>
  <si>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</si>
  <si>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</si>
  <si>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</si>
  <si>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</si>
  <si>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</si>
  <si>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</si>
  <si>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</si>
  <si>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</si>
  <si>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</si>
  <si>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</si>
  <si>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</si>
  <si>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</si>
  <si>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</si>
  <si>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</si>
  <si>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</si>
  <si>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</si>
  <si>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</si>
  <si>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</si>
  <si>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</si>
  <si>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</si>
  <si>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</si>
  <si>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</si>
  <si>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</si>
  <si>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</si>
  <si>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</si>
  <si>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</si>
  <si>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</si>
  <si>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</si>
  <si>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</si>
  <si>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</si>
  <si>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</si>
  <si>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</si>
  <si>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</si>
  <si>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</si>
  <si>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</si>
  <si>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</si>
  <si>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</si>
  <si>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</si>
  <si>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</si>
  <si>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</si>
  <si>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</si>
  <si>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</si>
  <si>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</si>
  <si>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</si>
  <si>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</si>
  <si>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</si>
  <si>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</si>
  <si>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</si>
  <si>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</si>
  <si>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</si>
  <si>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</si>
  <si>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</si>
  <si>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</si>
  <si>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</si>
  <si>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</si>
  <si>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</si>
  <si>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</si>
  <si>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</si>
  <si>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</si>
  <si>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</si>
  <si>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</si>
  <si>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</si>
  <si>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</si>
  <si>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</si>
  <si>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</si>
  <si>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</si>
  <si>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</si>
  <si>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</si>
  <si>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</si>
  <si>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</si>
  <si>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</si>
  <si>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</si>
  <si>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</si>
  <si>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</si>
  <si>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</si>
  <si>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</si>
  <si>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</si>
  <si>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</si>
  <si>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</si>
  <si>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</si>
  <si>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</si>
  <si>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</si>
  <si>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</si>
  <si>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</si>
  <si>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</si>
  <si>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</si>
  <si>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</si>
  <si>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</si>
  <si>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</si>
  <si>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</si>
  <si>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</si>
  <si>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</si>
  <si>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</si>
  <si>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</si>
  <si>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</si>
  <si>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</si>
  <si>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</si>
  <si>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</si>
  <si>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</si>
  <si>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</si>
  <si>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</si>
  <si>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</si>
  <si>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</si>
  <si>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</si>
  <si>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</si>
  <si>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</si>
  <si>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</si>
  <si>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</si>
  <si>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</si>
  <si>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</si>
  <si>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</si>
  <si>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</si>
  <si>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</si>
  <si>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</si>
  <si>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</si>
  <si>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</si>
  <si>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</si>
  <si>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</si>
  <si>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</si>
  <si>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</si>
  <si>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</si>
  <si>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</si>
  <si>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</si>
  <si>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</si>
  <si>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</si>
  <si>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</si>
  <si>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</si>
  <si>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</si>
  <si>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</si>
  <si>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</si>
  <si>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</si>
  <si>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</si>
  <si>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</si>
  <si>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</si>
  <si>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</si>
  <si>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</si>
  <si>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</si>
  <si>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</si>
  <si>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</si>
  <si>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</si>
  <si>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</si>
  <si>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</si>
  <si>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</si>
  <si>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</si>
  <si>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</si>
  <si>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</si>
  <si>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</si>
  <si>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</si>
  <si>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</si>
  <si>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</si>
  <si>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</si>
  <si>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</si>
  <si>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</si>
  <si>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</si>
  <si>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</si>
  <si>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</si>
  <si>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</si>
  <si>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</si>
  <si>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</si>
  <si>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</si>
  <si>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</si>
  <si>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</si>
  <si>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</si>
  <si>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</si>
  <si>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</si>
  <si>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</si>
  <si>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</si>
  <si>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</si>
  <si>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</si>
  <si>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</si>
  <si>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</si>
  <si>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</si>
  <si>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</si>
  <si>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</si>
  <si>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</si>
  <si>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</si>
  <si>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</si>
  <si>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</si>
  <si>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</si>
  <si>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</si>
  <si>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</si>
  <si>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</si>
  <si>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</si>
  <si>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</si>
  <si>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</si>
  <si>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</si>
  <si>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</si>
  <si>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</si>
  <si>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</si>
  <si>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</si>
  <si>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</si>
  <si>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</si>
  <si>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</si>
  <si>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</si>
  <si>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</si>
  <si>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</si>
  <si>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</si>
  <si>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</si>
  <si>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</si>
  <si>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</si>
  <si>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</si>
  <si>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</si>
  <si>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</si>
  <si>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</si>
  <si>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</si>
  <si>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</si>
  <si>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</si>
  <si>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</si>
  <si>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</si>
  <si>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</si>
  <si>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</si>
  <si>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</si>
  <si>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</si>
  <si>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</si>
  <si>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</si>
  <si>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</si>
  <si>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</si>
  <si>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</si>
  <si>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</si>
  <si>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</si>
  <si>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</si>
  <si>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</si>
  <si>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</si>
  <si>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</si>
  <si>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</si>
  <si>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</si>
  <si>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</si>
  <si>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</si>
  <si>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</si>
  <si>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</si>
  <si>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</si>
  <si>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</si>
  <si>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</si>
  <si>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</si>
  <si>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</si>
  <si>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</si>
  <si>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</si>
  <si>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</si>
  <si>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</si>
  <si>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</si>
  <si>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</si>
  <si>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</si>
  <si>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</si>
  <si>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</si>
  <si>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</si>
  <si>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</si>
  <si>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</si>
  <si>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</si>
  <si>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</si>
  <si>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</si>
  <si>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</si>
  <si>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</si>
  <si>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</si>
  <si>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</si>
  <si>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</si>
  <si>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</si>
  <si>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</si>
  <si>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</si>
  <si>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</si>
  <si>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</si>
  <si>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</si>
  <si>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</si>
  <si>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</si>
  <si>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</si>
  <si>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</si>
  <si>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</si>
  <si>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</si>
  <si>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</si>
  <si>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</si>
  <si>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</si>
  <si>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</si>
  <si>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</si>
  <si>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</si>
  <si>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</si>
  <si>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</si>
  <si>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</si>
  <si>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</si>
  <si>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</si>
  <si>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</si>
  <si>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</si>
  <si>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</si>
  <si>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</si>
  <si>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</si>
  <si>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</si>
  <si>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</si>
  <si>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</si>
  <si>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</si>
  <si>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</si>
  <si>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</si>
  <si>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</si>
  <si>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</si>
  <si>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</si>
  <si>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</si>
  <si>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</si>
  <si>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</si>
  <si>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</si>
  <si>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</si>
  <si>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</si>
  <si>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</si>
  <si>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</si>
  <si>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</si>
  <si>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</si>
  <si>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</si>
  <si>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</si>
  <si>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</si>
  <si>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</si>
  <si>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</si>
  <si>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</si>
  <si>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</si>
  <si>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</si>
  <si>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</si>
  <si>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</si>
  <si>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</si>
  <si>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</si>
  <si>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</si>
  <si>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</si>
  <si>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</si>
  <si>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</si>
  <si>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</si>
  <si>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</si>
  <si>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</si>
  <si>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</si>
  <si>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</si>
  <si>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</si>
  <si>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</si>
  <si>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</si>
  <si>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</si>
  <si>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</si>
  <si>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</si>
  <si>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</si>
  <si>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</si>
  <si>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</si>
  <si>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</si>
  <si>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</si>
  <si>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</si>
  <si>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</si>
  <si>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</si>
  <si>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</si>
  <si>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</si>
  <si>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</si>
  <si>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</si>
  <si>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</si>
  <si>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</si>
  <si>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</si>
  <si>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</si>
  <si>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</si>
  <si>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</si>
  <si>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</si>
  <si>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</si>
  <si>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</si>
  <si>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</si>
  <si>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</si>
  <si>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</si>
  <si>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</si>
  <si>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</si>
  <si>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</si>
  <si>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</si>
  <si>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</si>
  <si>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</si>
  <si>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</si>
  <si>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</si>
  <si>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</si>
  <si>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</si>
  <si>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</si>
  <si>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</si>
  <si>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</si>
  <si>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</si>
  <si>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</si>
  <si>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</si>
  <si>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</si>
  <si>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</si>
  <si>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</si>
  <si>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</si>
  <si>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</si>
  <si>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</si>
  <si>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</si>
  <si>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</si>
  <si>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</si>
  <si>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</si>
  <si>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</si>
  <si>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</si>
  <si>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</si>
  <si>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</si>
  <si>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</si>
  <si>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</si>
  <si>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</si>
  <si>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</si>
  <si>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</si>
  <si>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</si>
  <si>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</si>
  <si>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</si>
  <si>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</si>
  <si>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</si>
  <si>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</si>
  <si>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</si>
  <si>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</si>
  <si>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</si>
  <si>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</si>
  <si>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</si>
  <si>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</si>
  <si>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</si>
  <si>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</si>
  <si>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</si>
  <si>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</si>
  <si>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</si>
  <si>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</si>
  <si>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</si>
  <si>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</si>
  <si>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</si>
  <si>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</si>
  <si>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</si>
  <si>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</si>
  <si>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</si>
  <si>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</si>
  <si>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</si>
  <si>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</si>
  <si>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</si>
  <si>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</si>
  <si>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</si>
  <si>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</si>
  <si>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</si>
  <si>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</si>
  <si>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</si>
  <si>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</si>
  <si>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</si>
  <si>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</si>
  <si>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</si>
  <si>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</si>
  <si>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</si>
  <si>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</si>
  <si>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</si>
  <si>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</si>
  <si>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</si>
  <si>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</si>
  <si>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</si>
  <si>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</si>
  <si>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</si>
  <si>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</si>
  <si>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</si>
  <si>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</si>
  <si>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</si>
  <si>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</si>
  <si>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</si>
  <si>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</si>
  <si>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</si>
  <si>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</si>
  <si>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</si>
  <si>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</si>
  <si>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</si>
  <si>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</si>
  <si>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</si>
  <si>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</si>
  <si>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</si>
  <si>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</si>
  <si>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</si>
  <si>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</si>
  <si>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</si>
  <si>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</si>
  <si>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</si>
  <si>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</si>
  <si>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</si>
  <si>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</si>
  <si>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</si>
  <si>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</si>
  <si>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</si>
  <si>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</si>
  <si>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</si>
  <si>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</si>
  <si>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</si>
  <si>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</si>
  <si>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</si>
  <si>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</si>
  <si>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</si>
  <si>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</si>
  <si>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</si>
  <si>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</si>
  <si>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</si>
  <si>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</si>
  <si>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</si>
  <si>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</si>
  <si>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</si>
  <si>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</si>
  <si>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</si>
  <si>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</si>
  <si>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</si>
  <si>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</si>
  <si>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</si>
  <si>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</si>
  <si>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</si>
  <si>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</si>
  <si>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</si>
  <si>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</si>
  <si>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</si>
  <si>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</si>
  <si>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</si>
  <si>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</si>
  <si>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</si>
  <si>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</si>
  <si>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</si>
  <si>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</si>
  <si>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</si>
  <si>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</si>
  <si>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</si>
  <si>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</si>
  <si>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</si>
  <si>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</si>
  <si>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</si>
  <si>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</si>
  <si>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</si>
  <si>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</si>
  <si>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</si>
  <si>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</si>
  <si>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</si>
  <si>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</si>
  <si>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</si>
  <si>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</si>
  <si>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</si>
  <si>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</si>
  <si>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</si>
  <si>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</si>
  <si>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</si>
  <si>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</si>
  <si>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</si>
  <si>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</si>
  <si>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</si>
  <si>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</si>
  <si>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</si>
  <si>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</si>
  <si>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</si>
  <si>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</si>
  <si>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</si>
  <si>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</si>
  <si>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</si>
  <si>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</si>
  <si>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</si>
  <si>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</si>
  <si>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</si>
  <si>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</si>
  <si>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</si>
  <si>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</si>
  <si>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</si>
  <si>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</si>
  <si>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</si>
  <si>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</si>
  <si>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</si>
  <si>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</si>
  <si>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</si>
  <si>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</si>
  <si>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</si>
  <si>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</si>
  <si>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</si>
  <si>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</si>
  <si>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</si>
  <si>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</si>
  <si>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</si>
  <si>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</si>
  <si>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</si>
  <si>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</si>
  <si>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</si>
  <si>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</si>
  <si>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</si>
  <si>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</si>
  <si>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</si>
  <si>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</si>
  <si>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</si>
  <si>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</si>
  <si>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</si>
  <si>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</si>
  <si>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</si>
  <si>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</si>
  <si>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</si>
  <si>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</si>
  <si>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</si>
  <si>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</si>
  <si>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</si>
  <si>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</si>
  <si>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</si>
  <si>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</si>
  <si>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</si>
  <si>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</si>
  <si>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</si>
  <si>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</si>
  <si>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</si>
  <si>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</si>
  <si>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</si>
  <si>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</si>
  <si>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</si>
  <si>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</si>
  <si>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</si>
  <si>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</si>
  <si>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</si>
  <si>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</si>
  <si>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</si>
  <si>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</si>
  <si>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</si>
  <si>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</si>
  <si>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</si>
  <si>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</si>
  <si>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</si>
  <si>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</si>
  <si>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</si>
  <si>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</si>
  <si>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</si>
  <si>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</si>
  <si>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</si>
  <si>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</si>
  <si>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</si>
  <si>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</si>
  <si>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</si>
  <si>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</si>
  <si>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</si>
  <si>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</si>
  <si>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</si>
  <si>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</si>
  <si>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</si>
  <si>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</si>
  <si>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</si>
  <si>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</si>
  <si>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</si>
  <si>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</si>
  <si>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</si>
  <si>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</si>
  <si>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</si>
  <si>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</si>
  <si>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</si>
  <si>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</si>
  <si>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</si>
  <si>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</si>
  <si>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</si>
  <si>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</si>
  <si>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</si>
  <si>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</si>
  <si>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</si>
  <si>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</si>
  <si>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</si>
  <si>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</si>
  <si>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</si>
  <si>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</si>
  <si>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</si>
  <si>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</si>
  <si>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</si>
  <si>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</si>
  <si>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</si>
  <si>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</si>
  <si>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</si>
  <si>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</si>
  <si>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</si>
  <si>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</si>
  <si>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</si>
  <si>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</si>
  <si>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</si>
  <si>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</si>
  <si>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</si>
  <si>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</si>
  <si>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</si>
  <si>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</si>
  <si>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</si>
  <si>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</si>
  <si>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</si>
  <si>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</si>
  <si>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</si>
  <si>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</si>
  <si>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</si>
  <si>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</si>
  <si>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</si>
  <si>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</si>
  <si>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</si>
  <si>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</si>
  <si>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</si>
  <si>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</si>
  <si>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</si>
  <si>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</si>
  <si>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</si>
  <si>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</si>
  <si>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</si>
  <si>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</si>
  <si>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</si>
  <si>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</si>
  <si>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</si>
  <si>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</si>
  <si>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</si>
  <si>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</si>
  <si>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</si>
  <si>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</si>
  <si>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</si>
  <si>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</si>
  <si>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</si>
  <si>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</si>
  <si>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</si>
  <si>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</si>
  <si>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</si>
  <si>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</si>
  <si>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</si>
  <si>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</si>
  <si>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</si>
  <si>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</si>
  <si>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</si>
  <si>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</si>
  <si>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</si>
  <si>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</si>
  <si>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</si>
  <si>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</si>
  <si>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</si>
  <si>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</si>
  <si>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</si>
  <si>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</si>
  <si>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</si>
  <si>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</si>
  <si>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</si>
  <si>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</si>
  <si>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</si>
  <si>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</si>
  <si>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</si>
  <si>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</si>
  <si>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</si>
  <si>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</si>
  <si>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</si>
  <si>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</si>
  <si>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</si>
  <si>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</si>
  <si>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</si>
  <si>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</si>
  <si>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</si>
  <si>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</si>
  <si>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</si>
  <si>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</si>
  <si>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</si>
  <si>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</si>
  <si>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</si>
  <si>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</si>
  <si>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</si>
  <si>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</si>
  <si>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</si>
  <si>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</si>
  <si>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</si>
  <si>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</si>
  <si>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</si>
  <si>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</si>
  <si>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</si>
  <si>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</si>
  <si>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</si>
  <si>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</si>
  <si>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</si>
  <si>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</si>
  <si>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</si>
  <si>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</si>
  <si>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</si>
  <si>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</si>
  <si>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</si>
  <si>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</si>
  <si>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</si>
  <si>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</si>
  <si>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</si>
  <si>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</si>
  <si>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</si>
  <si>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</si>
  <si>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</si>
  <si>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</si>
  <si>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</si>
  <si>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</si>
  <si>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</si>
  <si>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</si>
  <si>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</si>
  <si>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</si>
  <si>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</si>
  <si>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</si>
  <si>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</si>
  <si>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</si>
  <si>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</si>
  <si>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</si>
  <si>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</si>
  <si>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</si>
  <si>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</si>
  <si>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</si>
  <si>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</si>
  <si>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</si>
  <si>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</si>
  <si>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</si>
  <si>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</si>
  <si>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</si>
  <si>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</si>
  <si>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</si>
  <si>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</si>
  <si>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</si>
  <si>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</si>
  <si>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</si>
  <si>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</si>
  <si>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</si>
  <si>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</si>
  <si>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</si>
  <si>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</si>
  <si>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</si>
  <si>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</si>
  <si>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</si>
  <si>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</si>
  <si>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</si>
  <si>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</si>
  <si>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</si>
  <si>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</si>
  <si>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</si>
  <si>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</si>
  <si>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</si>
  <si>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</si>
  <si>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</si>
  <si>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</si>
  <si>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</si>
  <si>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</si>
  <si>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</si>
  <si>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</si>
  <si>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</si>
  <si>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</si>
  <si>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</si>
  <si>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</si>
  <si>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</si>
  <si>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</si>
  <si>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</si>
  <si>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</si>
  <si>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</si>
  <si>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</si>
  <si>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</si>
  <si>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</si>
  <si>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</si>
  <si>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</si>
  <si>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</si>
  <si>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</si>
  <si>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</si>
  <si>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</si>
  <si>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</si>
  <si>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</si>
  <si>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</si>
  <si>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</si>
  <si>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</si>
  <si>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</si>
  <si>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</si>
  <si>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</si>
  <si>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</si>
  <si>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</si>
  <si>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</si>
  <si>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</si>
  <si>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</si>
  <si>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</si>
  <si>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</si>
  <si>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</si>
  <si>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</si>
  <si>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</si>
  <si>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</si>
  <si>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</si>
  <si>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</si>
  <si>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</si>
  <si>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</si>
  <si>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</si>
  <si>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</si>
  <si>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</si>
  <si>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</si>
  <si>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</si>
  <si>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</si>
  <si>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</si>
  <si>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</si>
  <si>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</si>
  <si>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</si>
  <si>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</si>
  <si>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</si>
  <si>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</si>
  <si>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</si>
  <si>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</si>
  <si>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</si>
  <si>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</si>
  <si>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</si>
  <si>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</si>
  <si>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</si>
  <si>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</si>
  <si>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</si>
  <si>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</si>
  <si>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</si>
  <si>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</si>
  <si>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</si>
  <si>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</si>
  <si>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</si>
  <si>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</si>
  <si>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</si>
  <si>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</si>
  <si>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</si>
  <si>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</si>
  <si>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</si>
  <si>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</si>
  <si>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</si>
  <si>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</si>
  <si>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</si>
  <si>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</si>
  <si>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</si>
  <si>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</si>
  <si>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</si>
  <si>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</si>
  <si>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</si>
  <si>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</si>
  <si>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</si>
  <si>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</si>
  <si>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</si>
  <si>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</si>
  <si>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</si>
  <si>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</si>
  <si>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</si>
  <si>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</si>
  <si>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</si>
  <si>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</si>
  <si>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</si>
  <si>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</si>
  <si>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</si>
  <si>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</si>
  <si>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</si>
  <si>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</si>
  <si>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</si>
  <si>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</si>
  <si>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</si>
  <si>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</si>
  <si>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</si>
  <si>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</si>
  <si>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</si>
  <si>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</si>
  <si>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</si>
  <si>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</si>
  <si>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</si>
  <si>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</si>
  <si>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</si>
  <si>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</si>
  <si>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</si>
  <si>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</si>
  <si>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</si>
  <si>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</si>
  <si>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</si>
  <si>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</si>
  <si>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</si>
  <si>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</si>
  <si>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</si>
  <si>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</si>
  <si>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</si>
  <si>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</si>
  <si>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</si>
  <si>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</si>
  <si>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</si>
  <si>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</si>
  <si>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</si>
  <si>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</si>
  <si>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</si>
  <si>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</si>
  <si>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</si>
  <si>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</si>
  <si>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</si>
  <si>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</si>
  <si>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</si>
  <si>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</si>
  <si>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</si>
  <si>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</si>
  <si>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</si>
  <si>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</si>
  <si>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</si>
  <si>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</si>
  <si>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</si>
  <si>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</si>
  <si>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</si>
  <si>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</si>
  <si>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</si>
  <si>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</si>
  <si>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</si>
  <si>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</si>
  <si>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</si>
  <si>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</si>
  <si>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</si>
  <si>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</si>
  <si>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</si>
  <si>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</si>
  <si>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</si>
  <si>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</si>
  <si>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</si>
  <si>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</si>
  <si>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</si>
  <si>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</si>
  <si>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</si>
  <si>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</si>
  <si>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</si>
  <si>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</si>
  <si>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</si>
  <si>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</si>
  <si>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</si>
  <si>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</si>
  <si>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</si>
  <si>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</si>
  <si>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</si>
  <si>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</si>
  <si>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</si>
  <si>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</si>
  <si>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</si>
  <si>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</si>
  <si>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</si>
  <si>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</si>
  <si>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</si>
  <si>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</si>
  <si>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</si>
  <si>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</si>
  <si>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</si>
  <si>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</si>
  <si>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</si>
  <si>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</si>
  <si>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</si>
  <si>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</si>
  <si>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</si>
  <si>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</si>
  <si>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</si>
  <si>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</si>
  <si>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</si>
  <si>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</si>
  <si>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</si>
  <si>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</si>
  <si>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</si>
  <si>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</si>
  <si>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</si>
  <si>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</si>
  <si>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</si>
  <si>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</si>
  <si>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</si>
  <si>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</si>
  <si>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</si>
  <si>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</si>
  <si>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</si>
  <si>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</si>
  <si>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</si>
  <si>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</si>
  <si>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</si>
  <si>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</si>
  <si>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</si>
  <si>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</si>
  <si>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</si>
  <si>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</si>
  <si>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</si>
  <si>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</si>
  <si>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</si>
  <si>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</si>
  <si>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</si>
  <si>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</si>
  <si>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</si>
  <si>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</si>
  <si>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</si>
  <si>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</si>
  <si>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</si>
  <si>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</si>
  <si>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</si>
  <si>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</si>
  <si>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</si>
  <si>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</si>
  <si>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</si>
  <si>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</si>
  <si>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</si>
  <si>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</si>
  <si>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</si>
  <si>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</si>
  <si>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</si>
  <si>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</si>
  <si>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</si>
  <si>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</si>
  <si>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</si>
  <si>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</si>
  <si>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</si>
  <si>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</si>
  <si>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</si>
  <si>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</si>
  <si>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</si>
  <si>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</si>
  <si>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</si>
  <si>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</si>
  <si>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</si>
  <si>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</si>
  <si>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</si>
  <si>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</si>
  <si>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</si>
  <si>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</si>
  <si>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</si>
  <si>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</si>
  <si>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</si>
  <si>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</si>
  <si>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</si>
  <si>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</si>
  <si>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</si>
  <si>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</si>
  <si>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</si>
  <si>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</si>
  <si>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</si>
  <si>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</si>
  <si>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</si>
  <si>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</si>
  <si>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</si>
  <si>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</si>
  <si>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</si>
  <si>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</si>
  <si>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</si>
  <si>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</si>
  <si>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</si>
  <si>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</si>
  <si>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</si>
  <si>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</si>
  <si>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</si>
  <si>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</si>
  <si>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</si>
  <si>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</si>
  <si>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</si>
  <si>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</si>
  <si>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</si>
  <si>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</si>
  <si>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</si>
  <si>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</si>
  <si>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</si>
  <si>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</si>
  <si>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</si>
  <si>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</si>
  <si>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</si>
  <si>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</si>
  <si>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</si>
  <si>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</si>
  <si>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</si>
  <si>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</si>
  <si>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</si>
  <si>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</si>
  <si>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</si>
  <si>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</si>
  <si>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</si>
  <si>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</si>
  <si>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</si>
  <si>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</si>
  <si>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</si>
  <si>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</si>
  <si>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</si>
  <si>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</si>
  <si>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</si>
  <si>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</si>
  <si>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</si>
  <si>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</si>
  <si>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</si>
  <si>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</si>
  <si>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</si>
  <si>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</si>
  <si>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</si>
  <si>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</si>
  <si>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</si>
  <si>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</si>
  <si>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</si>
  <si>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</si>
  <si>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</si>
  <si>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</si>
  <si>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</si>
  <si>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</si>
  <si>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</si>
  <si>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</si>
  <si>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</si>
  <si>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</si>
  <si>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</si>
  <si>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</si>
  <si>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</si>
  <si>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</si>
  <si>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</si>
  <si>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</si>
  <si>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</si>
  <si>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</si>
  <si>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</si>
  <si>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</si>
  <si>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</si>
  <si>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</si>
  <si>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</si>
  <si>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</si>
  <si>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</si>
  <si>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</si>
  <si>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</si>
  <si>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</si>
  <si>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</si>
  <si>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</si>
  <si>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</si>
  <si>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</si>
  <si>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</si>
  <si>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</si>
  <si>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</si>
  <si>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</si>
  <si>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</si>
  <si>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</si>
  <si>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</si>
  <si>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</si>
  <si>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</si>
  <si>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</si>
  <si>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</si>
  <si>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</si>
  <si>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</si>
  <si>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</si>
  <si>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</si>
  <si>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</si>
  <si>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</si>
  <si>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</si>
  <si>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</si>
  <si>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</si>
  <si>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</si>
  <si>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</si>
  <si>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</si>
  <si>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</si>
  <si>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</si>
  <si>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</si>
  <si>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</si>
  <si>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</si>
  <si>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</si>
  <si>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</si>
  <si>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</si>
  <si>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</si>
  <si>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</si>
  <si>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</si>
  <si>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</si>
  <si>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</si>
  <si>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</si>
  <si>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</si>
  <si>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</si>
  <si>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</si>
  <si>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</si>
  <si>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</si>
  <si>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</si>
  <si>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</si>
  <si>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</si>
  <si>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</si>
  <si>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</si>
  <si>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</si>
  <si>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</si>
  <si>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</si>
  <si>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</si>
  <si>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</si>
  <si>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</si>
  <si>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</si>
  <si>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</si>
  <si>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</si>
  <si>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</si>
  <si>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</si>
  <si>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</si>
  <si>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</si>
  <si>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</si>
  <si>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</si>
  <si>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</si>
  <si>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</si>
  <si>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</si>
  <si>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</si>
  <si>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</si>
  <si>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</si>
  <si>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</si>
  <si>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</si>
  <si>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</si>
  <si>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</si>
  <si>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</si>
  <si>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</si>
  <si>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</si>
  <si>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</si>
  <si>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</si>
  <si>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</si>
  <si>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</si>
  <si>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</si>
  <si>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</si>
  <si>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</si>
  <si>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</si>
  <si>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</si>
  <si>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</si>
  <si>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</si>
  <si>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</si>
  <si>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</si>
  <si>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</si>
  <si>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</si>
  <si>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</si>
  <si>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</si>
  <si>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</si>
  <si>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</si>
  <si>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</si>
  <si>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</si>
  <si>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</si>
  <si>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</si>
  <si>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</si>
  <si>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</si>
  <si>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</si>
  <si>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</si>
  <si>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</si>
  <si>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</si>
  <si>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</si>
  <si>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</si>
  <si>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</si>
  <si>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</si>
  <si>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</si>
  <si>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</si>
  <si>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</si>
  <si>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</si>
  <si>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</si>
  <si>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</si>
  <si>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</si>
  <si>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</si>
  <si>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</si>
  <si>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</si>
  <si>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</si>
  <si>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</si>
  <si>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</si>
  <si>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</si>
  <si>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</si>
  <si>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</si>
  <si>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</si>
  <si>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</si>
  <si>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</si>
  <si>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</si>
  <si>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</si>
  <si>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</si>
  <si>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</si>
  <si>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</si>
  <si>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</si>
  <si>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</si>
  <si>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</si>
  <si>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</si>
  <si>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</si>
  <si>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</si>
  <si>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</si>
  <si>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</si>
  <si>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</si>
  <si>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</si>
  <si>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</si>
  <si>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</si>
  <si>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</si>
  <si>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</si>
  <si>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</si>
  <si>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</si>
  <si>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</si>
  <si>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</si>
  <si>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</si>
  <si>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</si>
  <si>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</si>
  <si>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</si>
  <si>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</si>
  <si>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</si>
  <si>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</si>
  <si>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</si>
  <si>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</si>
  <si>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</si>
  <si>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</si>
  <si>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</si>
  <si>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</si>
  <si>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</si>
  <si>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</si>
  <si>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</si>
  <si>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</si>
  <si>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</si>
  <si>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</si>
  <si>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</si>
  <si>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</si>
  <si>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</si>
  <si>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</si>
  <si>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</si>
  <si>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</si>
  <si>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</si>
  <si>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</si>
  <si>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</si>
  <si>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</si>
  <si>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</si>
  <si>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</si>
  <si>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</si>
  <si>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</si>
  <si>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</si>
  <si>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</si>
  <si>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</si>
  <si>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</si>
  <si>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</si>
  <si>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</si>
  <si>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</si>
  <si>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</si>
  <si>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</si>
  <si>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</si>
  <si>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</si>
  <si>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</si>
  <si>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</si>
  <si>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</si>
  <si>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</si>
  <si>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</si>
  <si>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</si>
  <si>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</si>
  <si>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</si>
  <si>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</si>
  <si>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</si>
  <si>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</si>
  <si>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</si>
  <si>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</si>
  <si>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</si>
  <si>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</si>
  <si>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</si>
  <si>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</si>
  <si>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</si>
  <si>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</si>
  <si>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</si>
  <si>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</si>
  <si>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</si>
  <si>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</si>
  <si>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</si>
  <si>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</si>
  <si>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</si>
  <si>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</si>
  <si>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</si>
  <si>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</si>
  <si>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</si>
  <si>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</si>
  <si>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</si>
  <si>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</si>
  <si>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</si>
  <si>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</si>
  <si>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</si>
  <si>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</si>
  <si>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</si>
  <si>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</si>
  <si>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</si>
  <si>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</si>
  <si>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</si>
  <si>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</si>
  <si>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</si>
  <si>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</si>
  <si>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</si>
  <si>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</si>
  <si>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</si>
  <si>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</si>
  <si>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</si>
  <si>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</si>
  <si>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</si>
  <si>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</si>
  <si>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</si>
  <si>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</si>
  <si>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</si>
  <si>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</si>
  <si>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</si>
  <si>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</si>
  <si>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</si>
  <si>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</si>
  <si>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</si>
  <si>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</si>
  <si>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</si>
  <si>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</si>
  <si>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</si>
  <si>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</si>
  <si>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</si>
  <si>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</si>
  <si>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</si>
  <si>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</si>
  <si>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</si>
  <si>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</si>
  <si>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</si>
  <si>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</si>
  <si>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</si>
  <si>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</si>
  <si>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</si>
  <si>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</si>
  <si>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</si>
  <si>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</si>
  <si>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</si>
  <si>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</si>
  <si>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</si>
  <si>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</si>
  <si>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</si>
  <si>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</si>
  <si>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</si>
  <si>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</si>
  <si>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</si>
  <si>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</si>
  <si>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</si>
  <si>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</si>
  <si>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</si>
  <si>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</si>
  <si>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</si>
  <si>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</si>
  <si>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</si>
  <si>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</si>
  <si>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</si>
  <si>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</si>
  <si>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</si>
  <si>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</si>
  <si>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</si>
  <si>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</si>
  <si>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</si>
  <si>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</si>
  <si>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</si>
  <si>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</si>
  <si>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</si>
  <si>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</si>
  <si>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</si>
  <si>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</si>
  <si>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</si>
  <si>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</si>
  <si>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</si>
  <si>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</si>
  <si>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</si>
  <si>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</si>
  <si>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</si>
  <si>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</si>
  <si>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</si>
  <si>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</si>
  <si>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</si>
  <si>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</si>
  <si>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</si>
  <si>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</si>
  <si>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</si>
  <si>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</si>
  <si>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</si>
  <si>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</si>
  <si>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</si>
  <si>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</si>
  <si>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</si>
  <si>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</si>
  <si>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</si>
  <si>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</si>
  <si>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</si>
  <si>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</si>
  <si>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</si>
  <si>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</si>
  <si>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</si>
  <si>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</si>
  <si>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</si>
  <si>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</si>
  <si>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</si>
  <si>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</si>
  <si>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</si>
  <si>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</si>
  <si>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</si>
  <si>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</si>
  <si>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</si>
  <si>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</si>
  <si>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</si>
  <si>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</si>
  <si>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</si>
  <si>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</si>
  <si>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</si>
  <si>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</si>
  <si>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</si>
  <si>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</si>
  <si>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</si>
  <si>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</si>
  <si>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</si>
  <si>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</si>
  <si>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</si>
  <si>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</si>
  <si>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</si>
  <si>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</si>
  <si>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</si>
  <si>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</si>
  <si>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</si>
  <si>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</si>
  <si>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</si>
  <si>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</si>
  <si>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</si>
  <si>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</si>
  <si>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</si>
  <si>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</si>
  <si>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</si>
  <si>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</si>
  <si>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</si>
  <si>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</si>
  <si>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</si>
  <si>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</si>
  <si>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</si>
  <si>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</si>
  <si>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</si>
  <si>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</si>
  <si>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</si>
  <si>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</si>
  <si>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</si>
  <si>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</si>
  <si>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</si>
  <si>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</si>
  <si>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</si>
  <si>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</si>
  <si>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</si>
  <si>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</si>
  <si>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</si>
  <si>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</si>
  <si>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</si>
  <si>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</si>
  <si>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</si>
  <si>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</si>
  <si>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</si>
  <si>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</si>
  <si>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</si>
  <si>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</si>
  <si>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</si>
  <si>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</si>
  <si>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</si>
  <si>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</si>
  <si>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</si>
  <si>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</si>
  <si>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</si>
  <si>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</si>
  <si>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</si>
  <si>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</si>
  <si>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</si>
  <si>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</si>
  <si>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</si>
  <si>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</si>
  <si>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</si>
  <si>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</si>
  <si>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</si>
  <si>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</si>
  <si>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</si>
  <si>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</si>
  <si>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</si>
  <si>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</si>
  <si>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</si>
  <si>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</si>
  <si>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</si>
  <si>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</si>
  <si>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</si>
  <si>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</si>
  <si>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</si>
  <si>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</si>
  <si>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</si>
  <si>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</si>
  <si>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</si>
  <si>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</si>
  <si>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</si>
  <si>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</si>
  <si>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</si>
  <si>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</si>
  <si>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</si>
  <si>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</si>
  <si>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</si>
  <si>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</si>
  <si>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</si>
  <si>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</si>
  <si>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</si>
  <si>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</si>
  <si>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</si>
  <si>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</si>
  <si>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</si>
  <si>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</si>
  <si>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</si>
  <si>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</si>
  <si>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</si>
  <si>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</si>
  <si>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</si>
  <si>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</si>
  <si>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</si>
  <si>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</si>
  <si>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</si>
  <si>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</si>
  <si>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</si>
  <si>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</si>
  <si>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</si>
  <si>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</si>
  <si>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</si>
  <si>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</si>
  <si>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</si>
  <si>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</si>
  <si>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</si>
  <si>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</si>
  <si>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</si>
  <si>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</si>
  <si>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</si>
  <si>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</si>
  <si>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</si>
  <si>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企业</t>
  </si>
  <si>
    <t>商业项目</t>
  </si>
  <si>
    <t>无</t>
  </si>
  <si>
    <t>否</t>
  </si>
  <si>
    <t>现房</t>
  </si>
  <si>
    <r>
      <rPr>
        <sz val="10"/>
        <color indexed="8"/>
        <rFont val="Arial"/>
        <family val="2"/>
      </rPr>
      <t>1</t>
    </r>
    <r>
      <rPr>
        <sz val="10"/>
        <color indexed="8"/>
        <rFont val="宋体"/>
        <family val="3"/>
        <charset val="134"/>
      </rPr>
      <t>层</t>
    </r>
  </si>
  <si>
    <t>是</t>
  </si>
  <si>
    <r>
      <rPr>
        <sz val="10"/>
        <color indexed="8"/>
        <rFont val="Arial"/>
        <family val="2"/>
      </rPr>
      <t>2</t>
    </r>
    <r>
      <rPr>
        <sz val="10"/>
        <color indexed="8"/>
        <rFont val="宋体"/>
        <family val="3"/>
        <charset val="134"/>
      </rPr>
      <t>层</t>
    </r>
  </si>
  <si>
    <r>
      <rPr>
        <sz val="10"/>
        <color indexed="8"/>
        <rFont val="Arial"/>
        <family val="2"/>
      </rPr>
      <t>3</t>
    </r>
    <r>
      <rPr>
        <sz val="10"/>
        <color indexed="8"/>
        <rFont val="宋体"/>
        <family val="3"/>
        <charset val="134"/>
      </rPr>
      <t>层</t>
    </r>
  </si>
  <si>
    <r>
      <rPr>
        <sz val="10"/>
        <color indexed="8"/>
        <rFont val="Arial"/>
        <family val="2"/>
      </rPr>
      <t>4</t>
    </r>
    <r>
      <rPr>
        <sz val="10"/>
        <color indexed="8"/>
        <rFont val="宋体"/>
        <family val="3"/>
        <charset val="134"/>
      </rPr>
      <t>层</t>
    </r>
  </si>
  <si>
    <t>房号</t>
  </si>
  <si>
    <t>实测建面</t>
  </si>
  <si>
    <t>套数</t>
  </si>
  <si>
    <t>所在层数</t>
  </si>
  <si>
    <t>建筑面积</t>
  </si>
  <si>
    <t>一层</t>
  </si>
  <si>
    <t>二层</t>
  </si>
  <si>
    <t>三层</t>
  </si>
  <si>
    <t>四层</t>
  </si>
  <si>
    <t>合计</t>
  </si>
  <si>
    <t>2280(通道）</t>
  </si>
  <si>
    <t>1-4层合计面积</t>
  </si>
  <si>
    <t>总计</t>
  </si>
  <si>
    <t>商业</t>
    <phoneticPr fontId="7" type="noConversion"/>
  </si>
  <si>
    <t>地上</t>
  </si>
  <si>
    <t>成新度</t>
  </si>
  <si>
    <t>收益法 (元)</t>
  </si>
  <si>
    <t>自定义容积率</t>
  </si>
  <si>
    <t>不临65条商业街</t>
  </si>
  <si>
    <t>通路</t>
  </si>
  <si>
    <t>通电</t>
  </si>
  <si>
    <t>通讯</t>
  </si>
  <si>
    <t>通上水</t>
  </si>
  <si>
    <t>通下水</t>
  </si>
  <si>
    <t>燃气</t>
  </si>
  <si>
    <t>平整</t>
  </si>
  <si>
    <t>与级别开发程度不一致</t>
  </si>
  <si>
    <t>楼层修正</t>
  </si>
  <si>
    <t>较好</t>
  </si>
  <si>
    <t>较差</t>
  </si>
  <si>
    <t>好</t>
  </si>
  <si>
    <t>未包含在土地购买价格中</t>
  </si>
  <si>
    <t>已包含在土地取得成本中</t>
  </si>
  <si>
    <t>押一</t>
  </si>
  <si>
    <t>钢混</t>
  </si>
  <si>
    <t>非生产用房</t>
  </si>
  <si>
    <t>成本法 (元)</t>
  </si>
  <si>
    <t>楼面单价</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</si>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</sst>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0" tint="-0.149967955565050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5" fillId="22" borderId="1" xfId="1" applyNumberFormat="1" applyFont="1" applyFill="1" applyBorder="1" applyAlignment="1">
      <alignment horizontal="center" vertical="center" wrapText="1"/>
    </xf>
    <xf numFmtId="196" fontId="185" fillId="22" borderId="1" xfId="1" applyNumberFormat="1" applyFont="1" applyFill="1" applyBorder="1" applyAlignment="1">
      <alignment horizontal="center" vertical="center" wrapText="1"/>
    </xf>
    <xf numFmtId="0" fontId="94" fillId="0" borderId="1" xfId="2" applyNumberFormat="1" applyFont="1" applyFill="1" applyBorder="1" applyAlignment="1">
      <alignment horizontal="center" vertical="center" wrapText="1"/>
    </xf>
    <xf numFmtId="0" fontId="94" fillId="0" borderId="1" xfId="2" applyFont="1" applyFill="1" applyBorder="1" applyAlignment="1">
      <alignment horizontal="center" vertical="center"/>
    </xf>
    <xf numFmtId="0" fontId="95" fillId="0" borderId="1" xfId="0" applyFont="1" applyFill="1" applyBorder="1" applyAlignment="1">
      <alignment vertical="center"/>
    </xf>
    <xf numFmtId="183" fontId="47" fillId="8" borderId="1" xfId="0" applyNumberFormat="1" applyFont="1" applyFill="1" applyBorder="1" applyAlignment="1" applyProtection="1">
      <alignment horizontal="center" vertical="center" shrinkToFit="1"/>
      <protection locked="0"/>
    </xf>
    <xf numFmtId="10" fontId="53" fillId="8" borderId="4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5" xfId="0" applyFont="1" applyFill="1" applyBorder="1" applyAlignment="1" applyProtection="1">
      <alignment horizontal="left" vertical="center" wrapText="1"/>
      <protection locked="0"/>
    </xf>
    <xf numFmtId="0" fontId="44" fillId="6" borderId="54"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4" fillId="0" borderId="13" xfId="2" applyNumberFormat="1" applyFont="1" applyFill="1" applyBorder="1" applyAlignment="1">
      <alignment horizontal="center" vertical="center" wrapText="1"/>
    </xf>
    <xf numFmtId="0" fontId="94" fillId="0" borderId="15" xfId="2" applyNumberFormat="1" applyFont="1" applyFill="1" applyBorder="1" applyAlignment="1">
      <alignment horizontal="center" vertical="center" wrapText="1"/>
    </xf>
    <xf numFmtId="0" fontId="94" fillId="0" borderId="2" xfId="2" applyNumberFormat="1" applyFont="1" applyFill="1" applyBorder="1" applyAlignment="1">
      <alignment horizontal="center" vertical="center" wrapText="1"/>
    </xf>
    <xf numFmtId="0" fontId="94" fillId="0" borderId="5" xfId="2" applyNumberFormat="1" applyFont="1" applyFill="1" applyBorder="1" applyAlignment="1">
      <alignment horizontal="center" vertical="center" wrapText="1"/>
    </xf>
    <xf numFmtId="0" fontId="94" fillId="0" borderId="54" xfId="2" applyNumberFormat="1" applyFont="1" applyFill="1" applyBorder="1" applyAlignment="1">
      <alignment horizontal="center" vertical="center" wrapText="1"/>
    </xf>
    <xf numFmtId="0" fontId="94" fillId="0" borderId="3" xfId="2" applyNumberFormat="1" applyFont="1" applyFill="1" applyBorder="1" applyAlignment="1">
      <alignment horizontal="center" vertical="center" wrapText="1"/>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00000" cy="2428571"/>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571750"/>
          <a:ext cx="3647619" cy="1104762"/>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71900"/>
          <a:ext cx="3666667" cy="1104762"/>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72050"/>
          <a:ext cx="3685714" cy="3409524"/>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4114800" y="0"/>
          <a:ext cx="3723809" cy="5800000"/>
        </a:xfrm>
        <a:prstGeom prst="rect">
          <a:avLst/>
        </a:prstGeom>
      </xdr:spPr>
    </xdr:pic>
    <xdr:clientData/>
  </xdr:twoCellAnchor>
  <xdr:twoCellAnchor editAs="oneCell">
    <xdr:from>
      <xdr:col>6</xdr:col>
      <xdr:colOff>0</xdr:colOff>
      <xdr:row>34</xdr:row>
      <xdr:rowOff>0</xdr:rowOff>
    </xdr:from>
    <xdr:to>
      <xdr:col>10</xdr:col>
      <xdr:colOff>666324</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5829300"/>
          <a:ext cx="3409524" cy="4542857"/>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0"/>
          <a:ext cx="3800000"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估价对象为北京市房地产，为所有。根据《国有土地使用证》[]，估价对象（分摊）出让国有建设用地使用权面积为0平方米，建筑面积为720.67平方米。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估价对象为北京市房地产,属开发建设的商业项目，该项目尚在开发建设中。根据《国有土地使用证》[]，估价对象（分摊）出让国有建设用地使用权面积为0平方米，规划建筑面积为720.67平方米。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2024年8月7日（评估专业人员实地查勘之日）</v>
      </c>
    </row>
    <row r="13" spans="1:2" s="1203" customFormat="1">
      <c r="A13" s="1201" t="s">
        <v>529</v>
      </c>
      <c r="B13" s="1202"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1922</v>
      </c>
    </row>
    <row r="21" spans="1:2" s="1203" customFormat="1">
      <c r="A21" s="1201" t="s">
        <v>537</v>
      </c>
      <c r="B21" s="1202">
        <f ca="1">'预评函-2'!D7</f>
        <v>26671</v>
      </c>
    </row>
    <row r="22" spans="1:2" s="1203" customFormat="1">
      <c r="A22" s="1201" t="s">
        <v>538</v>
      </c>
      <c r="B22" s="1202" t="str">
        <f ca="1">'预评函-2'!D6</f>
        <v>壹仟玖佰贰拾贰万元整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1922</v>
      </c>
    </row>
    <row r="31" spans="1:2" s="1203" customFormat="1">
      <c r="A31" s="1201" t="s">
        <v>576</v>
      </c>
      <c r="B31" s="1202">
        <f ca="1">'预评函-2'!D15</f>
        <v>26671</v>
      </c>
    </row>
    <row r="32" spans="1:2" s="1203" customFormat="1">
      <c r="A32" s="1201" t="s">
        <v>543</v>
      </c>
      <c r="B32" s="1202" t="str">
        <f ca="1">'预评函-2'!D14</f>
        <v>壹仟玖佰贰拾贰万元整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720.67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7" t="s">
        <v>2582</v>
      </c>
      <c r="J2" s="3497"/>
      <c r="K2" s="3497"/>
      <c r="L2" s="3497"/>
      <c r="M2" s="3497"/>
      <c r="N2" s="3497"/>
      <c r="O2" s="3497"/>
      <c r="P2" s="3497"/>
      <c r="Q2" s="3497"/>
      <c r="R2" s="3497"/>
    </row>
    <row r="3" spans="1:18">
      <c r="A3" s="3020" t="s">
        <v>2503</v>
      </c>
      <c r="B3" s="3021">
        <f>项目基本情况!D3</f>
        <v>45511</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2.36</v>
      </c>
      <c r="D5" s="3025">
        <f>IF(ISERROR(ROUND(POWER(1+E5,A5-C5)*(POWER(1+E5,C5)-1)/(POWER(1+E5,A5)-1),3)),0,ROUND(POWER(1+E5,A5-C5)*(POWER(1+E5,C5)-1)/(POWER(1+E5,A5)-1),4))</f>
        <v>0.11169999999999999</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12.37</v>
      </c>
      <c r="D6" s="3025">
        <f>IF(ISERROR(ROUND(POWER(1+E6,A6-C6)*(POWER(1+E6,C6)-1)/(POWER(1+E6,A6)-1),3)),0,ROUND(POWER(1+E6,A6-C6)*(POWER(1+E6,C6)-1)/(POWER(1+E6,A6)-1),4))</f>
        <v>0.44729999999999998</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32.380000000000003</v>
      </c>
      <c r="D7" s="3025">
        <f>IF(ISERROR(ROUND(POWER(1+E7,A7-C7)*(POWER(1+E7,C7)-1)/(POWER(1+E7,A7)-1),3)),0,ROUND(POWER(1+E7,A7-C7)*(POWER(1+E7,C7)-1)/(POWER(1+E7,A7)-1),4))</f>
        <v>0.76849999999999996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4" sqref="C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45511</v>
      </c>
      <c r="C3" s="2374" t="s">
        <v>2171</v>
      </c>
      <c r="D3" s="2373">
        <f>B3</f>
        <v>45511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3435</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509"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510"/>
      <c r="E9" s="2394"/>
      <c r="F9" s="2396"/>
      <c r="G9" s="2665"/>
      <c r="H9" s="2665"/>
      <c r="I9" s="2665"/>
      <c r="J9" s="2439"/>
      <c r="K9" s="2616"/>
      <c r="L9" s="2613"/>
      <c r="M9" s="2613"/>
      <c r="N9" s="2439"/>
      <c r="O9" s="2450"/>
      <c r="P9" s="2439"/>
      <c r="Q9" s="2439"/>
      <c r="R9" s="2439"/>
    </row>
    <row r="10" spans="1:30" ht="13.5" thickTop="1">
      <c r="A10" s="2397" t="s">
        <v>2179</v>
      </c>
      <c r="B10" s="2398" t="s">
        <v>3386</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3387</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3454">
        <v>52814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720.67</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t="s">
        <v>3388</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t="s">
        <v>3389</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t="s">
        <v>3390</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t="s">
        <v>3391</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281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720.67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720.67</v>
      </c>
      <c r="H5" s="13">
        <f t="shared" ref="H5:AT5" si="0">SUM(H13:H656)</f>
        <v>720.67</v>
      </c>
      <c r="I5" s="13">
        <f t="shared" si="0"/>
        <v>720.67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720.67</v>
      </c>
      <c r="BA5" s="15">
        <f t="shared" si="1"/>
        <v>720.67</v>
      </c>
      <c r="BB5" s="15">
        <f t="shared" si="1"/>
        <v>720.67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3392</v>
      </c>
      <c r="D13" s="1625" t="s">
        <v>3393</v>
      </c>
      <c r="E13" s="13">
        <f>IF($C$3="是",ROUND($A$3*G13/$B$3,2),ROUND($A$3*(G13-AT13)/$B$3,2))</f>
        <v>0</v>
      </c>
      <c r="F13" s="29"/>
      <c r="G13" s="30">
        <f>H13+AC13+AT13</f>
        <v>69.81</v>
      </c>
      <c r="H13" s="17">
        <f>SUMIF(I$12:AB$12,"总值",I13:AB13)</f>
        <v>69.81</v>
      </c>
      <c r="I13" s="1626">
        <f>面积汇总表!Q8</f>
        <v>69.81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v>
      </c>
      <c r="AY13" s="1349">
        <f>ROUND($AY$6*AZ13/$AZ$5,2)</f>
        <v>0</v>
      </c>
      <c r="AZ13" s="13">
        <f>BA13+BL13</f>
        <v>69.81</v>
      </c>
      <c r="BA13" s="13">
        <f>SUM(BB13:BK13)</f>
        <v>69.81</v>
      </c>
      <c r="BB13" s="13">
        <f>IF($D13="是",I13-J13,0)</f>
        <v>69.81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t="s">
        <v>3394</v>
      </c>
      <c r="D14" s="1625" t="s">
        <v>3393</v>
      </c>
      <c r="E14" s="13">
        <f>IF($C$3="是",ROUND($A$3*G14/$B$3,2),ROUND($A$3*(G14-AT14)/$B$3,2))</f>
        <v>0</v>
      </c>
      <c r="F14" s="29"/>
      <c r="G14" s="30">
        <f>H14+AC14+AT14</f>
        <v>265.51000000000005</v>
      </c>
      <c r="H14" s="17">
        <f>SUMIF(I$12:AB$12,"总值",I14:AB14)</f>
        <v>265.51000000000005</v>
      </c>
      <c r="I14" s="1626">
        <f>面积汇总表!Q31</f>
        <v>265.51000000000005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v>
      </c>
      <c r="AY14" s="1349">
        <f>ROUND($AY$6*AZ14/$AZ$5,2)</f>
        <v>0</v>
      </c>
      <c r="AZ14" s="13">
        <f>BA14+BL14</f>
        <v>265.51000000000005</v>
      </c>
      <c r="BA14" s="13">
        <f>SUM(BB14:BK14)</f>
        <v>265.51000000000005</v>
      </c>
      <c r="BB14" s="13">
        <f>IF($D14="是",I14-J14,0)</f>
        <v>265.51000000000005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t="s">
        <v>3395</v>
      </c>
      <c r="D15" s="1625" t="s">
        <v>3393</v>
      </c>
      <c r="E15" s="13">
        <f>IF($C$3="是",ROUND($A$3*G15/$B$3,2),ROUND($A$3*(G15-AT15)/$B$3,2))</f>
        <v>0</v>
      </c>
      <c r="F15" s="29"/>
      <c r="G15" s="30">
        <f>H15+AC15+AT15</f>
        <v>260.44</v>
      </c>
      <c r="H15" s="17">
        <f>SUMIF(I$12:AB$12,"总值",I15:AB15)</f>
        <v>260.44</v>
      </c>
      <c r="I15" s="1626">
        <f>面积汇总表!Q48</f>
        <v>260.44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v>
      </c>
      <c r="AY15" s="1349">
        <f>ROUND($AY$6*AZ15/$AZ$5,2)</f>
        <v>0</v>
      </c>
      <c r="AZ15" s="13">
        <f>BA15+BL15</f>
        <v>260.44</v>
      </c>
      <c r="BA15" s="13">
        <f>SUM(BB15:BK15)</f>
        <v>260.44</v>
      </c>
      <c r="BB15" s="13">
        <f>IF($D15="是",I15-J15,0)</f>
        <v>260.44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t="s">
        <v>3396</v>
      </c>
      <c r="D16" s="1625" t="s">
        <v>3393</v>
      </c>
      <c r="E16" s="13">
        <f>IF($C$3="是",ROUND($A$3*G16/$B$3,2),ROUND($A$3*(G16-AT16)/$B$3,2))</f>
        <v>0</v>
      </c>
      <c r="F16" s="29"/>
      <c r="G16" s="30">
        <f>H16+AC16+AT16</f>
        <v>124.91</v>
      </c>
      <c r="H16" s="17">
        <f>SUMIF(I$12:AB$12,"总值",I16:AB16)</f>
        <v>124.91</v>
      </c>
      <c r="I16" s="1626">
        <f>面积汇总表!Q54</f>
        <v>124.91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4层</v>
      </c>
      <c r="AY16" s="1349">
        <f>ROUND($AY$6*AZ16/$AZ$5,2)</f>
        <v>0</v>
      </c>
      <c r="AZ16" s="13">
        <f>BA16+BL16</f>
        <v>124.91</v>
      </c>
      <c r="BA16" s="13">
        <f>SUM(BB16:BK16)</f>
        <v>124.91</v>
      </c>
      <c r="BB16" s="13">
        <f>IF($D16="是",I16-J16,0)</f>
        <v>124.91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0</v>
      </c>
      <c r="E3" s="43">
        <f>'数据-基础表'!AZ5</f>
        <v>720.67</v>
      </c>
      <c r="F3" s="2659"/>
      <c r="G3" s="1145"/>
      <c r="H3" s="1026" t="s">
        <v>1106</v>
      </c>
      <c r="I3" s="855" t="e">
        <f>ROUND('数据-基础表'!B3/'数据-基础表'!A3,2)</f>
        <v>#DIV/0!</v>
      </c>
      <c r="J3" s="2659"/>
      <c r="K3" s="2659"/>
      <c r="L3" s="2659"/>
      <c r="M3" s="2659"/>
      <c r="N3" s="2661"/>
      <c r="O3" s="2659"/>
      <c r="P3" s="2659"/>
    </row>
    <row r="4" spans="1:16" ht="15">
      <c r="A4" s="3539"/>
      <c r="B4" s="3540"/>
      <c r="C4" s="3541"/>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2" t="s">
        <v>1110</v>
      </c>
      <c r="C5" s="3542"/>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2" t="s">
        <v>1111</v>
      </c>
      <c r="C6" s="3542"/>
      <c r="D6" s="45">
        <f>ROUND($D$3*E6/$E$3,2)</f>
        <v>0</v>
      </c>
      <c r="E6" s="46">
        <f>E3-E5</f>
        <v>720.67</v>
      </c>
      <c r="F6" s="2659"/>
      <c r="G6" s="2653" t="s">
        <v>1112</v>
      </c>
      <c r="H6" s="1146" t="s">
        <v>1113</v>
      </c>
      <c r="I6" s="2654" t="e">
        <f>ROUND(F31/D31,2)</f>
        <v>#DIV/0!</v>
      </c>
      <c r="J6" s="2659"/>
      <c r="K6" s="2659"/>
      <c r="L6" s="2659"/>
      <c r="M6" s="2659"/>
      <c r="N6" s="2659"/>
      <c r="O6" s="2659"/>
      <c r="P6" s="2659"/>
    </row>
    <row r="7" spans="1:16" ht="15.75" thickBot="1">
      <c r="A7" s="3534"/>
      <c r="B7" s="3535"/>
      <c r="C7" s="3536"/>
      <c r="D7" s="1641" t="s">
        <v>1107</v>
      </c>
      <c r="E7" s="1645" t="s">
        <v>1114</v>
      </c>
      <c r="F7" s="2659"/>
      <c r="G7" s="2655" t="s">
        <v>1115</v>
      </c>
      <c r="H7" s="2656"/>
      <c r="I7" s="2657">
        <f>基准地价修正!C21</f>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720.67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720.67</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720.67</v>
      </c>
      <c r="F19" s="2795">
        <f>'数据-基础表'!I5</f>
        <v>720.67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720.67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720.67</v>
      </c>
      <c r="F27" s="1140">
        <f>IF(SUM(F19:F26)=E8,SUM(F19:F26),"地上面积有误")</f>
        <v>720.67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720.67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720.67</v>
      </c>
      <c r="F31" s="677">
        <f>F27+F30</f>
        <v>720.67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52814</v>
      </c>
      <c r="F6" s="64">
        <f>SUMIF(项目基本情况!C$12:I$12,C6,项目基本情况!C$15:I$15)</f>
        <v>20</v>
      </c>
      <c r="G6" s="65">
        <f>IF(ISERROR(ROUND(POWER(1+H6,D6-F6)*(POWER(1+H6,F6)-1)/(POWER(1+H6,D6)-1),3)),0,ROUND(POWER(1+H6,D6-F6)*(POWER(1+H6,F6)-1)/(POWER(1+H6,D6)-1),3))</f>
        <v>0.72599999999999998</v>
      </c>
      <c r="H6" s="732">
        <v>0.05</v>
      </c>
      <c r="I6" s="732">
        <v>5.5E-2</v>
      </c>
      <c r="J6" s="66">
        <v>7.0000000000000007E-2</v>
      </c>
      <c r="K6" s="1030">
        <f>SUMIF('数据-汇总表'!C$19:C$33,A6,'数据-汇总表'!E$19:E$33)</f>
        <v>720.67</v>
      </c>
      <c r="L6" s="733">
        <v>4000</v>
      </c>
      <c r="M6" s="67">
        <f t="shared" ref="M6:M14" si="0">ROUND(K6*L6/10000,0)</f>
        <v>288</v>
      </c>
      <c r="N6" s="731">
        <f>N20</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20</v>
      </c>
      <c r="AF6" s="1348"/>
      <c r="AG6" s="138">
        <f>IF(AF6="",0,AE6-AF6)</f>
        <v>0</v>
      </c>
      <c r="AH6" s="74"/>
      <c r="AI6" s="76">
        <v>365</v>
      </c>
      <c r="AJ6" s="77"/>
      <c r="AK6" s="78">
        <v>4.0000000000000001E-3</v>
      </c>
      <c r="AL6" s="79">
        <v>1.5E-3</v>
      </c>
      <c r="AM6" s="80">
        <v>5.0000000000000001E-3</v>
      </c>
      <c r="AN6" s="1715" t="s">
        <v>3413</v>
      </c>
      <c r="AO6" s="52">
        <f ca="1">SUMIF(INDIRECT("'"&amp;AN6&amp;"'"&amp;"!A:A"),"总价",INDIRECT("'"&amp;AN6&amp;"'"&amp;"!B:B"))</f>
        <v>1298.1032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0.72599999999999998</v>
      </c>
      <c r="H16" s="90">
        <f>ROUND(SUMPRODUCT(H6:H13,K6:K13)/SUMPRODUCT((H6:H13&gt;0)*(K6:K13)),3)</f>
        <v>0.05</v>
      </c>
      <c r="I16" s="91"/>
      <c r="J16" s="91"/>
      <c r="K16" s="92">
        <f>SUM(K6:K15)</f>
        <v>720.67</v>
      </c>
      <c r="L16" s="93">
        <f>ROUND(M16*10000/SUM(K6:K14),0)</f>
        <v>3996</v>
      </c>
      <c r="M16" s="93">
        <f>SUM(M6:M14)</f>
        <v>288</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2006</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ROUND(1-(2024-N17)/60,2)</f>
        <v>0.7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0.9</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ROUND((N18+N19)/2,2)</f>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ROUND(B28*K6,0)</f>
        <v>144134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2.5000000000000001E-2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2.5000000000000001E-2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9"/>
  <sheetViews>
    <sheetView view="pageBreakPreview" topLeftCell="A7"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720.67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45511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1922.0989999999999</v>
      </c>
      <c r="C5" s="2512">
        <f ca="1">IF(B5=D14,结果表!H102,ROUND(B5*10000/$B$1,0))</f>
        <v>26671</v>
      </c>
      <c r="D5" s="2512" t="e">
        <f ca="1">ROUND(B5*10000/$B$2,0)</f>
        <v>#DIV/0!</v>
      </c>
      <c r="E5" s="2686"/>
      <c r="F5" s="2687"/>
      <c r="G5" s="2687"/>
      <c r="H5" s="2688"/>
      <c r="I5" s="2688"/>
      <c r="J5" s="2688"/>
      <c r="K5" s="2688"/>
    </row>
    <row r="6" spans="1:11" ht="16.5">
      <c r="A6" s="2512" t="s">
        <v>656</v>
      </c>
      <c r="B6" s="2512">
        <f ca="1">SUM(G14:G23)</f>
        <v>1922.0989999999999</v>
      </c>
      <c r="C6" s="2512">
        <f ca="1">IF(B6=G14,结果表!H108,ROUND(B6*10000/$B$1,0))</f>
        <v>26671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720.67</v>
      </c>
      <c r="C14" s="2518"/>
      <c r="D14" s="2518">
        <f ca="1">ROUND(E14*B14/10000,4)</f>
        <v>1922.0989999999999</v>
      </c>
      <c r="E14" s="2518">
        <f ca="1">结果表!I118</f>
        <v>26671</v>
      </c>
      <c r="F14" s="2518" t="e">
        <f ca="1">ROUND(D14*10000/C14,0)</f>
        <v>#DIV/0!</v>
      </c>
      <c r="G14" s="2518">
        <f ca="1">D14</f>
        <v>1922.0989999999999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row r="28" spans="1:11">
      <c r="D28" s="2513">
        <f ca="1">D14*10000</f>
        <v>19220990</v>
      </c>
    </row>
    <row r="29" spans="1:11" ht="14.25">
      <c r="D29" s="3545" t="str">
        <f ca="1">NUMBERSTRING(INT(D28*10000),2)&amp;"元整"</f>
        <v>壹仟玖佰贰拾贰亿零玖佰玖拾万元整</v>
      </c>
      <c r="E29" s="3546"/>
      <c r="F29" s="3546"/>
      <c r="G29" s="3546"/>
      <c r="H29" s="3546"/>
      <c r="I29" s="3547"/>
    </row>
  </sheetData>
  <sheetProtection password="CEE9" sheet="1" objects="1" scenarios="1" formatCells="0" formatColumns="0" formatRows="0"/>
  <mergeCells count="1">
    <mergeCell ref="D29:I29"/>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9" zoomScaleNormal="100" zoomScaleSheetLayoutView="100" zoomScalePageLayoutView="80" workbookViewId="0">
      <selection activeCell="D123" sqref="D123:I1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3391</v>
      </c>
      <c r="H1" s="1750" t="str">
        <f>IF(G1="现房","——","估价对象范围")</f>
        <v>——</v>
      </c>
      <c r="I1" s="1751"/>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4" t="s">
        <v>1265</v>
      </c>
      <c r="B4" s="1755" t="s">
        <v>1266</v>
      </c>
      <c r="C4" s="1756" t="s">
        <v>3433</v>
      </c>
      <c r="D4" s="1756" t="s">
        <v>3413</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7"/>
      <c r="G5" s="1757"/>
      <c r="H5" s="1757"/>
      <c r="I5" s="1373"/>
    </row>
    <row r="6" spans="1:12" ht="12.75">
      <c r="A6" s="3562"/>
      <c r="B6" s="3549"/>
      <c r="C6" s="3566"/>
      <c r="D6" s="3585"/>
      <c r="E6" s="131" t="s">
        <v>1270</v>
      </c>
      <c r="F6" s="1757"/>
      <c r="G6" s="1757"/>
      <c r="H6" s="1757"/>
      <c r="I6" s="1373"/>
    </row>
    <row r="7" spans="1:12" ht="12.75">
      <c r="A7" s="3562"/>
      <c r="B7" s="3549"/>
      <c r="C7" s="3567"/>
      <c r="D7" s="3585"/>
      <c r="E7" s="131" t="s">
        <v>1271</v>
      </c>
      <c r="F7" s="1757"/>
      <c r="G7" s="1757"/>
      <c r="H7" s="1757"/>
      <c r="I7" s="1373"/>
    </row>
    <row r="8" spans="1:12" ht="12.75">
      <c r="A8" s="3562" t="s">
        <v>1272</v>
      </c>
      <c r="B8" s="3549">
        <v>15</v>
      </c>
      <c r="C8" s="3565"/>
      <c r="D8" s="3585"/>
      <c r="E8" s="131" t="s">
        <v>1273</v>
      </c>
      <c r="F8" s="1757"/>
      <c r="G8" s="1757"/>
      <c r="H8" s="1757"/>
      <c r="I8" s="1373"/>
    </row>
    <row r="9" spans="1:12" ht="12.75">
      <c r="A9" s="3562"/>
      <c r="B9" s="3549"/>
      <c r="C9" s="3567"/>
      <c r="D9" s="3585"/>
      <c r="E9" s="131" t="s">
        <v>1274</v>
      </c>
      <c r="F9" s="1757"/>
      <c r="G9" s="1757"/>
      <c r="H9" s="1757"/>
      <c r="I9" s="1373"/>
    </row>
    <row r="10" spans="1:12" ht="12.75">
      <c r="A10" s="3562" t="s">
        <v>1275</v>
      </c>
      <c r="B10" s="3549">
        <v>15</v>
      </c>
      <c r="C10" s="3565"/>
      <c r="D10" s="3585"/>
      <c r="E10" s="131" t="s">
        <v>1276</v>
      </c>
      <c r="F10" s="1757"/>
      <c r="G10" s="1757"/>
      <c r="H10" s="1757"/>
      <c r="I10" s="1373"/>
    </row>
    <row r="11" spans="1:12" ht="12.75">
      <c r="A11" s="3562"/>
      <c r="B11" s="3549"/>
      <c r="C11" s="3567"/>
      <c r="D11" s="3585"/>
      <c r="E11" s="131" t="s">
        <v>1277</v>
      </c>
      <c r="F11" s="1757"/>
      <c r="G11" s="1757"/>
      <c r="H11" s="1757"/>
      <c r="I11" s="1373"/>
    </row>
    <row r="12" spans="1:12" ht="12.75">
      <c r="A12" s="3562" t="s">
        <v>1278</v>
      </c>
      <c r="B12" s="3549">
        <v>15</v>
      </c>
      <c r="C12" s="3565"/>
      <c r="D12" s="3585"/>
      <c r="E12" s="131" t="s">
        <v>1279</v>
      </c>
      <c r="F12" s="1757"/>
      <c r="G12" s="1757"/>
      <c r="H12" s="1757"/>
      <c r="I12" s="1373"/>
    </row>
    <row r="13" spans="1:12" ht="12.75">
      <c r="A13" s="3562"/>
      <c r="B13" s="3549"/>
      <c r="C13" s="3567"/>
      <c r="D13" s="3585"/>
      <c r="E13" s="131" t="s">
        <v>1280</v>
      </c>
      <c r="F13" s="1757"/>
      <c r="G13" s="1757"/>
      <c r="H13" s="1757"/>
      <c r="I13" s="1373"/>
    </row>
    <row r="14" spans="1:12" ht="12.75">
      <c r="A14" s="3562" t="s">
        <v>1281</v>
      </c>
      <c r="B14" s="3549">
        <v>30</v>
      </c>
      <c r="C14" s="3565">
        <v>6</v>
      </c>
      <c r="D14" s="3585">
        <v>4</v>
      </c>
      <c r="E14" s="131" t="s">
        <v>1282</v>
      </c>
      <c r="F14" s="1757"/>
      <c r="G14" s="1757"/>
      <c r="H14" s="1757"/>
      <c r="I14" s="1373"/>
    </row>
    <row r="15" spans="1:12" ht="12.75">
      <c r="A15" s="3562"/>
      <c r="B15" s="3549"/>
      <c r="C15" s="3566"/>
      <c r="D15" s="3585"/>
      <c r="E15" s="131" t="s">
        <v>1283</v>
      </c>
      <c r="F15" s="1757"/>
      <c r="G15" s="1757"/>
      <c r="H15" s="1757"/>
      <c r="I15" s="1373"/>
    </row>
    <row r="16" spans="1:12" ht="12.75">
      <c r="A16" s="3562"/>
      <c r="B16" s="3549"/>
      <c r="C16" s="3567"/>
      <c r="D16" s="358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2" t="s">
        <v>2131</v>
      </c>
      <c r="F18" s="3573"/>
      <c r="G18" s="3573"/>
      <c r="H18" s="3573"/>
      <c r="I18" s="3573"/>
      <c r="K18" s="302" t="s">
        <v>1289</v>
      </c>
      <c r="L18" s="302">
        <f>IF(C1="",'数据-汇总表'!E3,SUMIF(项目类型,C1,'数据-汇总表'!E17:E26)+SUMIF(项目类型,C1,'数据-汇总表'!I17:I26))</f>
        <v>720.67</v>
      </c>
      <c r="M18" s="302">
        <f>IF(C1="",'数据-汇总表'!E3,SUMIF(项目类型,C1,'数据-汇总表'!E17:E26))</f>
        <v>720.67</v>
      </c>
    </row>
    <row r="19" spans="1:36" ht="15">
      <c r="A19" s="1761" t="s">
        <v>1290</v>
      </c>
      <c r="B19" s="1762" t="s">
        <v>1291</v>
      </c>
      <c r="C19" s="134">
        <f ca="1">SUMIF(INDIRECT("'"&amp;C4&amp;"'"&amp;"!A:A"),结果表!B19,INDIRECT("'"&amp;C4&amp;"'"&amp;"!B:B"))</f>
        <v>2338.1509000000001</v>
      </c>
      <c r="D19" s="135">
        <f ca="1">SUMIF(INDIRECT("'"&amp;D4&amp;"'"&amp;"!A:A"),结果表!B19,INDIRECT("'"&amp;D4&amp;"'"&amp;"!B:B"))</f>
        <v>1298.1032</v>
      </c>
      <c r="E19" s="1761" t="s">
        <v>1292</v>
      </c>
      <c r="F19" s="1762" t="s">
        <v>1291</v>
      </c>
      <c r="G19" s="136">
        <f ca="1">ROUND(C19*$C$18+D19*$D$18,0)</f>
        <v>1922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32444</v>
      </c>
      <c r="D20" s="138">
        <f ca="1">SUMIF(INDIRECT("'"&amp;D4&amp;"'"&amp;"!A:A"),结果表!B20,INDIRECT("'"&amp;D4&amp;"'"&amp;"!B:B"))</f>
        <v>18012</v>
      </c>
      <c r="E20" s="1764"/>
      <c r="F20" s="1026" t="s">
        <v>1295</v>
      </c>
      <c r="G20" s="139">
        <f ca="1">ROUND(C20*$C$18+D20*$D$18,0)</f>
        <v>26671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0.80120571307427646</v>
      </c>
      <c r="E22" s="129"/>
      <c r="F22" s="129"/>
      <c r="G22" s="129"/>
      <c r="H22" s="129"/>
      <c r="I22" s="129"/>
    </row>
    <row r="23" spans="1:36" ht="13.5" thickBot="1">
      <c r="A23" s="1747"/>
      <c r="B23" s="1747"/>
      <c r="C23" s="1747"/>
      <c r="D23" s="1747"/>
      <c r="E23" s="129"/>
      <c r="F23" s="129"/>
      <c r="G23" s="129"/>
      <c r="H23" s="129"/>
      <c r="I23" s="129"/>
    </row>
    <row r="24" spans="1:36" ht="14.25">
      <c r="A24" s="3556" t="s">
        <v>1299</v>
      </c>
      <c r="B24" s="1762" t="s">
        <v>1291</v>
      </c>
      <c r="C24" s="136">
        <f>IF(B30=0,0,D30)</f>
        <v>0</v>
      </c>
      <c r="D24" s="1769"/>
      <c r="E24" s="129"/>
      <c r="F24" s="129"/>
      <c r="G24" s="129"/>
      <c r="H24" s="129"/>
      <c r="I24" s="129"/>
    </row>
    <row r="25" spans="1:36" ht="14.25">
      <c r="A25" s="355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26671</v>
      </c>
      <c r="D32" s="1775" t="s">
        <v>3434</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6" t="s">
        <v>1312</v>
      </c>
      <c r="B36" s="1787" t="s">
        <v>1313</v>
      </c>
      <c r="C36" s="145"/>
      <c r="D36" s="1788"/>
      <c r="E36" s="1789"/>
      <c r="F36" s="1790"/>
      <c r="G36" s="129"/>
      <c r="H36" s="129"/>
      <c r="I36" s="129"/>
    </row>
    <row r="37" spans="1:15" ht="15.75" thickBot="1">
      <c r="A37" s="3577"/>
      <c r="B37" s="1674" t="s">
        <v>1314</v>
      </c>
      <c r="C37" s="147"/>
      <c r="D37" s="1139"/>
      <c r="E37" s="1139"/>
      <c r="F37" s="1790"/>
      <c r="G37" s="129"/>
      <c r="H37" s="129"/>
      <c r="I37" s="129"/>
    </row>
    <row r="38" spans="1:15" ht="15.75" thickBot="1">
      <c r="A38" s="357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3" t="s">
        <v>1326</v>
      </c>
      <c r="B45" s="3554"/>
      <c r="C45" s="3555"/>
      <c r="D45" s="155">
        <f ca="1">ROUND(H101*F45,0)</f>
        <v>1922</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6"/>
      <c r="I46" s="159"/>
      <c r="J46" s="2523">
        <v>1</v>
      </c>
      <c r="K46" s="3612" t="s">
        <v>1331</v>
      </c>
      <c r="L46" s="3612"/>
      <c r="M46" s="3632"/>
      <c r="N46" s="3632"/>
      <c r="O46" s="3632"/>
    </row>
    <row r="47" spans="1:15" ht="12" customHeight="1">
      <c r="A47" s="160" t="s">
        <v>1332</v>
      </c>
      <c r="B47" s="161"/>
      <c r="C47" s="162"/>
      <c r="D47" s="1087" t="s">
        <v>1333</v>
      </c>
      <c r="E47" s="302" t="s">
        <v>1334</v>
      </c>
      <c r="F47" s="163" t="s">
        <v>1335</v>
      </c>
      <c r="G47" s="2546" t="s">
        <v>1336</v>
      </c>
      <c r="H47" s="2547"/>
      <c r="I47" s="159"/>
      <c r="J47" s="2523">
        <v>2</v>
      </c>
      <c r="K47" s="3612" t="s">
        <v>1337</v>
      </c>
      <c r="L47" s="3612"/>
      <c r="M47" s="3633">
        <f>'数据-取费表'!B2</f>
        <v>45511</v>
      </c>
      <c r="N47" s="3633"/>
      <c r="O47" s="3633"/>
    </row>
    <row r="48" spans="1:15" ht="25.5">
      <c r="A48" s="3581" t="s">
        <v>1338</v>
      </c>
      <c r="B48" s="3564"/>
      <c r="C48" s="356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2" t="s">
        <v>1340</v>
      </c>
      <c r="L48" s="3612"/>
      <c r="M48" s="3634">
        <f ca="1">H101</f>
        <v>1922</v>
      </c>
      <c r="N48" s="3634"/>
      <c r="O48" s="3634"/>
    </row>
    <row r="49" spans="1:35" ht="25.5" customHeight="1">
      <c r="A49" s="2333" t="s">
        <v>1341</v>
      </c>
      <c r="B49" s="3548" t="s">
        <v>1342</v>
      </c>
      <c r="C49" s="3548"/>
      <c r="D49" s="1590">
        <v>0</v>
      </c>
      <c r="E49" s="324" t="s">
        <v>1343</v>
      </c>
      <c r="F49" s="2424" t="s">
        <v>28</v>
      </c>
      <c r="G49" s="3618"/>
      <c r="H49" s="2310" t="s">
        <v>2134</v>
      </c>
      <c r="I49" s="2311"/>
      <c r="J49" s="2523">
        <v>4</v>
      </c>
      <c r="K49" s="3612" t="str">
        <f>IF(项目基本情况!E8="房地产抵押价值","房地产抵押价值","抵押担保权已注销时的房地产抵押价值")</f>
        <v>房地产抵押价值</v>
      </c>
      <c r="L49" s="3612"/>
      <c r="M49" s="3634">
        <f ca="1">IF(项目基本情况!E8="房地产抵押价值",H107,H109)</f>
        <v>1922</v>
      </c>
      <c r="N49" s="3634"/>
      <c r="O49" s="3634"/>
    </row>
    <row r="50" spans="1:35" ht="25.5" customHeight="1">
      <c r="A50" s="2551"/>
      <c r="B50" s="3548" t="s">
        <v>1344</v>
      </c>
      <c r="C50" s="3548"/>
      <c r="D50" s="2552"/>
      <c r="E50" s="332"/>
      <c r="F50" s="2424"/>
      <c r="G50" s="3619"/>
      <c r="H50" s="2312" t="s">
        <v>2135</v>
      </c>
      <c r="I50" s="2311"/>
      <c r="J50" s="3631" t="s">
        <v>1345</v>
      </c>
      <c r="K50" s="3631"/>
      <c r="L50" s="3631"/>
      <c r="M50" s="3631"/>
      <c r="N50" s="3631"/>
      <c r="O50" s="3631"/>
    </row>
    <row r="51" spans="1:35" ht="20.45" customHeight="1">
      <c r="A51" s="2553"/>
      <c r="B51" s="3548" t="s">
        <v>1346</v>
      </c>
      <c r="C51" s="3548"/>
      <c r="D51" s="1087"/>
      <c r="E51" s="327"/>
      <c r="F51" s="2424"/>
      <c r="G51" s="3620"/>
      <c r="H51" s="2312" t="s">
        <v>2136</v>
      </c>
      <c r="I51" s="2311"/>
      <c r="J51" s="2524" t="s">
        <v>1347</v>
      </c>
      <c r="K51" s="3612" t="s">
        <v>1348</v>
      </c>
      <c r="L51" s="3612"/>
      <c r="M51" s="2524" t="s">
        <v>1349</v>
      </c>
      <c r="N51" s="2524" t="s">
        <v>1350</v>
      </c>
      <c r="O51" s="2524" t="s">
        <v>1351</v>
      </c>
    </row>
    <row r="52" spans="1:35" ht="24" customHeight="1">
      <c r="A52" s="2335" t="s">
        <v>1352</v>
      </c>
      <c r="B52" s="3548" t="s">
        <v>1353</v>
      </c>
      <c r="C52" s="3548"/>
      <c r="D52" s="1087">
        <f ca="1">ROUND(D45*'数据-取费表'!B41/(1+'数据-取费表'!C42),0)</f>
        <v>103</v>
      </c>
      <c r="E52" s="2334" t="s">
        <v>1354</v>
      </c>
      <c r="F52" s="2554">
        <f>'数据-取费表'!B41</f>
        <v>5.6000000000000001E-2</v>
      </c>
      <c r="G52" s="2555"/>
      <c r="H52" s="2544"/>
      <c r="I52" s="1807"/>
      <c r="J52" s="2523">
        <v>1</v>
      </c>
      <c r="K52" s="3613" t="s">
        <v>1355</v>
      </c>
      <c r="L52" s="3613"/>
      <c r="M52" s="2525" t="b">
        <f>D48</f>
        <v>0</v>
      </c>
      <c r="N52" s="2523" t="str">
        <f>E48</f>
        <v>销售额×税（费）率</v>
      </c>
      <c r="O52" s="2526">
        <f>F48</f>
        <v>5.6000000000000001E-2</v>
      </c>
    </row>
    <row r="53" spans="1:35" ht="12" customHeight="1">
      <c r="A53" s="2335" t="s">
        <v>1356</v>
      </c>
      <c r="B53" s="3574" t="s">
        <v>2291</v>
      </c>
      <c r="C53" s="3575"/>
      <c r="D53" s="1087">
        <f ca="1">ROUND(D45*'数据-取费表'!B41/(1+'数据-取费表'!C42),0)</f>
        <v>103</v>
      </c>
      <c r="E53" s="2334" t="s">
        <v>1354</v>
      </c>
      <c r="F53" s="2554">
        <f>'数据-取费表'!B41</f>
        <v>5.6000000000000001E-2</v>
      </c>
      <c r="G53" s="2555"/>
      <c r="H53" s="2544"/>
      <c r="I53" s="1807"/>
      <c r="J53" s="2523">
        <v>2</v>
      </c>
      <c r="K53" s="3613" t="s">
        <v>1357</v>
      </c>
      <c r="L53" s="3613"/>
      <c r="M53" s="2525">
        <f t="shared" ref="M53:O54" ca="1" si="0">D55</f>
        <v>1</v>
      </c>
      <c r="N53" s="2523" t="str">
        <f t="shared" si="0"/>
        <v>销售额×税（费）率</v>
      </c>
      <c r="O53" s="2526" t="str">
        <f t="shared" si="0"/>
        <v>免征</v>
      </c>
    </row>
    <row r="54" spans="1:35" ht="12" customHeight="1">
      <c r="A54" s="2335" t="s">
        <v>1358</v>
      </c>
      <c r="B54" s="3574" t="s">
        <v>2292</v>
      </c>
      <c r="C54" s="3575"/>
      <c r="D54" s="1087">
        <f ca="1">C68</f>
        <v>102</v>
      </c>
      <c r="E54" s="327" t="s">
        <v>1359</v>
      </c>
      <c r="F54" s="2554">
        <f>'数据-取费表'!B41</f>
        <v>5.6000000000000001E-2</v>
      </c>
      <c r="G54" s="2555"/>
      <c r="H54" s="2556"/>
      <c r="I54" s="1807"/>
      <c r="J54" s="2523">
        <v>3</v>
      </c>
      <c r="K54" s="3613" t="s">
        <v>1360</v>
      </c>
      <c r="L54" s="3613"/>
      <c r="M54" s="2525">
        <f t="shared" ca="1" si="0"/>
        <v>1088</v>
      </c>
      <c r="N54" s="2523" t="str">
        <f t="shared" si="0"/>
        <v>增值额×税（费）率</v>
      </c>
      <c r="O54" s="2527" t="str">
        <f t="shared" si="0"/>
        <v>免征</v>
      </c>
    </row>
    <row r="55" spans="1:35" ht="24" customHeight="1">
      <c r="A55" s="3563" t="s">
        <v>1361</v>
      </c>
      <c r="B55" s="3564"/>
      <c r="C55" s="3564"/>
      <c r="D55" s="2324">
        <f ca="1">IF(H55="个人住宅",0,ROUND(D45*I55,0))</f>
        <v>1</v>
      </c>
      <c r="E55" s="2334" t="s">
        <v>1362</v>
      </c>
      <c r="F55" s="2554" t="str">
        <f>IF(H55="正常",I55,"免征")</f>
        <v>免征</v>
      </c>
      <c r="G55" s="2555"/>
      <c r="H55" s="2550"/>
      <c r="I55" s="165">
        <f>'数据-取费表'!B49</f>
        <v>5.0000000000000001E-4</v>
      </c>
      <c r="J55" s="2523">
        <f>IF(H59="非个人房产","",4)</f>
        <v>4</v>
      </c>
      <c r="K55" s="3613" t="str">
        <f>IF(H59="非个人房产","——","个人所得税")</f>
        <v>个人所得税</v>
      </c>
      <c r="L55" s="3613"/>
      <c r="M55" s="2528">
        <f ca="1">D59</f>
        <v>18</v>
      </c>
      <c r="N55" s="2040" t="str">
        <f>E59</f>
        <v>差额计税</v>
      </c>
      <c r="O55" s="2529">
        <f>F59</f>
        <v>0.01</v>
      </c>
    </row>
    <row r="56" spans="1:35" ht="24.75">
      <c r="A56" s="3563" t="s">
        <v>1363</v>
      </c>
      <c r="B56" s="3564"/>
      <c r="C56" s="3564"/>
      <c r="D56" s="2324">
        <f ca="1">IF(H56="个人住宅",D57,D58)</f>
        <v>1088</v>
      </c>
      <c r="E56" s="2334" t="s">
        <v>1364</v>
      </c>
      <c r="F56" s="2554" t="str">
        <f>IF(H56="正常",F58,"免征")</f>
        <v>免征</v>
      </c>
      <c r="G56" s="2557" t="s">
        <v>1365</v>
      </c>
      <c r="H56" s="2558"/>
      <c r="I56" s="1808"/>
      <c r="J56" s="2523" t="str">
        <f>IF(项目基本情况!K6="上海银行",IF(J55="",4,J55+1),"")</f>
        <v/>
      </c>
      <c r="K56" s="3636" t="str">
        <f>IF(项目基本情况!K6="上海银行","其他处置费用","")</f>
        <v/>
      </c>
      <c r="L56" s="3637"/>
      <c r="M56" s="2525" t="str">
        <f>IF(项目基本情况!K6="上海银行",M69,"")</f>
        <v/>
      </c>
      <c r="N56" s="3636" t="str">
        <f>IF(项目基本情况!K6="上海银行","包含处置中涉及的律师、诉讼、拍卖、评估等费用","")</f>
        <v/>
      </c>
      <c r="O56" s="3639"/>
    </row>
    <row r="57" spans="1:35" ht="12.75">
      <c r="A57" s="2335" t="s">
        <v>1341</v>
      </c>
      <c r="B57" s="3574" t="s">
        <v>1366</v>
      </c>
      <c r="C57" s="3575"/>
      <c r="D57" s="1590">
        <v>0</v>
      </c>
      <c r="E57" s="324" t="s">
        <v>1343</v>
      </c>
      <c r="F57" s="302"/>
      <c r="G57" s="2555"/>
      <c r="H57" s="2559"/>
      <c r="I57" s="1808"/>
      <c r="J57" s="3613">
        <f>IF(AND(J55="",J56=""),4,IF(项目基本情况!K6="上海银行",结果表!J56+1,结果表!J55+1))</f>
        <v>5</v>
      </c>
      <c r="K57" s="3613" t="s">
        <v>1367</v>
      </c>
      <c r="L57" s="2530" t="s">
        <v>1368</v>
      </c>
      <c r="M57" s="2531"/>
      <c r="N57" s="2532">
        <f ca="1">SUMIF(M52:M56,"&lt;9e307")</f>
        <v>1107</v>
      </c>
      <c r="O57" s="2533"/>
      <c r="P57" s="2690">
        <f ca="1">N57/M49</f>
        <v>0.57596253902185224</v>
      </c>
    </row>
    <row r="58" spans="1:35" ht="24.75">
      <c r="A58" s="2335" t="s">
        <v>1352</v>
      </c>
      <c r="B58" s="3574" t="s">
        <v>1369</v>
      </c>
      <c r="C58" s="3548"/>
      <c r="D58" s="2324">
        <f ca="1">IF(H58="转让取得",C81,C97)</f>
        <v>1088</v>
      </c>
      <c r="E58" s="2334" t="s">
        <v>1364</v>
      </c>
      <c r="F58" s="302" t="s">
        <v>28</v>
      </c>
      <c r="G58" s="2555"/>
      <c r="H58" s="2558"/>
      <c r="I58" s="1808"/>
      <c r="J58" s="3613"/>
      <c r="K58" s="3613"/>
      <c r="L58" s="2530" t="s">
        <v>1370</v>
      </c>
      <c r="M58" s="2534"/>
      <c r="N58" s="2535" t="str">
        <f ca="1">NUMBERSTRING(INT(N57*10000),2)&amp;"元整"</f>
        <v>壹仟壹佰零柒万元整</v>
      </c>
      <c r="O58" s="2536"/>
    </row>
    <row r="59" spans="1:35" ht="24.75" thickBot="1">
      <c r="A59" s="3616" t="s">
        <v>1371</v>
      </c>
      <c r="B59" s="3617"/>
      <c r="C59" s="3617"/>
      <c r="D59" s="2560">
        <f ca="1">IF(H59="非个人房产","——",IF(H59="个人住宅（满五唯一有凭证）",0,IF(H59="个人其他（无凭证）",ROUND(D45*F59,0),ROUND(C67*F59,0))))</f>
        <v>18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4">
        <f>J57+1</f>
        <v>6</v>
      </c>
      <c r="K59" s="3613" t="s">
        <v>1372</v>
      </c>
      <c r="L59" s="2523" t="s">
        <v>1368</v>
      </c>
      <c r="M59" s="2537"/>
      <c r="N59" s="2538">
        <f ca="1">M49-N57</f>
        <v>815</v>
      </c>
      <c r="O59" s="2539"/>
    </row>
    <row r="60" spans="1:35" ht="12" customHeight="1">
      <c r="A60" s="1809"/>
      <c r="B60" s="1747"/>
      <c r="C60" s="1747"/>
      <c r="D60" s="1747"/>
      <c r="E60" s="1578"/>
      <c r="F60" s="1808"/>
      <c r="G60" s="1808"/>
      <c r="H60" s="1810"/>
      <c r="I60" s="129"/>
      <c r="J60" s="3615"/>
      <c r="K60" s="3613"/>
      <c r="L60" s="2530" t="s">
        <v>1370</v>
      </c>
      <c r="M60" s="2534"/>
      <c r="N60" s="2535" t="str">
        <f ca="1">NUMBERSTRING(INT(N59*10000),2)&amp;"元整"</f>
        <v>捌佰壹拾伍万元整</v>
      </c>
      <c r="O60" s="2536"/>
    </row>
    <row r="61" spans="1:35" ht="13.5" thickBot="1">
      <c r="A61" s="3561" t="s">
        <v>1373</v>
      </c>
      <c r="B61" s="3561"/>
      <c r="C61" s="3561"/>
      <c r="D61" s="3561"/>
      <c r="E61" s="3561"/>
      <c r="F61" s="1808"/>
      <c r="G61" s="1808"/>
      <c r="H61" s="1810"/>
      <c r="I61" s="129"/>
      <c r="J61" s="2523">
        <f>J59+1</f>
        <v>7</v>
      </c>
      <c r="K61" s="3613" t="s">
        <v>1374</v>
      </c>
      <c r="L61" s="3613"/>
      <c r="M61" s="2540"/>
      <c r="N61" s="2541">
        <f ca="1">ROUND(N59*10000/'数据-汇总表'!E3,0)</f>
        <v>11309</v>
      </c>
      <c r="O61" s="2542"/>
    </row>
    <row r="62" spans="1:35" ht="12.75">
      <c r="A62" s="3579" t="s">
        <v>1375</v>
      </c>
      <c r="B62" s="3580"/>
      <c r="C62" s="2021"/>
      <c r="D62" s="2021" t="s">
        <v>1376</v>
      </c>
      <c r="E62" s="166" t="s">
        <v>1377</v>
      </c>
      <c r="F62" s="1808"/>
      <c r="G62" s="1808"/>
      <c r="H62" s="1810"/>
      <c r="I62" s="129"/>
    </row>
    <row r="63" spans="1:35" ht="12.75">
      <c r="A63" s="173" t="s">
        <v>330</v>
      </c>
      <c r="B63" s="167" t="s">
        <v>1378</v>
      </c>
      <c r="C63" s="2564">
        <f ca="1">ROUND((C64+C65)/(1+'数据-取费表'!C42),0)</f>
        <v>1830</v>
      </c>
      <c r="D63" s="167"/>
      <c r="E63" s="168"/>
      <c r="F63" s="1808"/>
      <c r="G63" s="1808"/>
      <c r="H63" s="1810"/>
      <c r="I63" s="129"/>
      <c r="J63" s="3638" t="s">
        <v>1379</v>
      </c>
      <c r="K63" s="1332" t="s">
        <v>1380</v>
      </c>
      <c r="L63" s="1332">
        <f ca="1">IF(M49&gt;10000,M49*0.5%,IF(AND(M49&gt;1000,M49&lt;=10000),M49*1%,IF(AND(M49&gt;100,M49&lt;=1000),M49*3%,IF(AND(M49&gt;10,M49&lt;=100),M49*5%,M49*8%))))</f>
        <v>19.22</v>
      </c>
      <c r="M63" s="302">
        <f ca="1">ROUND(L63,1)</f>
        <v>19.2</v>
      </c>
      <c r="N63" s="2543"/>
      <c r="Z63" s="1752"/>
      <c r="AI63" s="1753"/>
    </row>
    <row r="64" spans="1:35" ht="14.25" customHeight="1">
      <c r="A64" s="169" t="s">
        <v>325</v>
      </c>
      <c r="B64" s="170" t="s">
        <v>1381</v>
      </c>
      <c r="C64" s="2565">
        <f ca="1">D45</f>
        <v>1922</v>
      </c>
      <c r="D64" s="170" t="s">
        <v>26</v>
      </c>
      <c r="E64" s="172"/>
      <c r="F64" s="1808"/>
      <c r="G64" s="1808"/>
      <c r="H64" s="1810"/>
      <c r="I64" s="129"/>
      <c r="J64" s="3638"/>
      <c r="K64" s="1332" t="s">
        <v>1382</v>
      </c>
      <c r="L64" s="1332">
        <f ca="1">IF(M49&gt;2000,M49*0.5%,IF(AND(M49&gt;1000,M49&lt;=2000),M49*0.6%,IF(AND(M49&gt;500,M49&lt;=1000),M49*0.7%,IF(AND(M49&gt;200,M49&lt;=500),M49*0.8%,IF(AND(M49&gt;100,M49&lt;=200),M49*0.9%,IF(AND(M49&gt;50,M49&lt;=100),M49*1%,IF(AND(M49&gt;20,M49&lt;=50),M49*1.5%,IF(AND(M49&gt;10,M49&lt;=20),M49*2%,IF(AND(M49&gt;1,M49&lt;=10),M49*2.5%)))))))))</f>
        <v>11.532</v>
      </c>
      <c r="M64" s="302">
        <f t="shared" ref="M64:M65" ca="1" si="1">ROUND(L64,1)</f>
        <v>11.5</v>
      </c>
      <c r="N64" s="2544" t="s">
        <v>1383</v>
      </c>
      <c r="Z64" s="1752"/>
      <c r="AI64" s="1753"/>
    </row>
    <row r="65" spans="1:35" ht="14.25" customHeight="1">
      <c r="A65" s="169" t="s">
        <v>326</v>
      </c>
      <c r="B65" s="170" t="s">
        <v>1384</v>
      </c>
      <c r="C65" s="2566"/>
      <c r="D65" s="170"/>
      <c r="E65" s="172"/>
      <c r="F65" s="1808"/>
      <c r="G65" s="1808"/>
      <c r="H65" s="1810"/>
      <c r="I65" s="129"/>
      <c r="J65" s="3638"/>
      <c r="K65" s="1332" t="s">
        <v>1385</v>
      </c>
      <c r="L65" s="1332">
        <f ca="1">IF(M49&gt;1000,M49*0.1%,IF(AND(M49&gt;500,M49&lt;=1000),M49*0.5%,IF(AND(M49&gt;50,M49&lt;=500),M49*1%,IF(AND(M49&gt;1,M49&lt;=50),M49*1.5%))))</f>
        <v>1.9219999999999999</v>
      </c>
      <c r="M65" s="302">
        <f t="shared" ca="1" si="1"/>
        <v>1.9</v>
      </c>
      <c r="N65" s="2544" t="s">
        <v>1383</v>
      </c>
      <c r="Z65" s="1752"/>
      <c r="AI65" s="1753"/>
    </row>
    <row r="66" spans="1:35" ht="14.25" customHeight="1">
      <c r="A66" s="173" t="s">
        <v>327</v>
      </c>
      <c r="B66" s="174" t="s">
        <v>1386</v>
      </c>
      <c r="C66" s="2567"/>
      <c r="D66" s="174" t="s">
        <v>26</v>
      </c>
      <c r="E66" s="1338" t="s">
        <v>671</v>
      </c>
      <c r="F66" s="1808"/>
      <c r="G66" s="1808"/>
      <c r="H66" s="1810"/>
      <c r="I66" s="129"/>
      <c r="J66" s="3638"/>
      <c r="K66" s="1332" t="s">
        <v>1387</v>
      </c>
      <c r="L66" s="1332">
        <f ca="1">M49*0.5%</f>
        <v>9.61</v>
      </c>
      <c r="M66" s="302">
        <f ca="1">IF(L66&gt;0.5,0.5,ROUND(L66,0))</f>
        <v>0.5</v>
      </c>
      <c r="N66" s="2544" t="s">
        <v>1388</v>
      </c>
      <c r="Z66" s="1752"/>
      <c r="AI66" s="1753"/>
    </row>
    <row r="67" spans="1:35" ht="14.25" customHeight="1">
      <c r="A67" s="173" t="s">
        <v>328</v>
      </c>
      <c r="B67" s="174" t="s">
        <v>1389</v>
      </c>
      <c r="C67" s="2568">
        <f ca="1">C63-C66</f>
        <v>1830</v>
      </c>
      <c r="D67" s="170" t="s">
        <v>26</v>
      </c>
      <c r="E67" s="172"/>
      <c r="F67" s="1808"/>
      <c r="G67" s="1808"/>
      <c r="H67" s="1810"/>
      <c r="I67" s="129"/>
      <c r="J67" s="3638"/>
      <c r="K67" s="1332" t="s">
        <v>1390</v>
      </c>
      <c r="L67" s="1332">
        <f ca="1">IF(M49&gt;=10000,(8.25+(M49-10000)*0.01%),IF(AND(M49&gt;=8000,M49&lt;10000),(7.85+(M49-8000)*0.02%),IF(AND(M49&gt;=5000,M49&lt;8000),(6.65+(M49-5000)*0.04%),IF(AND(M49&gt;=2000,M49&lt;5000),(4.25+(PM49-2000)*0.08%),IF(AND(M49&gt;=1000,M49&lt;2000),(2.75+(M49-1000)*0.15%),IF(AND(M49&gt;=100,M49&lt;1000),(0.5+(M49-100)*0.25%),IF(AND(M49&gt;0,M49&lt;100),M49*0.5%)))))))</f>
        <v>4.133</v>
      </c>
      <c r="M67" s="302">
        <f ca="1">ROUND(L67*0.9,1)</f>
        <v>3.7</v>
      </c>
      <c r="N67" s="2543"/>
      <c r="Z67" s="1752"/>
      <c r="AI67" s="1753"/>
    </row>
    <row r="68" spans="1:35" ht="14.25" customHeight="1" thickBot="1">
      <c r="A68" s="176" t="s">
        <v>329</v>
      </c>
      <c r="B68" s="177" t="s">
        <v>1391</v>
      </c>
      <c r="C68" s="2569">
        <f ca="1">IF(C67&lt;=0,0,ROUND(C67*D68,0))</f>
        <v>102</v>
      </c>
      <c r="D68" s="2570">
        <f>'数据-取费表'!B41</f>
        <v>5.6000000000000001E-2</v>
      </c>
      <c r="E68" s="178"/>
      <c r="F68" s="1808"/>
      <c r="G68" s="1808"/>
      <c r="H68" s="1810"/>
      <c r="I68" s="129"/>
      <c r="J68" s="3638"/>
      <c r="K68" s="1332" t="s">
        <v>1392</v>
      </c>
      <c r="L68" s="1332">
        <f ca="1">IF(M49&gt;10000,M49*0.5%,IF(AND(M49&gt;5000,M49&lt;=10000),M49*1%,IF(AND(M49&gt;1000,M49&lt;=5000),M49*2%,IF(AND(M49&gt;200,M49&lt;=1000),M49*3%,M49*5%))))</f>
        <v>38.44</v>
      </c>
      <c r="M68" s="302">
        <f ca="1">ROUND(L68,1)</f>
        <v>38.4</v>
      </c>
      <c r="N68" s="2543"/>
      <c r="Z68" s="1752"/>
      <c r="AI68" s="1753"/>
    </row>
    <row r="69" spans="1:35" s="1772" customFormat="1" ht="16.5" customHeight="1">
      <c r="A69" s="1811"/>
      <c r="B69" s="1812"/>
      <c r="C69" s="1813"/>
      <c r="D69" s="1814"/>
      <c r="E69" s="1815"/>
      <c r="F69" s="1578"/>
      <c r="G69" s="1578"/>
      <c r="H69" s="1577"/>
      <c r="I69" s="1747"/>
      <c r="J69" s="3638"/>
      <c r="K69" s="1332" t="s">
        <v>1393</v>
      </c>
      <c r="L69" s="1332"/>
      <c r="M69" s="302">
        <f ca="1">ROUND(SUM(M63:M68),0)</f>
        <v>75</v>
      </c>
      <c r="N69" s="2545">
        <f ca="1">M69/M49</f>
        <v>3.9021852237252859E-2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9" t="s">
        <v>1375</v>
      </c>
      <c r="B71" s="358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4" t="s">
        <v>1402</v>
      </c>
      <c r="F76" s="3548"/>
      <c r="G76" s="3548"/>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v>
      </c>
      <c r="D78" s="2577">
        <f>'数据-取费表'!B43</f>
        <v>6.000000000000001E-3</v>
      </c>
      <c r="E78" s="3558" t="s">
        <v>1406</v>
      </c>
      <c r="F78" s="3559"/>
      <c r="G78" s="3559"/>
      <c r="H78" s="356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1819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165.36363636363637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1088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9" t="s">
        <v>1375</v>
      </c>
      <c r="B84" s="358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0" t="s">
        <v>2129</v>
      </c>
      <c r="H90" s="364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8" t="s">
        <v>1419</v>
      </c>
      <c r="F91" s="3559"/>
      <c r="G91" s="355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8" t="s">
        <v>1422</v>
      </c>
      <c r="F92" s="3559"/>
      <c r="G92" s="3559"/>
      <c r="H92" s="356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v>
      </c>
      <c r="D93" s="2577">
        <f>'数据-取费表'!B43</f>
        <v>6.000000000000001E-3</v>
      </c>
      <c r="E93" s="3558" t="s">
        <v>1406</v>
      </c>
      <c r="F93" s="3559"/>
      <c r="G93" s="3559"/>
      <c r="H93" s="356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9" t="s">
        <v>1426</v>
      </c>
      <c r="F94" s="3570"/>
      <c r="G94" s="3570"/>
      <c r="H94" s="357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1819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165.36363636363637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1088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60"/>
      <c r="E100" s="3540" t="s">
        <v>1429</v>
      </c>
      <c r="F100" s="3540"/>
      <c r="G100" s="3540"/>
      <c r="H100" s="3560"/>
      <c r="I100" s="129"/>
    </row>
    <row r="101" spans="1:35" ht="18.75" customHeight="1">
      <c r="A101" s="3621" t="s">
        <v>1430</v>
      </c>
      <c r="B101" s="3622"/>
      <c r="C101" s="2585" t="str">
        <f>C4</f>
        <v>成本法 (元)</v>
      </c>
      <c r="D101" s="2586" t="str">
        <f>D4</f>
        <v>收益法 (元)</v>
      </c>
      <c r="E101" s="3635" t="s">
        <v>1431</v>
      </c>
      <c r="F101" s="3592"/>
      <c r="G101" s="1827" t="s">
        <v>1432</v>
      </c>
      <c r="H101" s="2595">
        <f ca="1">H118</f>
        <v>1922</v>
      </c>
      <c r="I101" s="129"/>
    </row>
    <row r="102" spans="1:35" ht="18.75" customHeight="1">
      <c r="A102" s="3594" t="s">
        <v>1433</v>
      </c>
      <c r="B102" s="2584" t="s">
        <v>1432</v>
      </c>
      <c r="C102" s="2585">
        <f ca="1">IF(D32="楼面单价",ROUND(C19,0),C19)</f>
        <v>2338</v>
      </c>
      <c r="D102" s="2586">
        <f ca="1">IF(D32="楼面单价",ROUND(D19,0),D19)</f>
        <v>1298</v>
      </c>
      <c r="E102" s="3635"/>
      <c r="F102" s="3592"/>
      <c r="G102" s="1827" t="s">
        <v>1434</v>
      </c>
      <c r="H102" s="2555">
        <f ca="1">I118</f>
        <v>26671</v>
      </c>
      <c r="I102" s="129"/>
    </row>
    <row r="103" spans="1:35" ht="42.75" customHeight="1">
      <c r="A103" s="3594"/>
      <c r="B103" s="2584" t="s">
        <v>1434</v>
      </c>
      <c r="C103" s="2587">
        <f ca="1">C20</f>
        <v>32444</v>
      </c>
      <c r="D103" s="2588">
        <f ca="1">D20</f>
        <v>18012</v>
      </c>
      <c r="E103" s="3629" t="s">
        <v>1435</v>
      </c>
      <c r="F103" s="3630"/>
      <c r="G103" s="1828" t="s">
        <v>1436</v>
      </c>
      <c r="H103" s="2595">
        <f>IF(D36="正常操作",H104+H105+H106,H105+H106)</f>
        <v>0</v>
      </c>
      <c r="I103" s="129"/>
    </row>
    <row r="104" spans="1:35" ht="18.75" customHeight="1">
      <c r="A104" s="3594" t="s">
        <v>1437</v>
      </c>
      <c r="B104" s="2589" t="s">
        <v>1432</v>
      </c>
      <c r="C104" s="2590">
        <f ca="1">H118</f>
        <v>1922</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26671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92"/>
      <c r="G107" s="1827" t="s">
        <v>1432</v>
      </c>
      <c r="H107" s="2595">
        <f ca="1">IF(E107="——","——",H101-H103)</f>
        <v>1922</v>
      </c>
      <c r="I107" s="129"/>
    </row>
    <row r="108" spans="1:35" ht="18.75" customHeight="1">
      <c r="A108" s="129"/>
      <c r="B108" s="129"/>
      <c r="C108" s="129"/>
      <c r="D108" s="129"/>
      <c r="E108" s="3591"/>
      <c r="F108" s="3592"/>
      <c r="G108" s="1827" t="s">
        <v>1434</v>
      </c>
      <c r="H108" s="2555">
        <f ca="1">IF(H107=H101,H102,ROUND(H107*10000/'数据-汇总表'!E3,0))</f>
        <v>26671</v>
      </c>
      <c r="I108" s="129"/>
    </row>
    <row r="109" spans="1:35" ht="18.75" customHeight="1">
      <c r="A109" s="129"/>
      <c r="B109" s="129"/>
      <c r="C109" s="129"/>
      <c r="D109" s="129">
        <f ca="1">ROUND(C105*B118,0)</f>
        <v>19220990</v>
      </c>
      <c r="E109" s="3591" t="str">
        <f>IF(项目基本情况!E8="已注销及未注销","4.抵押担保权已注销时的房地产抵押价值",IF(项目基本情况!E8="已注销","3.抵押担保权已注销时的房地产抵押价值","——"))</f>
        <v>——</v>
      </c>
      <c r="F109" s="3592"/>
      <c r="G109" s="1827" t="s">
        <v>1432</v>
      </c>
      <c r="H109" s="2598" t="str">
        <f>IF(E109="——","——",H101-H105-H106)</f>
        <v>——</v>
      </c>
      <c r="I109" s="129"/>
    </row>
    <row r="110" spans="1:35" ht="18.75" customHeight="1">
      <c r="A110" s="129"/>
      <c r="B110" s="129"/>
      <c r="C110" s="129"/>
      <c r="D110" s="129"/>
      <c r="E110" s="3591"/>
      <c r="F110" s="3592"/>
      <c r="G110" s="1827" t="s">
        <v>1434</v>
      </c>
      <c r="H110" s="2555"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7" t="s">
        <v>1432</v>
      </c>
      <c r="H111" s="2595" t="str">
        <f>IF(E111="——","——",N59)</f>
        <v>——</v>
      </c>
      <c r="I111" s="129"/>
    </row>
    <row r="112" spans="1:35" ht="18.75" customHeight="1" thickBot="1">
      <c r="A112" s="129"/>
      <c r="B112" s="129"/>
      <c r="C112" s="129"/>
      <c r="D112" s="129"/>
      <c r="E112" s="3624"/>
      <c r="F112" s="3625"/>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720.67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1922</v>
      </c>
      <c r="I118" s="2329">
        <f ca="1">ROUND(IF(D32="楼面单价",C32,H118*10000/B118),0)</f>
        <v>26671</v>
      </c>
    </row>
    <row r="119" spans="1:27" ht="18.75" customHeight="1">
      <c r="A119" s="3562" t="s">
        <v>1452</v>
      </c>
      <c r="B119" s="3562"/>
      <c r="C119" s="3562"/>
      <c r="D119" s="3602" t="e">
        <f ca="1">NUMBERSTRING(INT(D118*10000),2)&amp;"元整"</f>
        <v>#REF!</v>
      </c>
      <c r="E119" s="3604"/>
      <c r="F119" s="3602" t="e">
        <f ca="1">NUMBERSTRING(INT(F118*10000),2)&amp;"元整"</f>
        <v>#REF!</v>
      </c>
      <c r="G119" s="3604"/>
      <c r="H119" s="3602" t="str">
        <f ca="1">NUMBERSTRING(INT(H118*10000),2)&amp;"元整"</f>
        <v>壹仟玖佰贰拾贰万元整</v>
      </c>
      <c r="I119" s="3604"/>
    </row>
    <row r="120" spans="1:27" ht="18.75" customHeight="1">
      <c r="A120" s="3626" t="str">
        <f>IF(项目基本情况!B9="房地产市场价值","",MID(E103,3,LEN(E103)-2))</f>
        <v>估价师知悉的法定优先受偿款</v>
      </c>
      <c r="B120" s="3627"/>
      <c r="C120" s="3628"/>
      <c r="D120" s="3626">
        <f>H103</f>
        <v>0</v>
      </c>
      <c r="E120" s="3627"/>
      <c r="F120" s="3627"/>
      <c r="G120" s="3627"/>
      <c r="H120" s="3627"/>
      <c r="I120" s="362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2" t="s">
        <v>1452</v>
      </c>
      <c r="B121" s="3603"/>
      <c r="C121" s="3604"/>
      <c r="D121" s="3602" t="str">
        <f>IF(D120=0,"零元整",NUMBERSTRING(INT(D120*10000),2)&amp;"元整")</f>
        <v>零元整</v>
      </c>
      <c r="E121" s="3603"/>
      <c r="F121" s="3603"/>
      <c r="G121" s="3603"/>
      <c r="H121" s="3603"/>
      <c r="I121" s="3604"/>
      <c r="AA121" s="725"/>
    </row>
    <row r="122" spans="1:27" ht="18.75" customHeight="1">
      <c r="A122" s="3593" t="str">
        <f>IF(项目基本情况!B9="房地产市场价值","",MID(E107,3,LEN(E107)-2))</f>
        <v>房地产抵押价值</v>
      </c>
      <c r="B122" s="3593"/>
      <c r="C122" s="3593"/>
      <c r="D122" s="3626">
        <f ca="1">H107</f>
        <v>1922</v>
      </c>
      <c r="E122" s="3627"/>
      <c r="F122" s="3627"/>
      <c r="G122" s="3627"/>
      <c r="H122" s="3627"/>
      <c r="I122" s="3628"/>
      <c r="AA122" s="725"/>
    </row>
    <row r="123" spans="1:27" ht="18.75" customHeight="1">
      <c r="A123" s="3562" t="s">
        <v>1452</v>
      </c>
      <c r="B123" s="3562"/>
      <c r="C123" s="3562"/>
      <c r="D123" s="3602" t="str">
        <f ca="1">NUMBERSTRING(INT(D122*10000),2)&amp;"元整"</f>
        <v>壹仟玖佰贰拾贰万元整</v>
      </c>
      <c r="E123" s="3603"/>
      <c r="F123" s="3603"/>
      <c r="G123" s="3603"/>
      <c r="H123" s="3603"/>
      <c r="I123" s="3604"/>
      <c r="AA123" s="725"/>
    </row>
    <row r="124" spans="1:27" ht="18.75" customHeight="1">
      <c r="A124" s="3593" t="str">
        <f>IF(项目基本情况!B9="房地产市场价值","",MID(E109,3,LEN(E109)-2))</f>
        <v/>
      </c>
      <c r="B124" s="3593"/>
      <c r="C124" s="3593"/>
      <c r="D124" s="3626" t="str">
        <f>H109</f>
        <v>——</v>
      </c>
      <c r="E124" s="3627"/>
      <c r="F124" s="3627"/>
      <c r="G124" s="3627"/>
      <c r="H124" s="3627"/>
      <c r="I124" s="3628"/>
      <c r="AA124" s="725"/>
    </row>
    <row r="125" spans="1:27" ht="18.75" customHeight="1">
      <c r="A125" s="3562" t="s">
        <v>1452</v>
      </c>
      <c r="B125" s="3562"/>
      <c r="C125" s="3562"/>
      <c r="D125" s="3602" t="e">
        <f>NUMBERSTRING(INT(D124*10000),2)&amp;"元整"</f>
        <v>#VALUE!</v>
      </c>
      <c r="E125" s="3603"/>
      <c r="F125" s="3603"/>
      <c r="G125" s="3603"/>
      <c r="H125" s="3603"/>
      <c r="I125" s="3604"/>
      <c r="AA125" s="725"/>
    </row>
    <row r="126" spans="1:27" ht="18.75" customHeight="1">
      <c r="A126" s="3593" t="str">
        <f>IF(项目基本情况!B9="房地产市场价值","",MID(E111,3,LEN(E111)-2))</f>
        <v/>
      </c>
      <c r="B126" s="3593"/>
      <c r="C126" s="3593"/>
      <c r="D126" s="3626" t="str">
        <f>H111</f>
        <v>——</v>
      </c>
      <c r="E126" s="3627"/>
      <c r="F126" s="3627"/>
      <c r="G126" s="3627"/>
      <c r="H126" s="3627"/>
      <c r="I126" s="3628"/>
      <c r="AA126" s="725"/>
    </row>
    <row r="127" spans="1:27" ht="18.75" customHeight="1">
      <c r="A127" s="3562" t="s">
        <v>1452</v>
      </c>
      <c r="B127" s="3562"/>
      <c r="C127" s="3562"/>
      <c r="D127" s="3602" t="e">
        <f>NUMBERSTRING(INT(D126*10000),2)&amp;"元整"</f>
        <v>#VALUE!</v>
      </c>
      <c r="E127" s="3603"/>
      <c r="F127" s="3603"/>
      <c r="G127" s="3603"/>
      <c r="H127" s="3603"/>
      <c r="I127" s="3604"/>
      <c r="AA127" s="725"/>
    </row>
    <row r="128" spans="1:27" ht="21.75" customHeight="1">
      <c r="A128" s="3609" t="s">
        <v>1453</v>
      </c>
      <c r="B128" s="3609"/>
      <c r="C128" s="3609"/>
      <c r="D128" s="3609"/>
      <c r="E128" s="3609"/>
      <c r="F128" s="3609"/>
      <c r="G128" s="3609"/>
      <c r="H128" s="3609"/>
      <c r="I128" s="360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56"/>
  <sheetViews>
    <sheetView topLeftCell="C28" workbookViewId="0">
      <selection activeCell="Q55" sqref="Q55"/>
    </sheetView>
  </sheetViews>
  <sheetFormatPr defaultColWidth="9" defaultRowHeight="13.5"/>
  <cols>
    <col min="15" max="15" width="12.5" customWidth="1"/>
    <col min="17" max="17" width="12.75" customWidth="1"/>
  </cols>
  <sheetData>
    <row r="1" spans="1:17">
      <c r="B1" t="s">
        <v>3397</v>
      </c>
      <c r="C1" t="s">
        <v>3398</v>
      </c>
      <c r="E1" t="s">
        <v>3397</v>
      </c>
      <c r="F1" t="s">
        <v>3398</v>
      </c>
      <c r="H1" t="s">
        <v>3397</v>
      </c>
      <c r="I1" t="s">
        <v>3398</v>
      </c>
      <c r="K1" t="s">
        <v>3397</v>
      </c>
      <c r="L1" t="s">
        <v>3398</v>
      </c>
      <c r="N1" s="3449" t="s">
        <v>3399</v>
      </c>
      <c r="O1" s="3449" t="s">
        <v>3400</v>
      </c>
      <c r="P1" s="3450" t="s">
        <v>3397</v>
      </c>
      <c r="Q1" s="3450" t="s">
        <v>3401</v>
      </c>
    </row>
    <row r="2" spans="1:17">
      <c r="A2" t="s">
        <v>3402</v>
      </c>
      <c r="B2">
        <v>1077</v>
      </c>
      <c r="C2">
        <v>8.34</v>
      </c>
      <c r="D2" t="s">
        <v>3403</v>
      </c>
      <c r="E2">
        <v>2160</v>
      </c>
      <c r="F2">
        <v>7.51</v>
      </c>
      <c r="G2" t="s">
        <v>3404</v>
      </c>
      <c r="H2">
        <v>3001</v>
      </c>
      <c r="I2">
        <v>82.93</v>
      </c>
      <c r="J2" t="s">
        <v>3405</v>
      </c>
      <c r="K2">
        <v>4019</v>
      </c>
      <c r="L2">
        <v>12.64</v>
      </c>
      <c r="N2" s="3451">
        <v>1</v>
      </c>
      <c r="O2" s="3642">
        <v>1</v>
      </c>
      <c r="P2" s="3451">
        <v>1137</v>
      </c>
      <c r="Q2" s="3452">
        <v>12.87</v>
      </c>
    </row>
    <row r="3" spans="1:17">
      <c r="B3">
        <v>1093</v>
      </c>
      <c r="C3">
        <v>8.41</v>
      </c>
      <c r="E3">
        <v>2196</v>
      </c>
      <c r="F3">
        <v>5.09</v>
      </c>
      <c r="H3">
        <v>3019</v>
      </c>
      <c r="I3">
        <v>12.64</v>
      </c>
      <c r="K3">
        <v>4075</v>
      </c>
      <c r="L3">
        <v>21.27</v>
      </c>
      <c r="N3" s="3451">
        <v>2</v>
      </c>
      <c r="O3" s="3643"/>
      <c r="P3" s="3451">
        <v>1138</v>
      </c>
      <c r="Q3" s="3452">
        <v>12.56</v>
      </c>
    </row>
    <row r="4" spans="1:17">
      <c r="B4">
        <v>1137</v>
      </c>
      <c r="C4">
        <v>12.87</v>
      </c>
      <c r="E4">
        <v>2197</v>
      </c>
      <c r="F4">
        <v>5.35</v>
      </c>
      <c r="H4">
        <v>3020</v>
      </c>
      <c r="I4">
        <v>12.64</v>
      </c>
      <c r="K4">
        <v>4076</v>
      </c>
      <c r="L4">
        <v>22.52</v>
      </c>
      <c r="N4" s="3451">
        <v>3</v>
      </c>
      <c r="O4" s="3643"/>
      <c r="P4" s="3451">
        <v>1211</v>
      </c>
      <c r="Q4" s="3452">
        <v>12.47</v>
      </c>
    </row>
    <row r="5" spans="1:17">
      <c r="B5">
        <v>1138</v>
      </c>
      <c r="C5">
        <v>12.56</v>
      </c>
      <c r="E5">
        <v>2202</v>
      </c>
      <c r="F5">
        <v>11.78</v>
      </c>
      <c r="H5">
        <v>3050</v>
      </c>
      <c r="I5">
        <v>34.92</v>
      </c>
      <c r="K5">
        <v>4241</v>
      </c>
      <c r="L5">
        <v>12.24</v>
      </c>
      <c r="N5" s="3451">
        <v>4</v>
      </c>
      <c r="O5" s="3643"/>
      <c r="P5" s="3451">
        <v>1213</v>
      </c>
      <c r="Q5" s="3452">
        <v>13.89</v>
      </c>
    </row>
    <row r="6" spans="1:17">
      <c r="B6">
        <v>1175</v>
      </c>
      <c r="C6">
        <v>5.44</v>
      </c>
      <c r="E6">
        <v>2203</v>
      </c>
      <c r="F6">
        <v>11.84</v>
      </c>
      <c r="H6">
        <v>3135</v>
      </c>
      <c r="I6">
        <v>14.2</v>
      </c>
      <c r="K6">
        <v>4277</v>
      </c>
      <c r="L6">
        <v>56.24</v>
      </c>
      <c r="N6" s="3451">
        <v>5</v>
      </c>
      <c r="O6" s="3643"/>
      <c r="P6" s="3451">
        <v>1214</v>
      </c>
      <c r="Q6" s="3452">
        <v>13.34</v>
      </c>
    </row>
    <row r="7" spans="1:17">
      <c r="B7">
        <v>1176</v>
      </c>
      <c r="C7">
        <v>5.26</v>
      </c>
      <c r="E7">
        <v>2204</v>
      </c>
      <c r="F7">
        <v>11.84</v>
      </c>
      <c r="H7">
        <v>3136</v>
      </c>
      <c r="I7">
        <v>14.2</v>
      </c>
      <c r="K7">
        <v>4286</v>
      </c>
      <c r="L7">
        <v>42.95</v>
      </c>
      <c r="N7" s="3451">
        <v>6</v>
      </c>
      <c r="O7" s="3644"/>
      <c r="P7" s="3451">
        <v>1215</v>
      </c>
      <c r="Q7" s="3452">
        <v>4.68</v>
      </c>
    </row>
    <row r="8" spans="1:17">
      <c r="B8">
        <v>1177</v>
      </c>
      <c r="C8">
        <v>5.26</v>
      </c>
      <c r="E8">
        <v>2205</v>
      </c>
      <c r="F8">
        <v>11.84</v>
      </c>
      <c r="H8">
        <v>3190</v>
      </c>
      <c r="I8">
        <v>6.78</v>
      </c>
      <c r="K8">
        <v>4287</v>
      </c>
      <c r="L8">
        <v>47.65</v>
      </c>
      <c r="N8" s="3645" t="s">
        <v>3406</v>
      </c>
      <c r="O8" s="3646"/>
      <c r="P8" s="3647"/>
      <c r="Q8" s="3452">
        <f>SUM(Q2:Q7)</f>
        <v>69.81</v>
      </c>
    </row>
    <row r="9" spans="1:17">
      <c r="B9">
        <v>1178</v>
      </c>
      <c r="C9">
        <v>5.44</v>
      </c>
      <c r="E9">
        <v>2206</v>
      </c>
      <c r="F9">
        <v>10.06</v>
      </c>
      <c r="H9">
        <v>3191</v>
      </c>
      <c r="I9">
        <v>8.0299999999999994</v>
      </c>
      <c r="K9">
        <v>4288</v>
      </c>
      <c r="L9">
        <v>43.22</v>
      </c>
      <c r="N9" s="3451">
        <v>7</v>
      </c>
      <c r="O9" s="3642">
        <v>2</v>
      </c>
      <c r="P9" s="3451">
        <v>2160</v>
      </c>
      <c r="Q9" s="3452">
        <v>7.51</v>
      </c>
    </row>
    <row r="10" spans="1:17">
      <c r="B10">
        <v>1211</v>
      </c>
      <c r="C10">
        <v>12.47</v>
      </c>
      <c r="E10">
        <v>2207</v>
      </c>
      <c r="F10">
        <v>5.24</v>
      </c>
      <c r="H10">
        <v>3230</v>
      </c>
      <c r="I10">
        <v>8.34</v>
      </c>
      <c r="K10">
        <v>4289</v>
      </c>
      <c r="L10">
        <v>43.22</v>
      </c>
      <c r="N10" s="3451">
        <v>8</v>
      </c>
      <c r="O10" s="3643"/>
      <c r="P10" s="3451">
        <v>2196</v>
      </c>
      <c r="Q10" s="3452">
        <v>5.09</v>
      </c>
    </row>
    <row r="11" spans="1:17">
      <c r="B11">
        <v>1213</v>
      </c>
      <c r="C11">
        <v>13.89</v>
      </c>
      <c r="E11">
        <v>2208</v>
      </c>
      <c r="F11">
        <v>5.49</v>
      </c>
      <c r="H11">
        <v>3231</v>
      </c>
      <c r="I11">
        <v>8.09</v>
      </c>
      <c r="L11">
        <f>SUM(L2:L10)</f>
        <v>301.95000000000005</v>
      </c>
      <c r="N11" s="3451">
        <v>9</v>
      </c>
      <c r="O11" s="3643"/>
      <c r="P11" s="3451">
        <v>2197</v>
      </c>
      <c r="Q11" s="3452">
        <v>5.35</v>
      </c>
    </row>
    <row r="12" spans="1:17">
      <c r="B12">
        <v>1214</v>
      </c>
      <c r="C12">
        <v>13.34</v>
      </c>
      <c r="E12">
        <v>2249</v>
      </c>
      <c r="F12">
        <v>9.7200000000000006</v>
      </c>
      <c r="H12">
        <v>3251</v>
      </c>
      <c r="I12">
        <v>8.0299999999999994</v>
      </c>
      <c r="N12" s="3451">
        <v>10</v>
      </c>
      <c r="O12" s="3643"/>
      <c r="P12" s="3451">
        <v>2202</v>
      </c>
      <c r="Q12" s="3452">
        <v>11.78</v>
      </c>
    </row>
    <row r="13" spans="1:17">
      <c r="B13">
        <v>1215</v>
      </c>
      <c r="C13">
        <v>4.68</v>
      </c>
      <c r="E13">
        <v>2250</v>
      </c>
      <c r="F13">
        <v>12.78</v>
      </c>
      <c r="H13">
        <v>3253</v>
      </c>
      <c r="I13">
        <v>4.04</v>
      </c>
      <c r="N13" s="3451">
        <v>11</v>
      </c>
      <c r="O13" s="3643"/>
      <c r="P13" s="3451">
        <v>2203</v>
      </c>
      <c r="Q13" s="3452">
        <v>11.84</v>
      </c>
    </row>
    <row r="14" spans="1:17">
      <c r="C14">
        <f>SUM(C2:D13)</f>
        <v>107.96000000000001</v>
      </c>
      <c r="E14">
        <v>2251</v>
      </c>
      <c r="F14">
        <v>12.78</v>
      </c>
      <c r="H14">
        <v>3329</v>
      </c>
      <c r="I14">
        <v>13.98</v>
      </c>
      <c r="N14" s="3451">
        <v>12</v>
      </c>
      <c r="O14" s="3643"/>
      <c r="P14" s="3451">
        <v>2204</v>
      </c>
      <c r="Q14" s="3452">
        <v>11.84</v>
      </c>
    </row>
    <row r="15" spans="1:17">
      <c r="E15">
        <v>2252</v>
      </c>
      <c r="F15">
        <v>12.78</v>
      </c>
      <c r="H15">
        <v>3332</v>
      </c>
      <c r="I15">
        <v>6.62</v>
      </c>
      <c r="N15" s="3451">
        <v>13</v>
      </c>
      <c r="O15" s="3643"/>
      <c r="P15" s="3451">
        <v>2205</v>
      </c>
      <c r="Q15" s="3452">
        <v>11.84</v>
      </c>
    </row>
    <row r="16" spans="1:17">
      <c r="E16">
        <v>2253</v>
      </c>
      <c r="F16">
        <v>12.78</v>
      </c>
      <c r="H16">
        <v>3334</v>
      </c>
      <c r="I16">
        <v>12.47</v>
      </c>
      <c r="N16" s="3451">
        <v>14</v>
      </c>
      <c r="O16" s="3643"/>
      <c r="P16" s="3451">
        <v>2206</v>
      </c>
      <c r="Q16" s="3452">
        <v>10.06</v>
      </c>
    </row>
    <row r="17" spans="1:17">
      <c r="E17">
        <v>2254</v>
      </c>
      <c r="F17">
        <v>12.78</v>
      </c>
      <c r="H17">
        <v>3339</v>
      </c>
      <c r="I17">
        <v>12.53</v>
      </c>
      <c r="N17" s="3451">
        <v>15</v>
      </c>
      <c r="O17" s="3643"/>
      <c r="P17" s="3451">
        <v>2207</v>
      </c>
      <c r="Q17" s="3452">
        <v>5.24</v>
      </c>
    </row>
    <row r="18" spans="1:17">
      <c r="E18">
        <v>2255</v>
      </c>
      <c r="F18">
        <v>12.78</v>
      </c>
      <c r="H18">
        <v>3341</v>
      </c>
      <c r="I18">
        <v>42.95</v>
      </c>
      <c r="N18" s="3451">
        <v>16</v>
      </c>
      <c r="O18" s="3643"/>
      <c r="P18" s="3451">
        <v>2208</v>
      </c>
      <c r="Q18" s="3452">
        <v>5.49</v>
      </c>
    </row>
    <row r="19" spans="1:17">
      <c r="E19">
        <v>2256</v>
      </c>
      <c r="F19">
        <v>12.58</v>
      </c>
      <c r="H19">
        <v>3342</v>
      </c>
      <c r="I19">
        <v>47.65</v>
      </c>
      <c r="N19" s="3451">
        <v>17</v>
      </c>
      <c r="O19" s="3643"/>
      <c r="P19" s="3451">
        <v>2249</v>
      </c>
      <c r="Q19" s="3452">
        <v>9.7200000000000006</v>
      </c>
    </row>
    <row r="20" spans="1:17">
      <c r="E20">
        <v>2257</v>
      </c>
      <c r="F20">
        <v>12.65</v>
      </c>
      <c r="H20">
        <v>3343</v>
      </c>
      <c r="I20">
        <v>43.22</v>
      </c>
      <c r="N20" s="3451">
        <v>18</v>
      </c>
      <c r="O20" s="3643"/>
      <c r="P20" s="3451">
        <v>2250</v>
      </c>
      <c r="Q20" s="3452">
        <v>12.78</v>
      </c>
    </row>
    <row r="21" spans="1:17">
      <c r="E21">
        <v>2258</v>
      </c>
      <c r="F21">
        <v>10.68</v>
      </c>
      <c r="H21">
        <v>3344</v>
      </c>
      <c r="I21">
        <v>43.22</v>
      </c>
      <c r="N21" s="3451">
        <v>19</v>
      </c>
      <c r="O21" s="3643"/>
      <c r="P21" s="3451">
        <v>2251</v>
      </c>
      <c r="Q21" s="3452">
        <v>12.78</v>
      </c>
    </row>
    <row r="22" spans="1:17">
      <c r="E22">
        <v>2273</v>
      </c>
      <c r="F22">
        <v>13.94</v>
      </c>
      <c r="I22">
        <f>SUM(I2:I21)</f>
        <v>437.4799999999999</v>
      </c>
      <c r="N22" s="3451">
        <v>20</v>
      </c>
      <c r="O22" s="3643"/>
      <c r="P22" s="3451">
        <v>2252</v>
      </c>
      <c r="Q22" s="3452">
        <v>12.78</v>
      </c>
    </row>
    <row r="23" spans="1:17">
      <c r="E23">
        <v>2278</v>
      </c>
      <c r="F23">
        <v>44.44</v>
      </c>
      <c r="N23" s="3451">
        <v>21</v>
      </c>
      <c r="O23" s="3643"/>
      <c r="P23" s="3451">
        <v>2253</v>
      </c>
      <c r="Q23" s="3452">
        <v>12.78</v>
      </c>
    </row>
    <row r="24" spans="1:17">
      <c r="E24">
        <v>2279</v>
      </c>
      <c r="F24">
        <v>47.65</v>
      </c>
      <c r="N24" s="3451">
        <v>22</v>
      </c>
      <c r="O24" s="3643"/>
      <c r="P24" s="3451">
        <v>2254</v>
      </c>
      <c r="Q24" s="3452">
        <v>12.78</v>
      </c>
    </row>
    <row r="25" spans="1:17">
      <c r="E25" t="s">
        <v>3407</v>
      </c>
      <c r="F25">
        <v>43.22</v>
      </c>
      <c r="N25" s="3451">
        <v>23</v>
      </c>
      <c r="O25" s="3643"/>
      <c r="P25" s="3451">
        <v>2255</v>
      </c>
      <c r="Q25" s="3452">
        <v>12.78</v>
      </c>
    </row>
    <row r="26" spans="1:17">
      <c r="E26">
        <v>2281</v>
      </c>
      <c r="F26">
        <v>44.71</v>
      </c>
      <c r="N26" s="3451">
        <v>24</v>
      </c>
      <c r="O26" s="3643"/>
      <c r="P26" s="3451">
        <v>2256</v>
      </c>
      <c r="Q26" s="3452">
        <v>12.58</v>
      </c>
    </row>
    <row r="27" spans="1:17">
      <c r="F27">
        <f>SUM(F2:F26)</f>
        <v>402.31</v>
      </c>
      <c r="N27" s="3451">
        <v>25</v>
      </c>
      <c r="O27" s="3643"/>
      <c r="P27" s="3451">
        <v>2257</v>
      </c>
      <c r="Q27" s="3452">
        <v>12.65</v>
      </c>
    </row>
    <row r="28" spans="1:17">
      <c r="N28" s="3451">
        <v>26</v>
      </c>
      <c r="O28" s="3643"/>
      <c r="P28" s="3451">
        <v>2258</v>
      </c>
      <c r="Q28" s="3452">
        <v>10.68</v>
      </c>
    </row>
    <row r="29" spans="1:17" ht="27">
      <c r="A29" t="s">
        <v>3408</v>
      </c>
      <c r="B29">
        <f>C14+F27+I22+L11</f>
        <v>1249.6999999999998</v>
      </c>
      <c r="N29" s="3451">
        <v>27</v>
      </c>
      <c r="O29" s="3643"/>
      <c r="P29" s="3451" t="s">
        <v>3407</v>
      </c>
      <c r="Q29" s="3452">
        <v>43.22</v>
      </c>
    </row>
    <row r="30" spans="1:17">
      <c r="N30" s="3451">
        <v>28</v>
      </c>
      <c r="O30" s="3644"/>
      <c r="P30" s="3451">
        <v>2273</v>
      </c>
      <c r="Q30" s="3452">
        <v>13.94</v>
      </c>
    </row>
    <row r="31" spans="1:17">
      <c r="H31">
        <v>1</v>
      </c>
      <c r="I31">
        <f>C14</f>
        <v>107.96000000000001</v>
      </c>
      <c r="J31">
        <v>35000</v>
      </c>
      <c r="N31" s="3645" t="s">
        <v>3406</v>
      </c>
      <c r="O31" s="3646"/>
      <c r="P31" s="3647"/>
      <c r="Q31" s="3452">
        <f>SUM(Q9:Q30)</f>
        <v>265.51000000000005</v>
      </c>
    </row>
    <row r="32" spans="1:17">
      <c r="H32">
        <v>2</v>
      </c>
      <c r="I32">
        <f>F27</f>
        <v>402.31</v>
      </c>
      <c r="J32">
        <v>25000</v>
      </c>
      <c r="N32" s="3451">
        <v>29</v>
      </c>
      <c r="O32" s="3642">
        <v>3</v>
      </c>
      <c r="P32" s="3451">
        <v>3001</v>
      </c>
      <c r="Q32" s="3452">
        <v>82.93</v>
      </c>
    </row>
    <row r="33" spans="8:17">
      <c r="H33">
        <v>3</v>
      </c>
      <c r="I33">
        <f>I22</f>
        <v>437.4799999999999</v>
      </c>
      <c r="J33">
        <v>25000</v>
      </c>
      <c r="N33" s="3451">
        <v>30</v>
      </c>
      <c r="O33" s="3643"/>
      <c r="P33" s="3451">
        <v>3019</v>
      </c>
      <c r="Q33" s="3452">
        <v>12.64</v>
      </c>
    </row>
    <row r="34" spans="8:17">
      <c r="H34">
        <v>4</v>
      </c>
      <c r="I34">
        <f>L11</f>
        <v>301.95000000000005</v>
      </c>
      <c r="J34">
        <v>25000</v>
      </c>
      <c r="N34" s="3451">
        <v>31</v>
      </c>
      <c r="O34" s="3643"/>
      <c r="P34" s="3451">
        <v>3020</v>
      </c>
      <c r="Q34" s="3452">
        <v>12.64</v>
      </c>
    </row>
    <row r="35" spans="8:17">
      <c r="J35">
        <f>(J31*I31+J32*I32+J33*I33+J34*I34)/B29</f>
        <v>25863.887332959916</v>
      </c>
      <c r="N35" s="3451">
        <v>32</v>
      </c>
      <c r="O35" s="3643"/>
      <c r="P35" s="3451">
        <v>3135</v>
      </c>
      <c r="Q35" s="3452">
        <v>14.2</v>
      </c>
    </row>
    <row r="36" spans="8:17">
      <c r="N36" s="3451">
        <v>33</v>
      </c>
      <c r="O36" s="3643"/>
      <c r="P36" s="3451">
        <v>3136</v>
      </c>
      <c r="Q36" s="3452">
        <v>14.2</v>
      </c>
    </row>
    <row r="37" spans="8:17">
      <c r="N37" s="3451">
        <v>34</v>
      </c>
      <c r="O37" s="3643"/>
      <c r="P37" s="3451">
        <v>3050</v>
      </c>
      <c r="Q37" s="3452">
        <v>34.92</v>
      </c>
    </row>
    <row r="38" spans="8:17">
      <c r="N38" s="3451">
        <v>35</v>
      </c>
      <c r="O38" s="3643"/>
      <c r="P38" s="3451">
        <v>3190</v>
      </c>
      <c r="Q38" s="3452">
        <v>6.78</v>
      </c>
    </row>
    <row r="39" spans="8:17">
      <c r="N39" s="3451">
        <v>36</v>
      </c>
      <c r="O39" s="3643"/>
      <c r="P39" s="3451">
        <v>3191</v>
      </c>
      <c r="Q39" s="3452">
        <v>8.0299999999999994</v>
      </c>
    </row>
    <row r="40" spans="8:17">
      <c r="N40" s="3451">
        <v>37</v>
      </c>
      <c r="O40" s="3643"/>
      <c r="P40" s="3451">
        <v>3230</v>
      </c>
      <c r="Q40" s="3452">
        <v>8.34</v>
      </c>
    </row>
    <row r="41" spans="8:17">
      <c r="N41" s="3451">
        <v>38</v>
      </c>
      <c r="O41" s="3643"/>
      <c r="P41" s="3451">
        <v>3231</v>
      </c>
      <c r="Q41" s="3452">
        <v>8.09</v>
      </c>
    </row>
    <row r="42" spans="8:17">
      <c r="N42" s="3451">
        <v>39</v>
      </c>
      <c r="O42" s="3643"/>
      <c r="P42" s="3451">
        <v>3329</v>
      </c>
      <c r="Q42" s="3452">
        <v>13.98</v>
      </c>
    </row>
    <row r="43" spans="8:17">
      <c r="N43" s="3451">
        <v>40</v>
      </c>
      <c r="O43" s="3643"/>
      <c r="P43" s="3451">
        <v>3334</v>
      </c>
      <c r="Q43" s="3452">
        <v>12.47</v>
      </c>
    </row>
    <row r="44" spans="8:17">
      <c r="N44" s="3451">
        <v>41</v>
      </c>
      <c r="O44" s="3643"/>
      <c r="P44" s="3451">
        <v>3251</v>
      </c>
      <c r="Q44" s="3452">
        <v>8.0299999999999994</v>
      </c>
    </row>
    <row r="45" spans="8:17">
      <c r="N45" s="3451">
        <v>42</v>
      </c>
      <c r="O45" s="3643"/>
      <c r="P45" s="3451">
        <v>3253</v>
      </c>
      <c r="Q45" s="3452">
        <v>4.04</v>
      </c>
    </row>
    <row r="46" spans="8:17">
      <c r="N46" s="3451">
        <v>43</v>
      </c>
      <c r="O46" s="3643"/>
      <c r="P46" s="3451">
        <v>3332</v>
      </c>
      <c r="Q46" s="3452">
        <v>6.62</v>
      </c>
    </row>
    <row r="47" spans="8:17">
      <c r="N47" s="3451">
        <v>44</v>
      </c>
      <c r="O47" s="3644"/>
      <c r="P47" s="3451">
        <v>3339</v>
      </c>
      <c r="Q47" s="3452">
        <v>12.53</v>
      </c>
    </row>
    <row r="48" spans="8:17">
      <c r="N48" s="3645" t="s">
        <v>3406</v>
      </c>
      <c r="O48" s="3646"/>
      <c r="P48" s="3647"/>
      <c r="Q48" s="3452">
        <f>SUM(Q32:Q47)</f>
        <v>260.44</v>
      </c>
    </row>
    <row r="49" spans="14:18">
      <c r="N49" s="3451">
        <v>45</v>
      </c>
      <c r="O49" s="3642">
        <v>4</v>
      </c>
      <c r="P49" s="3451">
        <v>4019</v>
      </c>
      <c r="Q49" s="3452">
        <v>12.64</v>
      </c>
    </row>
    <row r="50" spans="14:18">
      <c r="N50" s="3451">
        <v>46</v>
      </c>
      <c r="O50" s="3643"/>
      <c r="P50" s="3451">
        <v>4075</v>
      </c>
      <c r="Q50" s="3452">
        <v>21.27</v>
      </c>
    </row>
    <row r="51" spans="14:18">
      <c r="N51" s="3451">
        <v>47</v>
      </c>
      <c r="O51" s="3643"/>
      <c r="P51" s="3451">
        <v>4076</v>
      </c>
      <c r="Q51" s="3452">
        <v>22.52</v>
      </c>
    </row>
    <row r="52" spans="14:18">
      <c r="N52" s="3451">
        <v>48</v>
      </c>
      <c r="O52" s="3643"/>
      <c r="P52" s="3451">
        <v>4241</v>
      </c>
      <c r="Q52" s="3452">
        <v>12.24</v>
      </c>
    </row>
    <row r="53" spans="14:18">
      <c r="N53" s="3451">
        <v>49</v>
      </c>
      <c r="O53" s="3644"/>
      <c r="P53" s="3451">
        <v>4277</v>
      </c>
      <c r="Q53" s="3452">
        <v>56.24</v>
      </c>
    </row>
    <row r="54" spans="14:18">
      <c r="N54" s="3645" t="s">
        <v>3406</v>
      </c>
      <c r="O54" s="3646"/>
      <c r="P54" s="3647"/>
      <c r="Q54" s="3452">
        <f>SUM(Q49:Q53)</f>
        <v>124.91</v>
      </c>
    </row>
    <row r="55" spans="14:18">
      <c r="N55" s="3648" t="s">
        <v>3409</v>
      </c>
      <c r="O55" s="3649"/>
      <c r="P55" s="3650"/>
      <c r="Q55" s="3453">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204791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2841675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144134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144134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720.67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720.67</v>
      </c>
      <c r="E19" s="211">
        <f>'数据-取费表'!B31</f>
        <v>200</v>
      </c>
      <c r="F19" s="231"/>
      <c r="G19" s="1856"/>
    </row>
    <row r="20" spans="1:7" s="214" customFormat="1" ht="13.5" customHeight="1">
      <c r="A20" s="255" t="s">
        <v>1493</v>
      </c>
      <c r="B20" s="210" t="s">
        <v>1494</v>
      </c>
      <c r="C20" s="232">
        <f ca="1">ROUND((C5+C19)*F20,0)</f>
        <v>3604</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9941</v>
      </c>
      <c r="D22" s="235">
        <f ca="1">C26</f>
        <v>8.0000000000000004E-4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9819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121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29550</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29550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204436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322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288</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v>
      </c>
      <c r="D37" s="217">
        <f ca="1">D19</f>
        <v>720.67</v>
      </c>
      <c r="E37" s="249">
        <f>'数据-取费表'!B35</f>
        <v>200</v>
      </c>
      <c r="F37" s="259"/>
      <c r="G37" s="261" t="s">
        <v>1532</v>
      </c>
    </row>
    <row r="38" spans="1:7" ht="13.5" customHeight="1">
      <c r="A38" s="780" t="s">
        <v>354</v>
      </c>
      <c r="B38" s="215" t="s">
        <v>1533</v>
      </c>
      <c r="C38" s="220">
        <f ca="1">ROUND(C34*F38,0)</f>
        <v>6</v>
      </c>
      <c r="D38" s="220"/>
      <c r="E38" s="220"/>
      <c r="F38" s="259">
        <f>'数据-取费表'!B36</f>
        <v>0.02</v>
      </c>
      <c r="G38" s="219" t="s">
        <v>1528</v>
      </c>
    </row>
    <row r="39" spans="1:7" s="214" customFormat="1" ht="13.5" customHeight="1">
      <c r="A39" s="255" t="s">
        <v>1534</v>
      </c>
      <c r="B39" s="210" t="s">
        <v>1535</v>
      </c>
      <c r="C39" s="232">
        <f ca="1">ROUND(C33*F20,0)</f>
        <v>8</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8.0000000000000004E-4</v>
      </c>
      <c r="D44" s="238"/>
      <c r="E44" s="238"/>
      <c r="F44" s="239"/>
      <c r="G44" s="3653"/>
    </row>
    <row r="45" spans="1:7" s="214" customFormat="1" ht="13.5" customHeight="1">
      <c r="A45" s="255" t="s">
        <v>1547</v>
      </c>
      <c r="B45" s="244" t="s">
        <v>1513</v>
      </c>
      <c r="C45" s="245">
        <f ca="1">C46</f>
        <v>66</v>
      </c>
      <c r="D45" s="235">
        <f ca="1">C47</f>
        <v>5.0000000000000001E-3</v>
      </c>
      <c r="E45" s="236" t="s">
        <v>1539</v>
      </c>
      <c r="F45" s="246">
        <f ca="1">F27</f>
        <v>0.2</v>
      </c>
      <c r="G45" s="247" t="s">
        <v>1548</v>
      </c>
    </row>
    <row r="46" spans="1:7" s="214" customFormat="1" ht="13.5" customHeight="1">
      <c r="A46" s="780" t="s">
        <v>346</v>
      </c>
      <c r="B46" s="248" t="s">
        <v>1549</v>
      </c>
      <c r="C46" s="249">
        <f ca="1">ROUND((C33+C39)*F27,0)</f>
        <v>66</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444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355</v>
      </c>
      <c r="D51" s="232"/>
      <c r="E51" s="232"/>
      <c r="F51" s="264"/>
      <c r="G51" s="234" t="s">
        <v>1560</v>
      </c>
    </row>
    <row r="52" spans="1:7" s="208" customFormat="1" ht="16.5" thickBot="1">
      <c r="A52" s="265" t="s">
        <v>1561</v>
      </c>
      <c r="B52" s="266"/>
      <c r="C52" s="267">
        <f ca="1">C31+C51</f>
        <v>204791</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B3" sqref="B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2338.1509000000001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32444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13972328</v>
      </c>
      <c r="D5" s="211" t="s">
        <v>1469</v>
      </c>
      <c r="E5" s="212" t="s">
        <v>1470</v>
      </c>
      <c r="F5" s="212" t="s">
        <v>1471</v>
      </c>
      <c r="G5" s="213"/>
    </row>
    <row r="6" spans="1:8" s="214" customFormat="1" ht="13.5" customHeight="1">
      <c r="A6" s="778" t="s">
        <v>1472</v>
      </c>
      <c r="B6" s="215" t="s">
        <v>1473</v>
      </c>
      <c r="C6" s="216">
        <f>ROUND(基准地价修正!T2*基准地价修正!U2+基准地价修正!T3*基准地价修正!U3+基准地价修正!T4*基准地价修正!U4+基准地价修正!T5*基准地价修正!U5,0)</f>
        <v>13418917</v>
      </c>
      <c r="D6" s="217"/>
      <c r="E6" s="218"/>
      <c r="F6" s="218"/>
      <c r="G6" s="219"/>
    </row>
    <row r="7" spans="1:8" s="214" customFormat="1" ht="13.5" customHeight="1">
      <c r="A7" s="778" t="s">
        <v>1474</v>
      </c>
      <c r="B7" s="215" t="s">
        <v>1475</v>
      </c>
      <c r="C7" s="220">
        <f>ROUND(C6*F7,0)</f>
        <v>409277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144134</v>
      </c>
      <c r="D8" s="222"/>
      <c r="E8" s="220"/>
      <c r="F8" s="221"/>
      <c r="G8" s="1856" t="s">
        <v>3428</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144134</v>
      </c>
      <c r="D10" s="845">
        <f ca="1">IF(B1="",'数据-汇总表'!E6,IF(INDIRECT("'数据-取费表'!c"&amp;$G$1)="住宅",INDIRECT("'数据-取费表'!s"&amp;$G$1),INDIRECT("'数据-取费表'!k"&amp;$G$1)+INDIRECT("'数据-取费表'!s"&amp;$G$1)))</f>
        <v>720.67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720.67</v>
      </c>
      <c r="E19" s="211">
        <f>'数据-取费表'!B31</f>
        <v>200</v>
      </c>
      <c r="F19" s="231"/>
      <c r="G19" s="1856" t="s">
        <v>3429</v>
      </c>
    </row>
    <row r="20" spans="1:7" s="214" customFormat="1" ht="13.5" customHeight="1">
      <c r="A20" s="255" t="s">
        <v>1574</v>
      </c>
      <c r="B20" s="210" t="s">
        <v>1575</v>
      </c>
      <c r="C20" s="232">
        <f ca="1">ROUND((C5+C19)*F20,0)</f>
        <v>349308</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963528</v>
      </c>
      <c r="D22" s="235">
        <f ca="1">C26</f>
        <v>8.0000000000000004E-4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951826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11702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2864327</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2864327</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19816018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3228602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2882680</v>
      </c>
      <c r="D34" s="217"/>
      <c r="E34" s="220"/>
      <c r="F34" s="257"/>
      <c r="G34" s="219"/>
    </row>
    <row r="35" spans="1:7" ht="13.5" customHeight="1">
      <c r="A35" s="780" t="s">
        <v>351</v>
      </c>
      <c r="B35" s="215" t="s">
        <v>1527</v>
      </c>
      <c r="C35" s="220">
        <f ca="1">ROUND(C34*F35,0)</f>
        <v>144134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144134</v>
      </c>
      <c r="D37" s="217">
        <f ca="1">D19</f>
        <v>720.67</v>
      </c>
      <c r="E37" s="249">
        <f>'数据-取费表'!B35</f>
        <v>200</v>
      </c>
      <c r="F37" s="259"/>
      <c r="G37" s="261"/>
    </row>
    <row r="38" spans="1:7" ht="13.5" customHeight="1">
      <c r="A38" s="780" t="s">
        <v>354</v>
      </c>
      <c r="B38" s="215" t="s">
        <v>1533</v>
      </c>
      <c r="C38" s="220">
        <f ca="1">ROUND(C34*F38,0)</f>
        <v>57654</v>
      </c>
      <c r="D38" s="220"/>
      <c r="E38" s="220"/>
      <c r="F38" s="259">
        <f>'数据-取费表'!B36</f>
        <v>0.02</v>
      </c>
      <c r="G38" s="219" t="s">
        <v>1528</v>
      </c>
    </row>
    <row r="39" spans="1:7" s="214" customFormat="1" ht="13.5" customHeight="1">
      <c r="A39" s="255" t="s">
        <v>1534</v>
      </c>
      <c r="B39" s="210" t="s">
        <v>1535</v>
      </c>
      <c r="C39" s="232">
        <f ca="1">ROUND(C33*F20,0)</f>
        <v>80715</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110862</v>
      </c>
      <c r="D41" s="235">
        <f ca="1">C44</f>
        <v>8.0000000000000004E-4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108158</v>
      </c>
      <c r="D42" s="238"/>
      <c r="E42" s="238"/>
      <c r="F42" s="239"/>
      <c r="G42" s="3651" t="s">
        <v>1591</v>
      </c>
    </row>
    <row r="43" spans="1:7" ht="13.5" customHeight="1">
      <c r="A43" s="780" t="s">
        <v>347</v>
      </c>
      <c r="B43" s="215" t="s">
        <v>1545</v>
      </c>
      <c r="C43" s="238">
        <f ca="1">ROUND(IF('数据-取费表'!B22&lt;=1,C39*F22*'数据-取费表'!B20/2,C39*(POWER((1+F22),'数据-取费表'!B20/2)-1)),0)</f>
        <v>2704</v>
      </c>
      <c r="D43" s="238"/>
      <c r="E43" s="238"/>
      <c r="F43" s="239"/>
      <c r="G43" s="3652"/>
    </row>
    <row r="44" spans="1:7" ht="13.5" customHeight="1">
      <c r="A44" s="780" t="s">
        <v>348</v>
      </c>
      <c r="B44" s="215" t="s">
        <v>1546</v>
      </c>
      <c r="C44" s="238">
        <f ca="1">ROUND(IF('数据-取费表'!B22&lt;=1,C40*F22*'数据-取费表'!B20/2,C40*(POWER((1+F22),'数据-取费表'!B20/2)-1)),4)</f>
        <v>8.0000000000000004E-4</v>
      </c>
      <c r="D44" s="238"/>
      <c r="E44" s="238"/>
      <c r="F44" s="239"/>
      <c r="G44" s="3653"/>
    </row>
    <row r="45" spans="1:7" s="214" customFormat="1" ht="13.5" customHeight="1">
      <c r="A45" s="255" t="s">
        <v>1547</v>
      </c>
      <c r="B45" s="244" t="s">
        <v>1513</v>
      </c>
      <c r="C45" s="245">
        <f ca="1">C46</f>
        <v>661863</v>
      </c>
      <c r="D45" s="235">
        <f ca="1">C47</f>
        <v>5.0000000000000001E-3</v>
      </c>
      <c r="E45" s="236" t="s">
        <v>1539</v>
      </c>
      <c r="F45" s="246">
        <f ca="1">F27</f>
        <v>0.2</v>
      </c>
      <c r="G45" s="247" t="s">
        <v>1548</v>
      </c>
    </row>
    <row r="46" spans="1:7" s="214" customFormat="1" ht="13.5" customHeight="1">
      <c r="A46" s="780" t="s">
        <v>346</v>
      </c>
      <c r="B46" s="248" t="s">
        <v>1549</v>
      </c>
      <c r="C46" s="249">
        <f ca="1">ROUND((C33+C39)*F27,0)</f>
        <v>661863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4456864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3565491</v>
      </c>
      <c r="D51" s="232"/>
      <c r="E51" s="232"/>
      <c r="F51" s="264"/>
      <c r="G51" s="234" t="s">
        <v>1560</v>
      </c>
    </row>
    <row r="52" spans="1:7" s="208" customFormat="1" ht="16.5" thickBot="1">
      <c r="A52" s="265" t="s">
        <v>1561</v>
      </c>
      <c r="B52" s="266"/>
      <c r="C52" s="267">
        <f ca="1">C31+C51</f>
        <v>23381509</v>
      </c>
      <c r="D52" s="266"/>
      <c r="E52" s="266"/>
      <c r="F52" s="266"/>
      <c r="G52" s="268"/>
    </row>
    <row r="55" spans="1:7" ht="15">
      <c r="B55" s="270" t="s">
        <v>1562</v>
      </c>
      <c r="C55" s="271"/>
    </row>
    <row r="56" spans="1:7">
      <c r="B56" s="273" t="s">
        <v>802</v>
      </c>
      <c r="C56" s="275">
        <f ca="1">1-C57</f>
        <v>0.84799999999999998</v>
      </c>
    </row>
    <row r="57" spans="1:7">
      <c r="B57" s="273" t="s">
        <v>803</v>
      </c>
      <c r="C57" s="274">
        <f ca="1">ROUND(C51/C52,3)</f>
        <v>0.152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172272</v>
      </c>
      <c r="C2" s="276" t="s">
        <v>1595</v>
      </c>
      <c r="D2" s="276"/>
      <c r="E2" s="2806"/>
      <c r="F2" s="2806"/>
      <c r="G2" s="2806"/>
      <c r="H2" s="2806"/>
      <c r="I2" s="2806"/>
      <c r="J2" s="2806"/>
      <c r="K2" s="2806"/>
    </row>
    <row r="3" spans="1:33" ht="18" customHeight="1" thickBot="1">
      <c r="A3" s="203" t="s">
        <v>1464</v>
      </c>
      <c r="B3" s="204">
        <f ca="1">ROUND(B2*10000/IF(C1="",'数据-汇总表'!E3,INDIRECT("'数据-取费表'!K"&amp;$K$1)),0)</f>
        <v>2390442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720.67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720.67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-144120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720.67</v>
      </c>
      <c r="E20" s="21">
        <f>'数据-取费表'!B28</f>
        <v>200</v>
      </c>
      <c r="F20" s="804"/>
      <c r="G20" s="12"/>
      <c r="H20" s="809"/>
      <c r="I20" s="809"/>
      <c r="J20" s="809"/>
      <c r="K20" s="810"/>
    </row>
    <row r="21" spans="1:33" s="803" customFormat="1" ht="13.5" customHeight="1">
      <c r="A21" s="790" t="s">
        <v>357</v>
      </c>
      <c r="B21" s="813" t="s">
        <v>1628</v>
      </c>
      <c r="C21" s="814">
        <f ca="1">C16+C17+C18</f>
        <v>-144120</v>
      </c>
      <c r="D21" s="815"/>
      <c r="E21" s="281"/>
      <c r="F21" s="281"/>
      <c r="G21" s="131" t="s">
        <v>1629</v>
      </c>
      <c r="H21" s="807"/>
      <c r="I21" s="807"/>
      <c r="J21" s="807"/>
      <c r="K21" s="808"/>
    </row>
    <row r="22" spans="1:33" s="803" customFormat="1" ht="13.5" customHeight="1">
      <c r="A22" s="790" t="s">
        <v>1601</v>
      </c>
      <c r="B22" s="813" t="s">
        <v>1630</v>
      </c>
      <c r="C22" s="814">
        <f ca="1">ROUND(C21*F22,0)</f>
        <v>-3603</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-29545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-29545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172272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tabSelected="1" view="pageBreakPreview" topLeftCell="A7" zoomScale="85" zoomScaleNormal="70" zoomScaleSheetLayoutView="85"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1298.1032</v>
      </c>
      <c r="C2" s="1387" t="s">
        <v>879</v>
      </c>
      <c r="D2" s="1471">
        <f ca="1">C40+J29+L46</f>
        <v>12981032</v>
      </c>
      <c r="E2" s="1388" t="s">
        <v>880</v>
      </c>
      <c r="F2" s="1389"/>
      <c r="G2" s="2706"/>
      <c r="H2" s="2695"/>
      <c r="I2" s="2695"/>
      <c r="J2" s="2695"/>
      <c r="K2" s="2696"/>
      <c r="L2" s="2695"/>
      <c r="M2" s="2695"/>
    </row>
    <row r="3" spans="1:37" ht="18" customHeight="1" thickBot="1">
      <c r="A3" s="1390" t="s">
        <v>881</v>
      </c>
      <c r="B3" s="1391">
        <f ca="1">IF(ISERROR(D2/F43),0,ROUND(D2/F43,0))</f>
        <v>18012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1066662</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1065330</v>
      </c>
      <c r="D6" s="155" t="s">
        <v>2106</v>
      </c>
      <c r="E6" s="302" t="s">
        <v>696</v>
      </c>
      <c r="F6" s="303">
        <f ca="1">INDIRECT("'数据-取费表'!u"&amp;$G$1)</f>
        <v>4.5</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720.67</v>
      </c>
      <c r="G7" s="1384"/>
      <c r="H7" s="304"/>
      <c r="I7" s="3657"/>
      <c r="J7" s="306"/>
      <c r="K7" s="307"/>
      <c r="L7" s="302" t="s">
        <v>697</v>
      </c>
      <c r="M7" s="303">
        <f ca="1">F7</f>
        <v>720.67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1332</v>
      </c>
      <c r="D10" s="1366" t="s">
        <v>2116</v>
      </c>
      <c r="E10" s="313" t="s">
        <v>701</v>
      </c>
      <c r="F10" s="1116" t="s">
        <v>3430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3565491</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2882680</v>
      </c>
      <c r="D14" s="1345" t="s">
        <v>708</v>
      </c>
      <c r="E14" s="1342"/>
      <c r="F14" s="319"/>
      <c r="G14" s="1384"/>
      <c r="H14" s="982" t="s">
        <v>398</v>
      </c>
      <c r="I14" s="302" t="s">
        <v>709</v>
      </c>
      <c r="J14" s="21">
        <f ca="1">C29</f>
        <v>4456864</v>
      </c>
      <c r="K14" s="12"/>
      <c r="L14" s="807"/>
      <c r="M14" s="808"/>
    </row>
    <row r="15" spans="1:37" s="1397" customFormat="1" ht="18" customHeight="1" thickBot="1">
      <c r="A15" s="982" t="s">
        <v>399</v>
      </c>
      <c r="B15" s="302" t="s">
        <v>710</v>
      </c>
      <c r="C15" s="21">
        <f ca="1">ROUND(C14*F15,0)</f>
        <v>144134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17827</v>
      </c>
      <c r="K16" s="1087" t="s">
        <v>715</v>
      </c>
      <c r="L16" s="1088"/>
      <c r="M16" s="1072"/>
    </row>
    <row r="17" spans="1:37" s="1397" customFormat="1" ht="18" customHeight="1">
      <c r="A17" s="982" t="s">
        <v>681</v>
      </c>
      <c r="B17" s="302" t="s">
        <v>716</v>
      </c>
      <c r="C17" s="21">
        <f ca="1">ROUND(F17*(F43+INDIRECT("'数据-取费表'!S"&amp;$G$1)),0)</f>
        <v>144134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57654</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3228602</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80715</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17827</v>
      </c>
      <c r="K22" s="1344" t="s">
        <v>739</v>
      </c>
      <c r="L22" s="302" t="s">
        <v>712</v>
      </c>
      <c r="M22" s="328">
        <f ca="1">INDIRECT("'数据-取费表'!Ak"&amp;$G$1)</f>
        <v>4.0000000000000001E-3</v>
      </c>
    </row>
    <row r="23" spans="1:37" s="1397" customFormat="1" ht="18" customHeight="1">
      <c r="A23" s="982" t="s">
        <v>397</v>
      </c>
      <c r="B23" s="302" t="s">
        <v>740</v>
      </c>
      <c r="C23" s="21">
        <f ca="1">IF('数据-取费表'!B22&lt;=1,ROUND(C19*F24*F23/2,0)+ROUND(C20*F24*F23/2,0),ROUND(C19*(POWER((1+F24),F23/2)-1),0)+ROUND(C20*(POWER((1+F24),F23/2)-1),0))</f>
        <v>110862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-17827</v>
      </c>
      <c r="K25" s="1095" t="s">
        <v>753</v>
      </c>
      <c r="L25" s="1096"/>
      <c r="M25" s="1097"/>
    </row>
    <row r="26" spans="1:37" ht="18" customHeight="1">
      <c r="A26" s="982" t="s">
        <v>397</v>
      </c>
      <c r="B26" s="302" t="s">
        <v>754</v>
      </c>
      <c r="C26" s="21">
        <f ca="1">ROUND((C19+C20)*F26,0)</f>
        <v>661863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4456864</v>
      </c>
      <c r="D29" s="1092"/>
      <c r="E29" s="1090"/>
      <c r="F29" s="1093"/>
      <c r="G29" s="1396"/>
      <c r="H29" s="334" t="s">
        <v>396</v>
      </c>
      <c r="I29" s="335" t="s">
        <v>768</v>
      </c>
      <c r="J29" s="336">
        <f ca="1">ROUND(J26/(1+F40)^F41,0)</f>
        <v>0</v>
      </c>
      <c r="K29" s="337" t="s">
        <v>769</v>
      </c>
      <c r="L29" s="338"/>
      <c r="M29" s="339">
        <f ca="1">INDIRECT("'数据-取费表'!k"&amp;$G$1)</f>
        <v>720.67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207078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178570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56818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121752</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17827</v>
      </c>
      <c r="D36" s="1344" t="s">
        <v>771</v>
      </c>
      <c r="E36" s="302" t="s">
        <v>712</v>
      </c>
      <c r="F36" s="328">
        <f ca="1">INDIRECT("'数据-取费表'!Ak"&amp;$G$1)</f>
        <v>4.0000000000000001E-3</v>
      </c>
      <c r="G36" s="1384"/>
      <c r="H36" s="2700"/>
      <c r="I36" s="1398"/>
      <c r="J36" s="1399"/>
      <c r="K36" s="2544"/>
      <c r="L36" s="2700"/>
      <c r="M36" s="2700"/>
    </row>
    <row r="37" spans="1:18" ht="18" customHeight="1">
      <c r="A37" s="982" t="s">
        <v>437</v>
      </c>
      <c r="B37" s="302" t="s">
        <v>742</v>
      </c>
      <c r="C37" s="21">
        <f ca="1">ROUND(C13*F37,0)</f>
        <v>5348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5333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859584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12561350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17430</v>
      </c>
      <c r="D43" s="337" t="s">
        <v>777</v>
      </c>
      <c r="E43" s="338" t="s">
        <v>778</v>
      </c>
      <c r="F43" s="339">
        <f ca="1">INDIRECT("'数据-取费表'!k"&amp;$G$1)</f>
        <v>720.67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-1283.83</v>
      </c>
      <c r="D45" s="3432" t="s">
        <v>3354</v>
      </c>
      <c r="E45" s="1400"/>
      <c r="F45" s="1400"/>
      <c r="O45" s="1403" t="s">
        <v>808</v>
      </c>
      <c r="P45" s="1461"/>
      <c r="Q45" s="1461"/>
      <c r="R45" s="1461"/>
    </row>
    <row r="46" spans="1:18" s="1384" customFormat="1" ht="13.5" thickBot="1">
      <c r="A46" s="1404" t="s">
        <v>809</v>
      </c>
      <c r="C46" s="1405">
        <f ca="1">ROUND(C45,0)</f>
        <v>-1284</v>
      </c>
      <c r="D46" s="1406" t="str">
        <f>C2</f>
        <v>万元</v>
      </c>
      <c r="I46" s="1407" t="s">
        <v>810</v>
      </c>
      <c r="J46" s="1408"/>
      <c r="K46" s="1409"/>
      <c r="L46" s="1410">
        <f ca="1">IF(M47="住宅",0,IF(L48&gt;J51,L60,J60))</f>
        <v>419682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3431</v>
      </c>
      <c r="K47" s="1416" t="s">
        <v>816</v>
      </c>
      <c r="L47" s="1417">
        <f ca="1">INDIRECT("'数据-取费表'!d"&amp;$G$1)</f>
        <v>40</v>
      </c>
      <c r="M47" s="1380" t="str">
        <f>IF(ISNUMBER(FIND("住宅",C1)),"住宅","非住宅")</f>
        <v>非住宅</v>
      </c>
      <c r="O47" s="1418" t="s">
        <v>403</v>
      </c>
      <c r="P47" s="1419" t="s">
        <v>817</v>
      </c>
      <c r="Q47" s="1420">
        <f ca="1">C40+J29</f>
        <v>12561350</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20</v>
      </c>
      <c r="O48" s="1418" t="s">
        <v>404</v>
      </c>
      <c r="P48" s="1419" t="s">
        <v>821</v>
      </c>
      <c r="Q48" s="1420">
        <f ca="1">J60</f>
        <v>419682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2006</v>
      </c>
      <c r="K49" s="1423" t="s">
        <v>824</v>
      </c>
      <c r="L49" s="1427"/>
      <c r="O49" s="1428" t="s">
        <v>405</v>
      </c>
      <c r="P49" s="1419" t="s">
        <v>825</v>
      </c>
      <c r="Q49" s="1420">
        <f ca="1">C29</f>
        <v>4456864</v>
      </c>
      <c r="R49" s="1420" t="s">
        <v>818</v>
      </c>
    </row>
    <row r="50" spans="1:18" s="1384" customFormat="1" ht="13.5" thickBot="1">
      <c r="A50" s="976"/>
      <c r="B50" s="979"/>
      <c r="C50" s="980"/>
      <c r="D50" s="953"/>
      <c r="E50" s="1056" t="s">
        <v>697</v>
      </c>
      <c r="F50" s="1057">
        <f ca="1">F7</f>
        <v>720.67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10628150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3455">
        <v>7.4999999999999997E-2</v>
      </c>
      <c r="K52" s="1437" t="s">
        <v>833</v>
      </c>
      <c r="L52" s="1438"/>
      <c r="O52" s="1428" t="s">
        <v>408</v>
      </c>
      <c r="P52" s="1419" t="s">
        <v>834</v>
      </c>
      <c r="Q52" s="1420">
        <f ca="1">J53</f>
        <v>20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v>
      </c>
      <c r="K53" s="3654" t="s">
        <v>837</v>
      </c>
      <c r="L53" s="3655"/>
      <c r="O53" s="1418" t="s">
        <v>409</v>
      </c>
      <c r="P53" s="1419" t="s">
        <v>838</v>
      </c>
      <c r="Q53" s="1420">
        <f ca="1">Q47+Q48</f>
        <v>12981032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3565491</v>
      </c>
      <c r="D56" s="1447"/>
      <c r="E56" s="1448"/>
      <c r="F56" s="1440"/>
      <c r="I56" s="1449" t="s">
        <v>842</v>
      </c>
      <c r="J56" s="1450" t="s">
        <v>3390</v>
      </c>
      <c r="K56" s="1421" t="s">
        <v>843</v>
      </c>
      <c r="L56" s="1424" t="str">
        <f ca="1">IF(L48&lt;J51,"——",L48-J51)</f>
        <v>——</v>
      </c>
      <c r="O56" s="1418" t="s">
        <v>403</v>
      </c>
      <c r="P56" s="1419" t="s">
        <v>817</v>
      </c>
      <c r="Q56" s="1420">
        <f ca="1">C40+J29</f>
        <v>12561350</v>
      </c>
      <c r="R56" s="1420" t="s">
        <v>818</v>
      </c>
    </row>
    <row r="57" spans="1:18" s="1384" customFormat="1" ht="24.75" thickBot="1">
      <c r="A57" s="1451"/>
      <c r="B57" s="950" t="s">
        <v>767</v>
      </c>
      <c r="C57" s="238">
        <f ca="1">C29</f>
        <v>4456864</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1782746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419682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12561350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17827</v>
      </c>
      <c r="D64" s="964" t="s">
        <v>791</v>
      </c>
      <c r="E64" s="950" t="s">
        <v>783</v>
      </c>
      <c r="F64" s="328">
        <f t="shared" ca="1" si="0"/>
        <v>4.0000000000000001E-3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5348</v>
      </c>
      <c r="D65" s="964" t="s">
        <v>743</v>
      </c>
      <c r="E65" s="950" t="s">
        <v>744</v>
      </c>
      <c r="F65" s="330">
        <f t="shared" ca="1" si="0"/>
        <v>1.5E-3</v>
      </c>
      <c r="I65" s="1462" t="s">
        <v>867</v>
      </c>
      <c r="J65" s="1463">
        <v>40</v>
      </c>
      <c r="K65" s="1463">
        <v>30</v>
      </c>
      <c r="L65" s="1463">
        <v>50</v>
      </c>
      <c r="M65" s="1465">
        <v>0.02</v>
      </c>
      <c r="O65" s="1418" t="s">
        <v>403</v>
      </c>
      <c r="P65" s="1419" t="s">
        <v>868</v>
      </c>
      <c r="Q65" s="1420">
        <f ca="1">C40+J29</f>
        <v>12561350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-23175</v>
      </c>
      <c r="D67" s="963" t="s">
        <v>753</v>
      </c>
      <c r="E67" s="968"/>
      <c r="F67" s="969"/>
      <c r="O67" s="1428" t="s">
        <v>405</v>
      </c>
      <c r="P67" s="1419" t="s">
        <v>850</v>
      </c>
      <c r="Q67" s="1466">
        <f ca="1">L51</f>
        <v>10628150</v>
      </c>
      <c r="R67" s="1420" t="s">
        <v>870</v>
      </c>
    </row>
    <row r="68" spans="1:18" s="1384" customFormat="1" ht="16.5" thickBot="1">
      <c r="A68" s="947" t="s">
        <v>395</v>
      </c>
      <c r="B68" s="948" t="s">
        <v>774</v>
      </c>
      <c r="C68" s="301">
        <f ca="1">ROUND(C67*(1-((1+F70)/(1+F68))^F69)/(F68-F70),0)</f>
        <v>-276950</v>
      </c>
      <c r="D68" s="965" t="s">
        <v>758</v>
      </c>
      <c r="E68" s="950" t="s">
        <v>759</v>
      </c>
      <c r="F68" s="312">
        <f ca="1">F40</f>
        <v>5.5E-2</v>
      </c>
      <c r="O68" s="1428" t="s">
        <v>406</v>
      </c>
      <c r="P68" s="1467" t="s">
        <v>871</v>
      </c>
      <c r="Q68" s="1420">
        <f ca="1">ROUND(Q69-Q70*Q71,0)</f>
        <v>610000</v>
      </c>
      <c r="R68" s="1420" t="s">
        <v>414</v>
      </c>
    </row>
    <row r="69" spans="1:18" s="1384" customFormat="1" ht="13.5" thickBot="1">
      <c r="A69" s="951"/>
      <c r="B69" s="952"/>
      <c r="C69" s="306"/>
      <c r="D69" s="970" t="s">
        <v>762</v>
      </c>
      <c r="E69" s="950" t="s">
        <v>763</v>
      </c>
      <c r="F69" s="333">
        <f ca="1">F41</f>
        <v>20</v>
      </c>
      <c r="O69" s="1428" t="s">
        <v>411</v>
      </c>
      <c r="P69" s="1467" t="s">
        <v>872</v>
      </c>
      <c r="Q69" s="1420">
        <f ca="1">C39</f>
        <v>859584</v>
      </c>
      <c r="R69" s="1420" t="s">
        <v>818</v>
      </c>
    </row>
    <row r="70" spans="1:18" s="1384" customFormat="1" ht="13.5" thickBot="1">
      <c r="A70" s="954"/>
      <c r="B70" s="955"/>
      <c r="C70" s="310"/>
      <c r="D70" s="966"/>
      <c r="E70" s="950" t="s">
        <v>766</v>
      </c>
      <c r="F70" s="1054"/>
      <c r="O70" s="1428" t="s">
        <v>412</v>
      </c>
      <c r="P70" s="1467" t="s">
        <v>873</v>
      </c>
      <c r="Q70" s="1420">
        <f ca="1">C13</f>
        <v>3565491</v>
      </c>
      <c r="R70" s="1420" t="s">
        <v>818</v>
      </c>
    </row>
    <row r="71" spans="1:18" s="1384" customFormat="1" ht="13.5" thickBot="1">
      <c r="A71" s="971" t="s">
        <v>396</v>
      </c>
      <c r="B71" s="972" t="s">
        <v>776</v>
      </c>
      <c r="C71" s="336">
        <f ca="1">ROUND(C68/F71,0)</f>
        <v>-384</v>
      </c>
      <c r="D71" s="973" t="s">
        <v>777</v>
      </c>
      <c r="E71" s="974" t="s">
        <v>778</v>
      </c>
      <c r="F71" s="339">
        <f ca="1">F43</f>
        <v>720.67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249584</v>
      </c>
      <c r="D75" s="1384"/>
      <c r="E75" s="1384"/>
      <c r="F75" s="1384"/>
      <c r="K75" s="1402"/>
      <c r="L75" s="1384"/>
      <c r="O75" s="1418" t="s">
        <v>409</v>
      </c>
      <c r="P75" s="1419" t="s">
        <v>838</v>
      </c>
      <c r="Q75" s="1420">
        <f ca="1">Q65+Q66</f>
        <v>12561350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v>
      </c>
    </row>
    <row r="80" spans="1:18">
      <c r="B80" s="340" t="s">
        <v>800</v>
      </c>
      <c r="C80" s="274">
        <f ca="1">ROUND(C75/C39,3)</f>
        <v>0.28999999999999998</v>
      </c>
    </row>
    <row r="81" spans="2:3">
      <c r="B81" s="270" t="s">
        <v>801</v>
      </c>
      <c r="C81" s="238"/>
    </row>
    <row r="82" spans="2:3">
      <c r="B82" s="273" t="s">
        <v>802</v>
      </c>
      <c r="C82" s="275">
        <f ca="1">1-C83</f>
        <v>0.71599999999999997</v>
      </c>
    </row>
    <row r="83" spans="2:3">
      <c r="B83" s="273" t="s">
        <v>803</v>
      </c>
      <c r="C83" s="274">
        <f ca="1">ROUND(C13/C40,3)</f>
        <v>0.28399999999999997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65" t="s">
        <v>2319</v>
      </c>
      <c r="K2" s="3666"/>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7" t="s">
        <v>2329</v>
      </c>
      <c r="K3" s="3668"/>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7" t="s">
        <v>2331</v>
      </c>
      <c r="K4" s="3668"/>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73" t="s">
        <v>2335</v>
      </c>
      <c r="B6" s="3674"/>
      <c r="C6" s="3675"/>
      <c r="D6" s="2870"/>
      <c r="E6" s="2871"/>
      <c r="F6" s="2872"/>
      <c r="G6" s="2873"/>
      <c r="H6" s="2848"/>
      <c r="I6" s="2849"/>
      <c r="J6" s="3659">
        <v>1</v>
      </c>
      <c r="K6" s="366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9"/>
      <c r="K7" s="3661"/>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6" t="s">
        <v>2349</v>
      </c>
      <c r="C8" s="3677"/>
      <c r="D8" s="2889" t="s">
        <v>2350</v>
      </c>
      <c r="E8" s="2890" t="s">
        <v>2351</v>
      </c>
      <c r="F8" s="2891" t="s">
        <v>2352</v>
      </c>
      <c r="G8" s="2892"/>
      <c r="H8" s="2848"/>
      <c r="I8" s="2849"/>
      <c r="J8" s="3659"/>
      <c r="K8" s="3661"/>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6" t="s">
        <v>2355</v>
      </c>
      <c r="C9" s="3677"/>
      <c r="D9" s="2889">
        <f>ROUND(D6*E9,0)</f>
        <v>0</v>
      </c>
      <c r="E9" s="2893"/>
      <c r="F9" s="2894" t="s">
        <v>2356</v>
      </c>
      <c r="G9" s="2873"/>
      <c r="H9" s="2848"/>
      <c r="I9" s="2849"/>
      <c r="J9" s="3659"/>
      <c r="K9" s="3661"/>
      <c r="L9" s="2883" t="s">
        <v>2357</v>
      </c>
      <c r="M9" s="2884"/>
      <c r="N9" s="2860"/>
      <c r="O9" s="2885"/>
      <c r="P9" s="2885"/>
      <c r="Q9" s="2886">
        <v>365</v>
      </c>
      <c r="R9" s="2887">
        <f t="shared" si="0"/>
        <v>0</v>
      </c>
      <c r="S9" s="2841"/>
      <c r="T9" s="2841"/>
      <c r="U9" s="2841"/>
      <c r="V9" s="2849"/>
    </row>
    <row r="10" spans="1:22" s="2853" customFormat="1" ht="13.15" customHeight="1">
      <c r="A10" s="2888">
        <v>2</v>
      </c>
      <c r="B10" s="3676" t="s">
        <v>2358</v>
      </c>
      <c r="C10" s="3677"/>
      <c r="D10" s="2889">
        <f>ROUND(D6*E10,0)</f>
        <v>0</v>
      </c>
      <c r="E10" s="2893"/>
      <c r="F10" s="2894" t="s">
        <v>2359</v>
      </c>
      <c r="G10" s="2873"/>
      <c r="H10" s="2848"/>
      <c r="I10" s="2849"/>
      <c r="J10" s="3659"/>
      <c r="K10" s="3661"/>
      <c r="L10" s="2883" t="s">
        <v>2360</v>
      </c>
      <c r="M10" s="2884"/>
      <c r="N10" s="2860"/>
      <c r="O10" s="2885"/>
      <c r="P10" s="2885"/>
      <c r="Q10" s="2886">
        <v>365</v>
      </c>
      <c r="R10" s="2887">
        <f t="shared" si="0"/>
        <v>0</v>
      </c>
      <c r="S10" s="2841"/>
      <c r="T10" s="2841"/>
      <c r="U10" s="2841"/>
      <c r="V10" s="2849"/>
    </row>
    <row r="11" spans="1:22" s="2853" customFormat="1" ht="13.15" customHeight="1">
      <c r="A11" s="2888">
        <v>3</v>
      </c>
      <c r="B11" s="3676" t="s">
        <v>2361</v>
      </c>
      <c r="C11" s="3677"/>
      <c r="D11" s="2889">
        <f>D12+D14+D15+D16</f>
        <v>0</v>
      </c>
      <c r="E11" s="2895" t="e">
        <f>D11/D6</f>
        <v>#DIV/0!</v>
      </c>
      <c r="F11" s="2891"/>
      <c r="G11" s="2892"/>
      <c r="H11" s="2848"/>
      <c r="I11" s="2849"/>
      <c r="J11" s="3659"/>
      <c r="K11" s="3661"/>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69" t="s">
        <v>2364</v>
      </c>
      <c r="C12" s="3670"/>
      <c r="D12" s="2897">
        <f>ROUND(D13*1.2%*(1-30%),0)</f>
        <v>0</v>
      </c>
      <c r="E12" s="2898">
        <v>1.2E-2</v>
      </c>
      <c r="F12" s="2891" t="s">
        <v>2365</v>
      </c>
      <c r="G12" s="2892"/>
      <c r="H12" s="2848"/>
      <c r="I12" s="2849"/>
      <c r="J12" s="3659"/>
      <c r="K12" s="3661"/>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9"/>
      <c r="K13" s="3661"/>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69" t="s">
        <v>2370</v>
      </c>
      <c r="C14" s="3670"/>
      <c r="D14" s="2897">
        <f>ROUND(E14*B5/10000,0)</f>
        <v>0</v>
      </c>
      <c r="E14" s="2886"/>
      <c r="F14" s="2891" t="s">
        <v>2371</v>
      </c>
      <c r="G14" s="2892"/>
      <c r="H14" s="2848"/>
      <c r="I14" s="2849"/>
      <c r="J14" s="3659"/>
      <c r="K14" s="3662"/>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69" t="s">
        <v>2374</v>
      </c>
      <c r="C15" s="3670"/>
      <c r="D15" s="2897">
        <f>ROUND(D6*E15,0)</f>
        <v>0</v>
      </c>
      <c r="E15" s="2898">
        <v>5.5E-2</v>
      </c>
      <c r="F15" s="2891" t="s">
        <v>2375</v>
      </c>
      <c r="G15" s="2873"/>
      <c r="H15" s="2848"/>
      <c r="I15" s="2849"/>
      <c r="J15" s="3659">
        <v>2</v>
      </c>
      <c r="K15" s="3660"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69" t="s">
        <v>2383</v>
      </c>
      <c r="C16" s="3670"/>
      <c r="D16" s="2908">
        <f>D6*E16</f>
        <v>0</v>
      </c>
      <c r="E16" s="2909"/>
      <c r="F16" s="2894" t="s">
        <v>2384</v>
      </c>
      <c r="G16" s="2873"/>
      <c r="H16" s="2848"/>
      <c r="I16" s="2849"/>
      <c r="J16" s="3659"/>
      <c r="K16" s="3661"/>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1" t="s">
        <v>2386</v>
      </c>
      <c r="C17" s="3672"/>
      <c r="D17" s="2911">
        <f>ROUND(D6*E17,0)</f>
        <v>0</v>
      </c>
      <c r="E17" s="2912"/>
      <c r="F17" s="2913" t="s">
        <v>2387</v>
      </c>
      <c r="G17" s="2873"/>
      <c r="H17" s="2848"/>
      <c r="I17" s="2849"/>
      <c r="J17" s="3659"/>
      <c r="K17" s="3661"/>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9"/>
      <c r="K18" s="3661"/>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9"/>
      <c r="K19" s="3662"/>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9">
        <v>3</v>
      </c>
      <c r="K20" s="3660"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9"/>
      <c r="K21" s="3661"/>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9"/>
      <c r="K22" s="3661"/>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9"/>
      <c r="K23" s="3661"/>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9"/>
      <c r="K24" s="3662"/>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3">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5" t="s">
        <v>2319</v>
      </c>
      <c r="K32" s="3666"/>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7" t="s">
        <v>2329</v>
      </c>
      <c r="K33" s="3668"/>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7" t="s">
        <v>2331</v>
      </c>
      <c r="K34" s="366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9">
        <v>1</v>
      </c>
      <c r="K36" s="3660"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9"/>
      <c r="K37" s="3661"/>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9"/>
      <c r="K38" s="3661"/>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9"/>
      <c r="K39" s="3661"/>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9"/>
      <c r="K40" s="3662"/>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1298.1032</v>
      </c>
      <c r="C2" s="1872" t="s">
        <v>1651</v>
      </c>
      <c r="D2" s="1873" t="s">
        <v>1652</v>
      </c>
      <c r="E2" s="2607">
        <f>SUM(E6:E13)</f>
        <v>720.67</v>
      </c>
      <c r="F2" s="2707"/>
      <c r="G2" s="1489"/>
      <c r="H2" s="1489"/>
      <c r="I2" s="1489"/>
      <c r="J2" s="1489"/>
      <c r="K2" s="1489"/>
      <c r="L2" s="1489"/>
      <c r="M2" s="1489"/>
      <c r="N2" s="1489"/>
      <c r="O2" s="1489"/>
      <c r="P2" s="1489"/>
      <c r="Q2" s="1489"/>
      <c r="R2" s="1489"/>
      <c r="S2" s="1489"/>
    </row>
    <row r="3" spans="1:22" ht="15.75">
      <c r="A3" s="1870" t="s">
        <v>686</v>
      </c>
      <c r="B3" s="2601">
        <f ca="1">ROUND(B2*10000/E2,0)</f>
        <v>18012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1298.1032</v>
      </c>
      <c r="C6" s="1872" t="s">
        <v>1651</v>
      </c>
      <c r="D6" s="2709"/>
      <c r="E6" s="2606">
        <f>IF(OR(A6=0,F6="否"),0,'数据-取费表'!K6+'数据-取费表'!S6)</f>
        <v>720.67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720.67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708" t="s">
        <v>1668</v>
      </c>
      <c r="S4" s="3709"/>
      <c r="T4" s="3708" t="s">
        <v>1669</v>
      </c>
      <c r="U4" s="3709"/>
      <c r="V4" s="3714" t="s">
        <v>1670</v>
      </c>
      <c r="W4" s="3714"/>
      <c r="X4" s="1355"/>
      <c r="Y4" s="3708" t="s">
        <v>1672</v>
      </c>
      <c r="Z4" s="3709"/>
      <c r="AA4" s="3695" t="s">
        <v>1668</v>
      </c>
      <c r="AB4" s="3695" t="s">
        <v>1669</v>
      </c>
      <c r="AC4" s="3695" t="s">
        <v>1670</v>
      </c>
    </row>
    <row r="5" spans="1:29" ht="15">
      <c r="A5" s="358"/>
      <c r="B5" s="359"/>
      <c r="C5" s="3717" t="s">
        <v>1673</v>
      </c>
      <c r="D5" s="3718"/>
      <c r="E5" s="3724" t="s">
        <v>1674</v>
      </c>
      <c r="F5" s="3725"/>
      <c r="G5" s="3717" t="s">
        <v>1675</v>
      </c>
      <c r="H5" s="3718"/>
      <c r="I5" s="3717" t="s">
        <v>1676</v>
      </c>
      <c r="J5" s="3718"/>
      <c r="K5" s="1890"/>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1890"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9" t="s">
        <v>1680</v>
      </c>
      <c r="Q7" s="3721"/>
      <c r="R7" s="701" t="s">
        <v>20</v>
      </c>
      <c r="S7" s="702">
        <f t="shared" ref="S7:S15" si="0">F7</f>
        <v>0</v>
      </c>
      <c r="T7" s="701" t="s">
        <v>20</v>
      </c>
      <c r="U7" s="702">
        <f t="shared" ref="U7:U15" si="1">H7</f>
        <v>0</v>
      </c>
      <c r="V7" s="701" t="s">
        <v>20</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9" t="s">
        <v>1683</v>
      </c>
      <c r="Q8" s="3720"/>
      <c r="R8" s="701" t="s">
        <v>20</v>
      </c>
      <c r="S8" s="702">
        <f t="shared" si="0"/>
        <v>100</v>
      </c>
      <c r="T8" s="701" t="s">
        <v>20</v>
      </c>
      <c r="U8" s="702">
        <f t="shared" si="1"/>
        <v>100</v>
      </c>
      <c r="V8" s="701" t="s">
        <v>20</v>
      </c>
      <c r="W8" s="702">
        <f t="shared" si="2"/>
        <v>100</v>
      </c>
      <c r="X8" s="703"/>
      <c r="Y8" s="3719" t="s">
        <v>1683</v>
      </c>
      <c r="Z8" s="372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4"/>
      <c r="Q11" s="1343" t="str">
        <f t="shared" si="6"/>
        <v>容积率</v>
      </c>
      <c r="R11" s="701" t="s">
        <v>18</v>
      </c>
      <c r="S11" s="702" t="e">
        <f t="shared" si="0"/>
        <v>#N/A</v>
      </c>
      <c r="T11" s="701" t="s">
        <v>18</v>
      </c>
      <c r="U11" s="702" t="e">
        <f t="shared" si="1"/>
        <v>#N/A</v>
      </c>
      <c r="V11" s="701" t="s">
        <v>18</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4"/>
      <c r="Q12" s="1343">
        <f t="shared" si="6"/>
        <v>111</v>
      </c>
      <c r="R12" s="701" t="s">
        <v>18</v>
      </c>
      <c r="S12" s="702">
        <f t="shared" si="0"/>
        <v>100</v>
      </c>
      <c r="T12" s="701" t="s">
        <v>18</v>
      </c>
      <c r="U12" s="702">
        <f t="shared" si="1"/>
        <v>100</v>
      </c>
      <c r="V12" s="701" t="s">
        <v>18</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4"/>
      <c r="Q13" s="1343">
        <f t="shared" si="6"/>
        <v>111</v>
      </c>
      <c r="R13" s="701" t="s">
        <v>18</v>
      </c>
      <c r="S13" s="702">
        <f t="shared" si="0"/>
        <v>100</v>
      </c>
      <c r="T13" s="701" t="s">
        <v>18</v>
      </c>
      <c r="U13" s="702">
        <f t="shared" si="1"/>
        <v>100</v>
      </c>
      <c r="V13" s="701" t="s">
        <v>18</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4"/>
      <c r="Q14" s="1343">
        <f t="shared" si="6"/>
        <v>111</v>
      </c>
      <c r="R14" s="701" t="s">
        <v>18</v>
      </c>
      <c r="S14" s="702">
        <f t="shared" si="0"/>
        <v>100</v>
      </c>
      <c r="T14" s="701" t="s">
        <v>18</v>
      </c>
      <c r="U14" s="702">
        <f t="shared" si="1"/>
        <v>100</v>
      </c>
      <c r="V14" s="701" t="s">
        <v>18</v>
      </c>
      <c r="W14" s="702">
        <f t="shared" si="2"/>
        <v>100</v>
      </c>
      <c r="X14" s="703"/>
      <c r="Y14" s="35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3"/>
      <c r="Q16" s="1352"/>
      <c r="R16" s="705"/>
      <c r="S16" s="706"/>
      <c r="T16" s="705"/>
      <c r="U16" s="706"/>
      <c r="V16" s="705"/>
      <c r="W16" s="706"/>
      <c r="X16" s="1355"/>
      <c r="Y16" s="368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3"/>
      <c r="Q22" s="1352"/>
      <c r="R22" s="705"/>
      <c r="S22" s="706"/>
      <c r="T22" s="705"/>
      <c r="U22" s="706"/>
      <c r="V22" s="705"/>
      <c r="W22" s="706"/>
      <c r="X22" s="1355"/>
      <c r="Y22" s="368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3"/>
      <c r="Q26" s="1352" t="str">
        <f t="shared" si="11"/>
        <v>朝向</v>
      </c>
      <c r="R26" s="705" t="s">
        <v>18</v>
      </c>
      <c r="S26" s="706">
        <f t="shared" si="12"/>
        <v>100</v>
      </c>
      <c r="T26" s="705" t="s">
        <v>18</v>
      </c>
      <c r="U26" s="706">
        <f t="shared" si="13"/>
        <v>100</v>
      </c>
      <c r="V26" s="705" t="s">
        <v>18</v>
      </c>
      <c r="W26" s="706">
        <f t="shared" si="14"/>
        <v>100</v>
      </c>
      <c r="X26" s="1355"/>
      <c r="Y26" s="368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3"/>
      <c r="Q27" s="1343">
        <f t="shared" si="11"/>
        <v>111</v>
      </c>
      <c r="R27" s="701" t="s">
        <v>18</v>
      </c>
      <c r="S27" s="702">
        <f t="shared" si="12"/>
        <v>100</v>
      </c>
      <c r="T27" s="701" t="s">
        <v>18</v>
      </c>
      <c r="U27" s="702">
        <f t="shared" si="13"/>
        <v>100</v>
      </c>
      <c r="V27" s="701" t="s">
        <v>18</v>
      </c>
      <c r="W27" s="702">
        <f t="shared" si="14"/>
        <v>100</v>
      </c>
      <c r="X27" s="703"/>
      <c r="Y27" s="368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8"/>
      <c r="Q33" s="707" t="str">
        <f t="shared" si="11"/>
        <v>项目建筑规模</v>
      </c>
      <c r="R33" s="708" t="s">
        <v>18</v>
      </c>
      <c r="S33" s="709" t="e">
        <f t="shared" si="12"/>
        <v>#N/A</v>
      </c>
      <c r="T33" s="708" t="s">
        <v>18</v>
      </c>
      <c r="U33" s="709" t="e">
        <f t="shared" si="13"/>
        <v>#N/A</v>
      </c>
      <c r="V33" s="708" t="s">
        <v>18</v>
      </c>
      <c r="W33" s="709" t="e">
        <f t="shared" si="14"/>
        <v>#N/A</v>
      </c>
      <c r="X33" s="710"/>
      <c r="Y33" s="369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8"/>
      <c r="Q37" s="1343" t="str">
        <f t="shared" si="11"/>
        <v>成新度</v>
      </c>
      <c r="R37" s="701" t="s">
        <v>18</v>
      </c>
      <c r="S37" s="702" t="e">
        <f t="shared" si="12"/>
        <v>#N/A</v>
      </c>
      <c r="T37" s="701" t="s">
        <v>18</v>
      </c>
      <c r="U37" s="702" t="e">
        <f t="shared" si="13"/>
        <v>#N/A</v>
      </c>
      <c r="V37" s="701" t="s">
        <v>18</v>
      </c>
      <c r="W37" s="702" t="e">
        <f t="shared" si="14"/>
        <v>#N/A</v>
      </c>
      <c r="X37" s="703"/>
      <c r="Y37" s="369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3" t="str">
        <f>A47</f>
        <v>成交单价（元/平方米）</v>
      </c>
      <c r="Q47" s="3683"/>
      <c r="R47" s="3684">
        <f>E47</f>
        <v>0</v>
      </c>
      <c r="S47" s="3684"/>
      <c r="T47" s="3684">
        <f>G47</f>
        <v>0</v>
      </c>
      <c r="U47" s="3684"/>
      <c r="V47" s="3684">
        <f>I47</f>
        <v>0</v>
      </c>
      <c r="W47" s="368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720.67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714"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714"/>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714"/>
      <c r="AC6" s="3697"/>
    </row>
    <row r="7" spans="1:29" s="108" customFormat="1" ht="15.75" thickBot="1">
      <c r="A7" s="362" t="s">
        <v>1679</v>
      </c>
      <c r="B7" s="363"/>
      <c r="C7" s="364">
        <f>'数据-取费表'!B2</f>
        <v>45511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4"/>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3"/>
      <c r="Q22" s="1352"/>
      <c r="R22" s="705"/>
      <c r="S22" s="706"/>
      <c r="T22" s="705"/>
      <c r="U22" s="706"/>
      <c r="V22" s="705"/>
      <c r="W22" s="706"/>
      <c r="X22" s="1355"/>
      <c r="Y22" s="368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3" t="str">
        <f>A47</f>
        <v>成交单价（元/平方米）</v>
      </c>
      <c r="Q47" s="3683"/>
      <c r="R47" s="3714">
        <f>E47</f>
        <v>0</v>
      </c>
      <c r="S47" s="3714"/>
      <c r="T47" s="3714">
        <f>G47</f>
        <v>0</v>
      </c>
      <c r="U47" s="3714"/>
      <c r="V47" s="3714">
        <f>I47</f>
        <v>0</v>
      </c>
      <c r="W47" s="371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720.67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36" t="s">
        <v>1771</v>
      </c>
      <c r="S4" s="3737"/>
      <c r="T4" s="3736" t="s">
        <v>1772</v>
      </c>
      <c r="U4" s="3737"/>
      <c r="V4" s="3738" t="s">
        <v>1773</v>
      </c>
      <c r="W4" s="3738"/>
      <c r="X4" s="1958"/>
      <c r="Y4" s="3736" t="s">
        <v>1775</v>
      </c>
      <c r="Z4" s="3737"/>
      <c r="AA4" s="3740" t="s">
        <v>1771</v>
      </c>
      <c r="AB4" s="3740" t="s">
        <v>1772</v>
      </c>
      <c r="AC4" s="3729" t="s">
        <v>1773</v>
      </c>
    </row>
    <row r="5" spans="1:29" ht="15">
      <c r="A5" s="358"/>
      <c r="B5" s="359"/>
      <c r="C5" s="3717" t="s">
        <v>1673</v>
      </c>
      <c r="D5" s="3718"/>
      <c r="E5" s="3724" t="s">
        <v>1674</v>
      </c>
      <c r="F5" s="3725"/>
      <c r="G5" s="3717" t="s">
        <v>1675</v>
      </c>
      <c r="H5" s="3718"/>
      <c r="I5" s="3717" t="s">
        <v>1676</v>
      </c>
      <c r="J5" s="3718"/>
      <c r="K5" s="559"/>
      <c r="L5" s="2715"/>
      <c r="M5" s="2716"/>
      <c r="N5" s="2716"/>
      <c r="O5" s="2716"/>
      <c r="P5" s="3734"/>
      <c r="Q5" s="3705"/>
      <c r="R5" s="3710"/>
      <c r="S5" s="3711"/>
      <c r="T5" s="3710"/>
      <c r="U5" s="3711"/>
      <c r="V5" s="3714"/>
      <c r="W5" s="3714"/>
      <c r="X5" s="1355"/>
      <c r="Y5" s="3710"/>
      <c r="Z5" s="3711"/>
      <c r="AA5" s="3696"/>
      <c r="AB5" s="3696"/>
      <c r="AC5" s="3730"/>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35"/>
      <c r="Q6" s="3707"/>
      <c r="R6" s="3710"/>
      <c r="S6" s="3711"/>
      <c r="T6" s="3712"/>
      <c r="U6" s="3713"/>
      <c r="V6" s="3714"/>
      <c r="W6" s="3714"/>
      <c r="X6" s="1355"/>
      <c r="Y6" s="3712"/>
      <c r="Z6" s="3713"/>
      <c r="AA6" s="3697"/>
      <c r="AB6" s="3697"/>
      <c r="AC6" s="3731"/>
    </row>
    <row r="7" spans="1:29" s="108" customFormat="1" ht="15.75" thickBot="1">
      <c r="A7" s="362" t="s">
        <v>1679</v>
      </c>
      <c r="B7" s="363"/>
      <c r="C7" s="364">
        <f>'数据-取费表'!B2</f>
        <v>45511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9" t="s">
        <v>1683</v>
      </c>
      <c r="Q8" s="3720"/>
      <c r="R8" s="701" t="s">
        <v>14</v>
      </c>
      <c r="S8" s="702">
        <f t="shared" si="0"/>
        <v>100</v>
      </c>
      <c r="T8" s="701" t="s">
        <v>14</v>
      </c>
      <c r="U8" s="702">
        <f t="shared" si="1"/>
        <v>100</v>
      </c>
      <c r="V8" s="701" t="s">
        <v>14</v>
      </c>
      <c r="W8" s="702">
        <f t="shared" si="2"/>
        <v>100</v>
      </c>
      <c r="X8" s="703"/>
      <c r="Y8" s="3719" t="s">
        <v>1683</v>
      </c>
      <c r="Z8" s="372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4"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4"/>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4"/>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4"/>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4"/>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4"/>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3"/>
      <c r="Q16" s="1352"/>
      <c r="R16" s="705"/>
      <c r="S16" s="706"/>
      <c r="T16" s="705"/>
      <c r="U16" s="706"/>
      <c r="V16" s="705"/>
      <c r="W16" s="706"/>
      <c r="X16" s="1355"/>
      <c r="Y16" s="368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3"/>
      <c r="Q18" s="1352"/>
      <c r="R18" s="705"/>
      <c r="S18" s="706"/>
      <c r="T18" s="705"/>
      <c r="U18" s="706"/>
      <c r="V18" s="705"/>
      <c r="W18" s="706"/>
      <c r="X18" s="1355"/>
      <c r="Y18" s="368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3"/>
      <c r="Q20" s="1352"/>
      <c r="R20" s="705"/>
      <c r="S20" s="706"/>
      <c r="T20" s="705"/>
      <c r="U20" s="706"/>
      <c r="V20" s="705"/>
      <c r="W20" s="706"/>
      <c r="X20" s="1355"/>
      <c r="Y20" s="368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3"/>
      <c r="Q22" s="1352"/>
      <c r="R22" s="705"/>
      <c r="S22" s="706"/>
      <c r="T22" s="705"/>
      <c r="U22" s="706"/>
      <c r="V22" s="705"/>
      <c r="W22" s="706"/>
      <c r="X22" s="1355"/>
      <c r="Y22" s="368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3"/>
      <c r="Q24" s="1352"/>
      <c r="R24" s="705"/>
      <c r="S24" s="706"/>
      <c r="T24" s="705"/>
      <c r="U24" s="706"/>
      <c r="V24" s="705"/>
      <c r="W24" s="706"/>
      <c r="X24" s="1355"/>
      <c r="Y24" s="368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3"/>
      <c r="Q26" s="1352"/>
      <c r="R26" s="705"/>
      <c r="S26" s="706"/>
      <c r="T26" s="705"/>
      <c r="U26" s="706"/>
      <c r="V26" s="705"/>
      <c r="W26" s="706"/>
      <c r="X26" s="1355"/>
      <c r="Y26" s="368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4"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4"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720.67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913"/>
      <c r="M5" s="914"/>
      <c r="N5" s="914"/>
      <c r="O5" s="914"/>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913"/>
      <c r="M6" s="914"/>
      <c r="N6" s="914"/>
      <c r="O6" s="914"/>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45511</v>
      </c>
      <c r="D7" s="365">
        <v>100</v>
      </c>
      <c r="E7" s="366"/>
      <c r="F7" s="367">
        <f>SUMIF(52:52,YEAR(E7)&amp;"-"&amp;MONTH(E7),53:53)</f>
        <v>0</v>
      </c>
      <c r="G7" s="366"/>
      <c r="H7" s="365">
        <f>SUMIF(52:52,YEAR(G7)&amp;"-"&amp;MONTH(G7),53:53)</f>
        <v>0</v>
      </c>
      <c r="I7" s="366"/>
      <c r="J7" s="365">
        <f>SUMIF(52:52,YEAR(I7)&amp;"-"&amp;MONTH(I7),53:53)</f>
        <v>0</v>
      </c>
      <c r="K7" s="560"/>
      <c r="L7" s="915"/>
      <c r="M7" s="916"/>
      <c r="N7" s="916"/>
      <c r="O7" s="916"/>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9" t="s">
        <v>1683</v>
      </c>
      <c r="Q8" s="3720"/>
      <c r="R8" s="701" t="s">
        <v>14</v>
      </c>
      <c r="S8" s="702">
        <f t="shared" si="0"/>
        <v>100</v>
      </c>
      <c r="T8" s="701" t="s">
        <v>14</v>
      </c>
      <c r="U8" s="702">
        <f t="shared" si="1"/>
        <v>100</v>
      </c>
      <c r="V8" s="701" t="s">
        <v>14</v>
      </c>
      <c r="W8" s="702">
        <f t="shared" si="2"/>
        <v>100</v>
      </c>
      <c r="X8" s="703"/>
      <c r="Y8" s="3719" t="s">
        <v>1683</v>
      </c>
      <c r="Z8" s="372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5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3"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3"/>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6"/>
      <c r="Q15" s="1352"/>
      <c r="R15" s="705"/>
      <c r="S15" s="706"/>
      <c r="T15" s="705"/>
      <c r="U15" s="706"/>
      <c r="V15" s="705"/>
      <c r="W15" s="706"/>
      <c r="X15" s="1355"/>
      <c r="Y15" s="368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6"/>
      <c r="Q17" s="1352"/>
      <c r="R17" s="705"/>
      <c r="S17" s="706"/>
      <c r="T17" s="705"/>
      <c r="U17" s="706"/>
      <c r="V17" s="705"/>
      <c r="W17" s="706"/>
      <c r="X17" s="1355"/>
      <c r="Y17" s="368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6"/>
      <c r="Q19" s="1352"/>
      <c r="R19" s="705"/>
      <c r="S19" s="706"/>
      <c r="T19" s="705"/>
      <c r="U19" s="706"/>
      <c r="V19" s="705"/>
      <c r="W19" s="706"/>
      <c r="X19" s="1355"/>
      <c r="Y19" s="368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0" t="str">
        <f>A39</f>
        <v>估价对象XX用房的比较价值（楼面单价，元/平方米）</v>
      </c>
      <c r="Q39" s="3681"/>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9" t="s">
        <v>1680</v>
      </c>
      <c r="Q7" s="3721"/>
      <c r="R7" s="701" t="s">
        <v>14</v>
      </c>
      <c r="S7" s="702">
        <f t="shared" ref="S7:S14" si="0">F7</f>
        <v>0</v>
      </c>
      <c r="T7" s="701" t="s">
        <v>14</v>
      </c>
      <c r="U7" s="702">
        <f t="shared" ref="U7:U14" si="1">H7</f>
        <v>0</v>
      </c>
      <c r="V7" s="701" t="s">
        <v>14</v>
      </c>
      <c r="W7" s="702">
        <f t="shared" ref="W7:W14" si="2">J7</f>
        <v>0</v>
      </c>
      <c r="X7" s="703"/>
      <c r="Y7" s="3719" t="s">
        <v>1680</v>
      </c>
      <c r="Z7" s="372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9" t="s">
        <v>1683</v>
      </c>
      <c r="Q8" s="3720"/>
      <c r="R8" s="701" t="s">
        <v>14</v>
      </c>
      <c r="S8" s="702">
        <f t="shared" si="0"/>
        <v>100</v>
      </c>
      <c r="T8" s="701" t="s">
        <v>14</v>
      </c>
      <c r="U8" s="702">
        <f t="shared" si="1"/>
        <v>100</v>
      </c>
      <c r="V8" s="701" t="s">
        <v>14</v>
      </c>
      <c r="W8" s="702">
        <f t="shared" si="2"/>
        <v>100</v>
      </c>
      <c r="X8" s="703"/>
      <c r="Y8" s="3719" t="s">
        <v>1683</v>
      </c>
      <c r="Z8" s="372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3" t="s">
        <v>1686</v>
      </c>
      <c r="Q9" s="1343" t="str">
        <f t="shared" ref="Q9:Q14" si="6">B9</f>
        <v>用途</v>
      </c>
      <c r="R9" s="701" t="s">
        <v>14</v>
      </c>
      <c r="S9" s="702">
        <f t="shared" si="0"/>
        <v>100</v>
      </c>
      <c r="T9" s="701" t="s">
        <v>14</v>
      </c>
      <c r="U9" s="702">
        <f t="shared" si="1"/>
        <v>100</v>
      </c>
      <c r="V9" s="701" t="s">
        <v>14</v>
      </c>
      <c r="W9" s="702">
        <f t="shared" si="2"/>
        <v>100</v>
      </c>
      <c r="X9" s="703"/>
      <c r="Y9" s="35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3"/>
      <c r="Q10" s="1343" t="str">
        <f t="shared" si="6"/>
        <v>土地使用年限（年）</v>
      </c>
      <c r="R10" s="701" t="s">
        <v>14</v>
      </c>
      <c r="S10" s="702">
        <f t="shared" si="0"/>
        <v>100</v>
      </c>
      <c r="T10" s="701" t="s">
        <v>14</v>
      </c>
      <c r="U10" s="702">
        <f t="shared" si="1"/>
        <v>100</v>
      </c>
      <c r="V10" s="701" t="s">
        <v>14</v>
      </c>
      <c r="W10" s="702">
        <f t="shared" si="2"/>
        <v>100</v>
      </c>
      <c r="X10" s="703"/>
      <c r="Y10" s="35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3"/>
      <c r="Q11" s="1343">
        <f t="shared" si="6"/>
        <v>111</v>
      </c>
      <c r="R11" s="701" t="s">
        <v>14</v>
      </c>
      <c r="S11" s="702">
        <f t="shared" si="0"/>
        <v>100</v>
      </c>
      <c r="T11" s="701" t="s">
        <v>14</v>
      </c>
      <c r="U11" s="702">
        <f t="shared" si="1"/>
        <v>100</v>
      </c>
      <c r="V11" s="701" t="s">
        <v>14</v>
      </c>
      <c r="W11" s="702">
        <f t="shared" si="2"/>
        <v>100</v>
      </c>
      <c r="X11" s="703"/>
      <c r="Y11" s="35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6"/>
      <c r="Q15" s="1352"/>
      <c r="R15" s="705"/>
      <c r="S15" s="706"/>
      <c r="T15" s="705"/>
      <c r="U15" s="706"/>
      <c r="V15" s="705"/>
      <c r="W15" s="706"/>
      <c r="X15" s="1355"/>
      <c r="Y15" s="368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6"/>
      <c r="Q17" s="1352"/>
      <c r="R17" s="705"/>
      <c r="S17" s="706"/>
      <c r="T17" s="705"/>
      <c r="U17" s="706"/>
      <c r="V17" s="705"/>
      <c r="W17" s="706"/>
      <c r="X17" s="1355"/>
      <c r="Y17" s="368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6"/>
      <c r="Q19" s="1352"/>
      <c r="R19" s="705"/>
      <c r="S19" s="706"/>
      <c r="T19" s="705"/>
      <c r="U19" s="706"/>
      <c r="V19" s="705"/>
      <c r="W19" s="706"/>
      <c r="X19" s="1355"/>
      <c r="Y19" s="368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0" t="str">
        <f>A37</f>
        <v>估价对象XX用房的比较价值（楼面单价，元/平方米）</v>
      </c>
      <c r="Q37" s="3681"/>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30"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30" ht="15.75" thickBot="1">
      <c r="A6" s="360"/>
      <c r="B6" s="361"/>
      <c r="C6" s="3715" t="s">
        <v>1677</v>
      </c>
      <c r="D6" s="3716"/>
      <c r="E6" s="3722" t="s">
        <v>1677</v>
      </c>
      <c r="F6" s="3723"/>
      <c r="G6" s="3715" t="s">
        <v>1677</v>
      </c>
      <c r="H6" s="3716"/>
      <c r="I6" s="3715" t="s">
        <v>1677</v>
      </c>
      <c r="J6" s="3716"/>
      <c r="K6" s="559" t="s">
        <v>1678</v>
      </c>
      <c r="L6" s="2715"/>
      <c r="M6" s="2716"/>
      <c r="N6" s="2716"/>
      <c r="O6" s="2716"/>
      <c r="P6" s="3706"/>
      <c r="Q6" s="3707"/>
      <c r="R6" s="3710"/>
      <c r="S6" s="3711"/>
      <c r="T6" s="3712"/>
      <c r="U6" s="3713"/>
      <c r="V6" s="3714"/>
      <c r="W6" s="3714"/>
      <c r="X6" s="1355"/>
      <c r="Y6" s="3712"/>
      <c r="Z6" s="3713"/>
      <c r="AA6" s="3697"/>
      <c r="AB6" s="3697"/>
      <c r="AC6" s="3697"/>
    </row>
    <row r="7" spans="1:30" s="108" customFormat="1" ht="15.75" thickBot="1">
      <c r="A7" s="362" t="s">
        <v>1679</v>
      </c>
      <c r="B7" s="363"/>
      <c r="C7" s="364">
        <f>'数据-取费表'!B2</f>
        <v>45511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683"/>
      <c r="Q10" s="1343" t="str">
        <f t="shared" si="6"/>
        <v>土地使用年限（年）</v>
      </c>
      <c r="R10" s="701" t="s">
        <v>14</v>
      </c>
      <c r="S10" s="702">
        <f t="shared" si="0"/>
        <v>138</v>
      </c>
      <c r="T10" s="701" t="s">
        <v>14</v>
      </c>
      <c r="U10" s="702">
        <f t="shared" si="1"/>
        <v>138</v>
      </c>
      <c r="V10" s="701" t="s">
        <v>14</v>
      </c>
      <c r="W10" s="702">
        <f t="shared" si="2"/>
        <v>138</v>
      </c>
      <c r="X10" s="703"/>
      <c r="Y10" s="3549"/>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3"/>
      <c r="Q12" s="1343" t="str">
        <f t="shared" si="6"/>
        <v>配建</v>
      </c>
      <c r="R12" s="701" t="s">
        <v>14</v>
      </c>
      <c r="S12" s="702">
        <f t="shared" si="0"/>
        <v>100</v>
      </c>
      <c r="T12" s="701" t="s">
        <v>14</v>
      </c>
      <c r="U12" s="702">
        <f t="shared" si="1"/>
        <v>100</v>
      </c>
      <c r="V12" s="701" t="s">
        <v>14</v>
      </c>
      <c r="W12" s="702">
        <f t="shared" si="2"/>
        <v>100</v>
      </c>
      <c r="X12" s="703"/>
      <c r="Y12" s="35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6"/>
      <c r="Q20" s="1352"/>
      <c r="R20" s="705"/>
      <c r="S20" s="706"/>
      <c r="T20" s="705"/>
      <c r="U20" s="706"/>
      <c r="V20" s="705"/>
      <c r="W20" s="706"/>
      <c r="X20" s="1355"/>
      <c r="Y20" s="368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6"/>
      <c r="Q24" s="1352"/>
      <c r="R24" s="705"/>
      <c r="S24" s="706"/>
      <c r="T24" s="705"/>
      <c r="U24" s="706"/>
      <c r="V24" s="705"/>
      <c r="W24" s="706"/>
      <c r="X24" s="1355"/>
      <c r="Y24" s="368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6"/>
      <c r="Q26" s="1352"/>
      <c r="R26" s="705"/>
      <c r="S26" s="706"/>
      <c r="T26" s="705"/>
      <c r="U26" s="706"/>
      <c r="V26" s="705"/>
      <c r="W26" s="706"/>
      <c r="X26" s="1355"/>
      <c r="Y26" s="368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3" t="str">
        <f>A46</f>
        <v>成交单价</v>
      </c>
      <c r="Q46" s="3683"/>
      <c r="R46" s="3714">
        <f>E46</f>
        <v>0</v>
      </c>
      <c r="S46" s="3714"/>
      <c r="T46" s="3714">
        <f>G46</f>
        <v>0</v>
      </c>
      <c r="U46" s="3714"/>
      <c r="V46" s="3714">
        <f>I46</f>
        <v>0</v>
      </c>
      <c r="W46" s="371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3" t="str">
        <f>A47</f>
        <v>比较价值（元/平方米）</v>
      </c>
      <c r="Q47" s="3683"/>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0" t="str">
        <f>A48</f>
        <v>估价对象XX用房的比较价值（楼面单价，元/平方米）</v>
      </c>
      <c r="Q48" s="3681"/>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720.67</v>
      </c>
      <c r="F56" s="886" t="e">
        <f t="shared" ref="F56:F64" si="15">ROUND(B56*E56/10000,0)</f>
        <v>#DIV/0!</v>
      </c>
      <c r="G56" s="3694"/>
      <c r="H56" s="368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720.67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708" t="s">
        <v>1771</v>
      </c>
      <c r="S4" s="3709"/>
      <c r="T4" s="3708" t="s">
        <v>1772</v>
      </c>
      <c r="U4" s="3709"/>
      <c r="V4" s="3714" t="s">
        <v>1773</v>
      </c>
      <c r="W4" s="3714"/>
      <c r="X4" s="1355"/>
      <c r="Y4" s="3708" t="s">
        <v>1775</v>
      </c>
      <c r="Z4" s="3709"/>
      <c r="AA4" s="3695" t="s">
        <v>1771</v>
      </c>
      <c r="AB4" s="3696" t="s">
        <v>1772</v>
      </c>
      <c r="AC4" s="3695" t="s">
        <v>1773</v>
      </c>
    </row>
    <row r="5" spans="1:29" ht="15">
      <c r="A5" s="358"/>
      <c r="B5" s="359"/>
      <c r="C5" s="3717" t="s">
        <v>1673</v>
      </c>
      <c r="D5" s="3718"/>
      <c r="E5" s="3724" t="s">
        <v>1674</v>
      </c>
      <c r="F5" s="3725"/>
      <c r="G5" s="3717" t="s">
        <v>1675</v>
      </c>
      <c r="H5" s="3718"/>
      <c r="I5" s="3717" t="s">
        <v>1676</v>
      </c>
      <c r="J5" s="3718"/>
      <c r="K5" s="559"/>
      <c r="L5" s="2715"/>
      <c r="M5" s="2716"/>
      <c r="N5" s="2716"/>
      <c r="O5" s="2716"/>
      <c r="P5" s="3704"/>
      <c r="Q5" s="3705"/>
      <c r="R5" s="3710"/>
      <c r="S5" s="3711"/>
      <c r="T5" s="3710"/>
      <c r="U5" s="3711"/>
      <c r="V5" s="3714"/>
      <c r="W5" s="3714"/>
      <c r="X5" s="1355"/>
      <c r="Y5" s="3710"/>
      <c r="Z5" s="3711"/>
      <c r="AA5" s="3696"/>
      <c r="AB5" s="3696"/>
      <c r="AC5" s="3696"/>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710"/>
      <c r="S6" s="3711"/>
      <c r="T6" s="3712"/>
      <c r="U6" s="3713"/>
      <c r="V6" s="3714"/>
      <c r="W6" s="3714"/>
      <c r="X6" s="1355"/>
      <c r="Y6" s="3712"/>
      <c r="Z6" s="3713"/>
      <c r="AA6" s="3697"/>
      <c r="AB6" s="3697"/>
      <c r="AC6" s="3697"/>
    </row>
    <row r="7" spans="1:29" s="108" customFormat="1" ht="15.75" thickBot="1">
      <c r="A7" s="362" t="s">
        <v>1679</v>
      </c>
      <c r="B7" s="363"/>
      <c r="C7" s="364">
        <f>'数据-取费表'!B2</f>
        <v>45511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9" t="s">
        <v>1680</v>
      </c>
      <c r="Q7" s="3721"/>
      <c r="R7" s="701" t="s">
        <v>14</v>
      </c>
      <c r="S7" s="702">
        <f t="shared" ref="S7:S15" si="0">F7</f>
        <v>0</v>
      </c>
      <c r="T7" s="701" t="s">
        <v>14</v>
      </c>
      <c r="U7" s="702">
        <f t="shared" ref="U7:U15" si="1">H7</f>
        <v>0</v>
      </c>
      <c r="V7" s="701" t="s">
        <v>14</v>
      </c>
      <c r="W7" s="702">
        <f t="shared" ref="W7:W15" si="2">J7</f>
        <v>0</v>
      </c>
      <c r="X7" s="703"/>
      <c r="Y7" s="3719" t="s">
        <v>1680</v>
      </c>
      <c r="Z7" s="372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9" t="s">
        <v>1683</v>
      </c>
      <c r="Q8" s="3720"/>
      <c r="R8" s="701" t="s">
        <v>14</v>
      </c>
      <c r="S8" s="702">
        <f t="shared" si="0"/>
        <v>0</v>
      </c>
      <c r="T8" s="701" t="s">
        <v>14</v>
      </c>
      <c r="U8" s="702">
        <f t="shared" si="1"/>
        <v>0</v>
      </c>
      <c r="V8" s="701" t="s">
        <v>14</v>
      </c>
      <c r="W8" s="702">
        <f t="shared" si="2"/>
        <v>0</v>
      </c>
      <c r="X8" s="703"/>
      <c r="Y8" s="3719" t="s">
        <v>1683</v>
      </c>
      <c r="Z8" s="372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3" t="s">
        <v>1686</v>
      </c>
      <c r="Q9" s="1343" t="str">
        <f t="shared" ref="Q9:Q15" si="6">B9</f>
        <v>用途</v>
      </c>
      <c r="R9" s="701" t="s">
        <v>14</v>
      </c>
      <c r="S9" s="702">
        <f t="shared" si="0"/>
        <v>100</v>
      </c>
      <c r="T9" s="701" t="s">
        <v>14</v>
      </c>
      <c r="U9" s="702">
        <f t="shared" si="1"/>
        <v>100</v>
      </c>
      <c r="V9" s="701" t="s">
        <v>14</v>
      </c>
      <c r="W9" s="702">
        <f t="shared" si="2"/>
        <v>100</v>
      </c>
      <c r="X9" s="703"/>
      <c r="Y9" s="35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683"/>
      <c r="Q10" s="1343" t="str">
        <f t="shared" si="6"/>
        <v>土地使用年限（年）</v>
      </c>
      <c r="R10" s="701" t="s">
        <v>14</v>
      </c>
      <c r="S10" s="702">
        <f t="shared" si="0"/>
        <v>138</v>
      </c>
      <c r="T10" s="701" t="s">
        <v>14</v>
      </c>
      <c r="U10" s="702">
        <f t="shared" si="1"/>
        <v>138</v>
      </c>
      <c r="V10" s="701" t="s">
        <v>14</v>
      </c>
      <c r="W10" s="702">
        <f t="shared" si="2"/>
        <v>138</v>
      </c>
      <c r="X10" s="703"/>
      <c r="Y10" s="3549"/>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3"/>
      <c r="Q11" s="1343" t="str">
        <f t="shared" si="6"/>
        <v>容积率</v>
      </c>
      <c r="R11" s="701" t="s">
        <v>14</v>
      </c>
      <c r="S11" s="702" t="e">
        <f t="shared" si="0"/>
        <v>#N/A</v>
      </c>
      <c r="T11" s="701" t="s">
        <v>14</v>
      </c>
      <c r="U11" s="702" t="e">
        <f t="shared" si="1"/>
        <v>#N/A</v>
      </c>
      <c r="V11" s="701" t="s">
        <v>14</v>
      </c>
      <c r="W11" s="702" t="e">
        <f t="shared" si="2"/>
        <v>#N/A</v>
      </c>
      <c r="X11" s="703"/>
      <c r="Y11" s="35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3"/>
      <c r="Q12" s="1343">
        <f t="shared" si="6"/>
        <v>111</v>
      </c>
      <c r="R12" s="701" t="s">
        <v>14</v>
      </c>
      <c r="S12" s="702">
        <f t="shared" si="0"/>
        <v>100</v>
      </c>
      <c r="T12" s="701" t="s">
        <v>14</v>
      </c>
      <c r="U12" s="702">
        <f t="shared" si="1"/>
        <v>100</v>
      </c>
      <c r="V12" s="701" t="s">
        <v>14</v>
      </c>
      <c r="W12" s="702">
        <f t="shared" si="2"/>
        <v>100</v>
      </c>
      <c r="X12" s="703"/>
      <c r="Y12" s="35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3"/>
      <c r="Q13" s="1343">
        <f t="shared" si="6"/>
        <v>111</v>
      </c>
      <c r="R13" s="701" t="s">
        <v>14</v>
      </c>
      <c r="S13" s="702">
        <f t="shared" si="0"/>
        <v>100</v>
      </c>
      <c r="T13" s="701" t="s">
        <v>14</v>
      </c>
      <c r="U13" s="702">
        <f t="shared" si="1"/>
        <v>100</v>
      </c>
      <c r="V13" s="701" t="s">
        <v>14</v>
      </c>
      <c r="W13" s="702">
        <f t="shared" si="2"/>
        <v>100</v>
      </c>
      <c r="X13" s="703"/>
      <c r="Y13" s="35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3"/>
      <c r="Q14" s="1343">
        <f t="shared" si="6"/>
        <v>111</v>
      </c>
      <c r="R14" s="701" t="s">
        <v>14</v>
      </c>
      <c r="S14" s="702">
        <f t="shared" si="0"/>
        <v>100</v>
      </c>
      <c r="T14" s="701" t="s">
        <v>14</v>
      </c>
      <c r="U14" s="702">
        <f t="shared" si="1"/>
        <v>100</v>
      </c>
      <c r="V14" s="701" t="s">
        <v>14</v>
      </c>
      <c r="W14" s="702">
        <f t="shared" si="2"/>
        <v>100</v>
      </c>
      <c r="X14" s="703"/>
      <c r="Y14" s="35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6"/>
      <c r="Q16" s="1352"/>
      <c r="R16" s="705"/>
      <c r="S16" s="706"/>
      <c r="T16" s="705"/>
      <c r="U16" s="706"/>
      <c r="V16" s="705"/>
      <c r="W16" s="706"/>
      <c r="X16" s="1355"/>
      <c r="Y16" s="368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6"/>
      <c r="Q18" s="1352"/>
      <c r="R18" s="705"/>
      <c r="S18" s="706"/>
      <c r="T18" s="705"/>
      <c r="U18" s="706"/>
      <c r="V18" s="705"/>
      <c r="W18" s="706"/>
      <c r="X18" s="1355"/>
      <c r="Y18" s="368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6"/>
      <c r="Q20" s="1352"/>
      <c r="R20" s="705"/>
      <c r="S20" s="706"/>
      <c r="T20" s="705"/>
      <c r="U20" s="706"/>
      <c r="V20" s="705"/>
      <c r="W20" s="706"/>
      <c r="X20" s="1355"/>
      <c r="Y20" s="368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3" t="str">
        <f>A41</f>
        <v>成交单价</v>
      </c>
      <c r="Q41" s="3683"/>
      <c r="R41" s="3714">
        <f>E41</f>
        <v>0</v>
      </c>
      <c r="S41" s="3714"/>
      <c r="T41" s="3714">
        <f>G41</f>
        <v>0</v>
      </c>
      <c r="U41" s="3714"/>
      <c r="V41" s="3714">
        <f>I41</f>
        <v>0</v>
      </c>
      <c r="W41" s="371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3" t="str">
        <f>A42</f>
        <v>比较价值（元/平方米）</v>
      </c>
      <c r="Q42" s="3683"/>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0" t="str">
        <f>A43</f>
        <v>估价对象XX用房的比较价值（楼面单价，元/平方米）</v>
      </c>
      <c r="Q43" s="3681"/>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720.67</v>
      </c>
      <c r="F51" s="639" t="e">
        <f t="shared" ref="F51:F60" si="15">ROUND(B51*E51/10000,0)</f>
        <v>#DIV/0!</v>
      </c>
      <c r="G51" s="3694"/>
      <c r="H51" s="368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1342</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1342</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S1" zoomScaleNormal="80" zoomScaleSheetLayoutView="100" workbookViewId="0">
      <selection activeCell="X21" sqref="X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1342</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25513</v>
      </c>
      <c r="U2" s="1213">
        <f>'数据-基础表'!I13</f>
        <v>69.81</v>
      </c>
      <c r="V2" s="3361">
        <f>ROUND(T2*U2/10000,0)</f>
        <v>178</v>
      </c>
      <c r="W2" s="1216">
        <f>ROUND(T2*U2,0)</f>
        <v>1781063</v>
      </c>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2441</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20109</v>
      </c>
      <c r="U3" s="1213">
        <f>'数据-基础表'!I14</f>
        <v>265.51000000000005</v>
      </c>
      <c r="V3" s="3361">
        <f t="shared" ref="V3:V16" si="1">ROUND(T3*U3/10000,0)</f>
        <v>534</v>
      </c>
      <c r="W3" s="1216">
        <f t="shared" ref="W3:W5" si="2">ROUND(T3*U3,0)</f>
        <v>5339141</v>
      </c>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20890</v>
      </c>
      <c r="N4" s="866">
        <f>SUMPRODUCT((因素修正幅度!B55:B86=I2)*(因素修正幅度!C3:G3=E2)*(因素修正幅度!C55:G86))</f>
        <v>0.1</v>
      </c>
      <c r="O4" s="1119"/>
      <c r="P4" s="1119"/>
      <c r="Q4" s="1119"/>
      <c r="R4" s="1212">
        <v>3</v>
      </c>
      <c r="S4" s="3361">
        <f>ROUND(SUMPRODUCT((B106:B110=R4)*(C105:N105=G2)*(C106:N110)),4)</f>
        <v>1.0004999999999999</v>
      </c>
      <c r="T4" s="3361">
        <f t="shared" si="0"/>
        <v>16996</v>
      </c>
      <c r="U4" s="1213">
        <f>'数据-基础表'!I15</f>
        <v>260.44</v>
      </c>
      <c r="V4" s="3361">
        <f t="shared" si="1"/>
        <v>443</v>
      </c>
      <c r="W4" s="1216">
        <f t="shared" si="2"/>
        <v>4426438</v>
      </c>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20870</v>
      </c>
      <c r="D5" s="1339">
        <f>ROUND(C6*C17+C20,0)</f>
        <v>20870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14989</v>
      </c>
      <c r="U5" s="1213">
        <f>'数据-基础表'!I16</f>
        <v>124.91</v>
      </c>
      <c r="V5" s="3361">
        <f t="shared" si="1"/>
        <v>187</v>
      </c>
      <c r="W5" s="1216">
        <f t="shared" si="2"/>
        <v>1872276</v>
      </c>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14405</v>
      </c>
      <c r="U6" s="1213"/>
      <c r="V6" s="3361">
        <f t="shared" si="1"/>
        <v>0</v>
      </c>
      <c r="W6" s="1216">
        <f>SUM(W2:W5)</f>
        <v>13418918</v>
      </c>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3270</v>
      </c>
      <c r="Y9" s="3363">
        <v>6</v>
      </c>
      <c r="Z9" s="3364">
        <f>$Y$9</f>
        <v>6</v>
      </c>
      <c r="AA9" s="3364">
        <f t="shared" ref="AA9:AJ9" si="3">$Y$9</f>
        <v>6</v>
      </c>
      <c r="AB9" s="3364">
        <f t="shared" si="3"/>
        <v>6</v>
      </c>
      <c r="AC9" s="3364">
        <f t="shared" si="3"/>
        <v>6</v>
      </c>
      <c r="AD9" s="3364">
        <f t="shared" si="3"/>
        <v>6</v>
      </c>
      <c r="AE9" s="3364">
        <f t="shared" si="3"/>
        <v>6</v>
      </c>
      <c r="AF9" s="3364">
        <f t="shared" si="3"/>
        <v>6</v>
      </c>
      <c r="AG9" s="3364">
        <f t="shared" si="3"/>
        <v>6</v>
      </c>
      <c r="AH9" s="3364">
        <f t="shared" si="3"/>
        <v>6</v>
      </c>
      <c r="AI9" s="3364">
        <f t="shared" si="3"/>
        <v>6</v>
      </c>
      <c r="AJ9" s="3364">
        <f t="shared" si="3"/>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3256</v>
      </c>
      <c r="B20" s="167" t="s">
        <v>1994</v>
      </c>
      <c r="C20" s="3325">
        <f>ROUND(IF(F21="与级别开发程度一致",0,(G21-E21)/C21),0)</f>
        <v>-20</v>
      </c>
      <c r="D20" s="3341" t="s">
        <v>1998</v>
      </c>
      <c r="E20" s="3342"/>
      <c r="F20" s="3773" t="s">
        <v>1995</v>
      </c>
      <c r="G20" s="3774"/>
      <c r="H20" s="3326" t="s">
        <v>3416</v>
      </c>
      <c r="I20" s="3326" t="s">
        <v>3417</v>
      </c>
      <c r="J20" s="3327" t="s">
        <v>3418</v>
      </c>
      <c r="K20" s="2047" t="s">
        <v>3419</v>
      </c>
      <c r="L20" s="2047" t="s">
        <v>3420</v>
      </c>
      <c r="M20" s="2047" t="s">
        <v>3421</v>
      </c>
      <c r="N20" s="2047" t="s">
        <v>3422</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3423</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45511</v>
      </c>
      <c r="H23" s="3343" t="s">
        <v>3258</v>
      </c>
      <c r="I23" s="3344" t="str">
        <f>IF(H23="季度增幅（自定义）",SUMIF(N25:N28,E2,O25:O28),"")</f>
        <v/>
      </c>
      <c r="J23" s="3446" t="s">
        <v>3257</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0.74480000000000002</v>
      </c>
      <c r="D24" s="2060" t="s">
        <v>2007</v>
      </c>
      <c r="E24" s="1335">
        <f>存贷款利率!E26/100</f>
        <v>4.3499999999999997E-2</v>
      </c>
      <c r="F24" s="2060" t="s">
        <v>1999</v>
      </c>
      <c r="G24" s="768">
        <f>SUMIF(M30:Q30,E2,M33:Q33)</f>
        <v>5.5E-2</v>
      </c>
      <c r="H24" s="2060" t="s">
        <v>2008</v>
      </c>
      <c r="I24" s="769">
        <f>SUMIF('数据-取费表'!C6:C15,E2,'数据-取费表'!F6:F15)/COUNTIF('数据-取费表'!C6:C15,E2)</f>
        <v>20</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3424</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1342</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25513</v>
      </c>
      <c r="D33" s="2098"/>
      <c r="E33" s="773">
        <f>ROUND(C33*D33/10000,0)</f>
        <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10192</v>
      </c>
      <c r="D37" s="2098"/>
      <c r="E37" s="171">
        <f>ROUND(C37*D37/10000,0)</f>
        <v>0</v>
      </c>
      <c r="F37" s="171">
        <f>SUMIF(修正!A57:A68,G2,修正!B57:B68)</f>
        <v>0.6</v>
      </c>
      <c r="G37" s="171">
        <f>ROUND(IF(E2="工业",C37*$M$42,C37*$M$41),0)</f>
        <v>2548</v>
      </c>
      <c r="H37" s="171">
        <f>D37</f>
        <v>0</v>
      </c>
      <c r="I37" s="171">
        <f>ROUND(G37*H37/10000,0)</f>
        <v>0</v>
      </c>
      <c r="J37" s="3012"/>
      <c r="K37" s="3359" t="s">
        <v>3268</v>
      </c>
      <c r="L37" s="3357">
        <f ca="1">L36+K38</f>
        <v>3.85E-2</v>
      </c>
      <c r="M37" s="3358">
        <f ca="1">ROUND($L$37*(1+M31),3)</f>
        <v>4.8000000000000001E-2</v>
      </c>
      <c r="N37" s="3358">
        <f t="shared" ref="N37:Q37" ca="1" si="4">ROUND($L$37*(1+N31),3)</f>
        <v>4.5999999999999999E-2</v>
      </c>
      <c r="O37" s="3358">
        <f t="shared" ca="1" si="4"/>
        <v>4.3999999999999997E-2</v>
      </c>
      <c r="P37" s="3358">
        <f t="shared" ca="1" si="4"/>
        <v>4.2000000000000003E-2</v>
      </c>
      <c r="Q37" s="3358">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5096</v>
      </c>
      <c r="D38" s="2098"/>
      <c r="E38" s="171">
        <f t="shared" ref="E38:E42" si="5">ROUND(C38*D38/10000,0)</f>
        <v>0</v>
      </c>
      <c r="F38" s="171">
        <f>SUMIF(修正!A57:A68,G2,修正!C57:C68)</f>
        <v>0.3</v>
      </c>
      <c r="G38" s="171">
        <f>ROUND(IF(E2="工业",C38*$M$42,C38*$M$41),0)</f>
        <v>1274</v>
      </c>
      <c r="H38" s="171">
        <f t="shared" ref="H38:H42" si="6">D38</f>
        <v>0</v>
      </c>
      <c r="I38" s="171">
        <f t="shared" ref="I38:I42" si="7">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3261</v>
      </c>
      <c r="C39" s="175">
        <f>ROUND(D5*C22*C23*C24*C28*F39,0)</f>
        <v>4247</v>
      </c>
      <c r="D39" s="2098"/>
      <c r="E39" s="171">
        <f t="shared" si="5"/>
        <v>0</v>
      </c>
      <c r="F39" s="171">
        <f>SUMIF(修正!A57:A68,G2,修正!D57:D68)</f>
        <v>0.25</v>
      </c>
      <c r="G39" s="171">
        <f>ROUND(IF(E2="工业",C39*$M$42,C39*$M$41),0)</f>
        <v>1062</v>
      </c>
      <c r="H39" s="171">
        <f t="shared" si="6"/>
        <v>0</v>
      </c>
      <c r="I39" s="171">
        <f t="shared" si="7"/>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4247</v>
      </c>
      <c r="D40" s="2098"/>
      <c r="E40" s="171">
        <f t="shared" si="5"/>
        <v>0</v>
      </c>
      <c r="F40" s="175">
        <f>SUMIF(修正!A57:A68,G2,修正!E57:E68)</f>
        <v>0.25</v>
      </c>
      <c r="G40" s="171">
        <f>ROUND(IF(E2="工业",C40*$M$42,C40*$M$41),0)</f>
        <v>1062</v>
      </c>
      <c r="H40" s="171">
        <f t="shared" si="6"/>
        <v>0</v>
      </c>
      <c r="I40" s="171">
        <f t="shared" si="7"/>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5"/>
        <v>0</v>
      </c>
      <c r="F41" s="175">
        <f>SUMIF(修正!A57:A68,G2,修正!F57:F68)</f>
        <v>0.25</v>
      </c>
      <c r="G41" s="171">
        <f>ROUND(IF(E2="工业",C41*$M$42,C41*$M$41),0)</f>
        <v>0</v>
      </c>
      <c r="H41" s="171">
        <f t="shared" si="6"/>
        <v>0</v>
      </c>
      <c r="I41" s="171">
        <f t="shared" si="7"/>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5"/>
        <v>0</v>
      </c>
      <c r="F42" s="767">
        <f>SUMIF(修正!A57:A68,G2,修正!G57:G68)</f>
        <v>0.15</v>
      </c>
      <c r="G42" s="187">
        <f>ROUND(IF(E2="工业",C42*$M$42,C42*$M$41),0)</f>
        <v>0</v>
      </c>
      <c r="H42" s="187">
        <f t="shared" si="6"/>
        <v>0</v>
      </c>
      <c r="I42" s="187">
        <f t="shared" si="7"/>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1.0409999999999999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3425</v>
      </c>
      <c r="D50" s="1065">
        <f t="shared" ref="D50:D58" si="8">SUMIF($J$49:$N$49,C50,J50:N50)</f>
        <v>1.4999999999999999E-2</v>
      </c>
      <c r="E50" s="744">
        <f>ROUND(SUM(D50:D58),4)</f>
        <v>4.1000000000000002E-2</v>
      </c>
      <c r="F50" s="1814">
        <f>IF(E2="商业",SUMIF(L1:L12,G2,N1:N12),"——")</f>
        <v>0.1</v>
      </c>
      <c r="G50" s="1063">
        <f>H50</f>
        <v>1.4999999999999999E-2</v>
      </c>
      <c r="H50" s="1066">
        <f t="shared" ref="H50:H58" si="9">IFERROR(ROUNDDOWN($F$50*I50/2,4),"——")</f>
        <v>1.4999999999999999E-2</v>
      </c>
      <c r="I50" s="3367">
        <v>0.3</v>
      </c>
      <c r="J50" s="1064">
        <f t="shared" ref="J50:J58" si="10">K50+$G50</f>
        <v>0.03</v>
      </c>
      <c r="K50" s="1064">
        <f t="shared" ref="K50:K58" si="11">$L50+$G50</f>
        <v>1.4999999999999999E-2</v>
      </c>
      <c r="L50" s="1064">
        <v>0</v>
      </c>
      <c r="M50" s="1064">
        <f t="shared" ref="M50:N58" si="12">L50-$G50</f>
        <v>-1.4999999999999999E-2</v>
      </c>
      <c r="N50" s="1064">
        <f t="shared" si="12"/>
        <v>-0.03</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8"/>
        <v>1.0999999999999999E-2</v>
      </c>
      <c r="E51" s="745"/>
      <c r="F51" s="1814"/>
      <c r="G51" s="1063">
        <f t="shared" ref="G51:G58" si="13">H51</f>
        <v>1.0999999999999999E-2</v>
      </c>
      <c r="H51" s="1066">
        <f t="shared" si="9"/>
        <v>1.0999999999999999E-2</v>
      </c>
      <c r="I51" s="3367">
        <v>0.22</v>
      </c>
      <c r="J51" s="1064">
        <f t="shared" si="10"/>
        <v>2.1999999999999999E-2</v>
      </c>
      <c r="K51" s="1064">
        <f t="shared" si="11"/>
        <v>1.0999999999999999E-2</v>
      </c>
      <c r="L51" s="1064">
        <v>0</v>
      </c>
      <c r="M51" s="1064">
        <f t="shared" si="12"/>
        <v>-1.0999999999999999E-2</v>
      </c>
      <c r="N51" s="1064">
        <f t="shared" si="12"/>
        <v>-2.1999999999999999E-2</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t="s">
        <v>3425</v>
      </c>
      <c r="D52" s="1065">
        <f t="shared" si="8"/>
        <v>6.0000000000000001E-3</v>
      </c>
      <c r="E52" s="745"/>
      <c r="F52" s="1814"/>
      <c r="G52" s="1063">
        <f t="shared" si="13"/>
        <v>6.0000000000000001E-3</v>
      </c>
      <c r="H52" s="1066">
        <f t="shared" si="9"/>
        <v>6.0000000000000001E-3</v>
      </c>
      <c r="I52" s="3367">
        <v>0.12</v>
      </c>
      <c r="J52" s="1064">
        <f t="shared" si="10"/>
        <v>1.2E-2</v>
      </c>
      <c r="K52" s="1064">
        <f t="shared" si="11"/>
        <v>6.0000000000000001E-3</v>
      </c>
      <c r="L52" s="1064">
        <v>0</v>
      </c>
      <c r="M52" s="1064">
        <f t="shared" si="12"/>
        <v>-6.0000000000000001E-3</v>
      </c>
      <c r="N52" s="1064">
        <f t="shared" si="12"/>
        <v>-1.2E-2</v>
      </c>
      <c r="AA52" s="1120"/>
      <c r="AB52" s="1120"/>
      <c r="AC52" s="1120"/>
      <c r="AD52" s="1120"/>
      <c r="AE52" s="1120"/>
      <c r="AF52" s="1120"/>
      <c r="AG52" s="1120"/>
      <c r="AH52" s="1120"/>
      <c r="AI52" s="1120"/>
      <c r="AJ52" s="1120"/>
      <c r="AK52" s="1120"/>
    </row>
    <row r="53" spans="1:37" s="1119" customFormat="1" ht="36.75">
      <c r="A53" s="2130" t="s">
        <v>2054</v>
      </c>
      <c r="B53" s="2135" t="s">
        <v>2055</v>
      </c>
      <c r="C53" s="2044" t="s">
        <v>3426</v>
      </c>
      <c r="D53" s="1065">
        <f t="shared" si="8"/>
        <v>-2.5000000000000001E-3</v>
      </c>
      <c r="E53" s="745"/>
      <c r="F53" s="1814"/>
      <c r="G53" s="1063">
        <v>2.5000000000000001E-3</v>
      </c>
      <c r="H53" s="1066">
        <f t="shared" si="9"/>
        <v>2.5000000000000001E-3</v>
      </c>
      <c r="I53" s="3367">
        <v>0.05</v>
      </c>
      <c r="J53" s="1064">
        <f t="shared" si="10"/>
        <v>5.0000000000000001E-3</v>
      </c>
      <c r="K53" s="1064">
        <f t="shared" si="11"/>
        <v>2.5000000000000001E-3</v>
      </c>
      <c r="L53" s="1064">
        <v>0</v>
      </c>
      <c r="M53" s="1064">
        <f t="shared" si="12"/>
        <v>-2.5000000000000001E-3</v>
      </c>
      <c r="N53" s="1064">
        <f t="shared" si="12"/>
        <v>-5.0000000000000001E-3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3426</v>
      </c>
      <c r="D54" s="1065">
        <f t="shared" si="8"/>
        <v>-4.0000000000000001E-3</v>
      </c>
      <c r="E54" s="745"/>
      <c r="F54" s="1814"/>
      <c r="G54" s="1063">
        <v>4.0000000000000001E-3</v>
      </c>
      <c r="H54" s="1066">
        <f t="shared" si="9"/>
        <v>4.0000000000000001E-3</v>
      </c>
      <c r="I54" s="3367">
        <v>0.08</v>
      </c>
      <c r="J54" s="1064">
        <f t="shared" si="10"/>
        <v>8.0000000000000002E-3</v>
      </c>
      <c r="K54" s="1064">
        <f t="shared" si="11"/>
        <v>4.0000000000000001E-3</v>
      </c>
      <c r="L54" s="1064">
        <v>0</v>
      </c>
      <c r="M54" s="1064">
        <f t="shared" si="12"/>
        <v>-4.0000000000000001E-3</v>
      </c>
      <c r="N54" s="1064">
        <f t="shared" si="12"/>
        <v>-8.0000000000000002E-3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8"/>
        <v>2.5000000000000001E-3</v>
      </c>
      <c r="E55" s="745"/>
      <c r="F55" s="1814"/>
      <c r="G55" s="1063">
        <f t="shared" si="13"/>
        <v>2.5000000000000001E-3</v>
      </c>
      <c r="H55" s="1066">
        <f t="shared" si="9"/>
        <v>2.5000000000000001E-3</v>
      </c>
      <c r="I55" s="3367">
        <v>0.05</v>
      </c>
      <c r="J55" s="1064">
        <f t="shared" si="10"/>
        <v>5.0000000000000001E-3</v>
      </c>
      <c r="K55" s="1064">
        <f t="shared" si="11"/>
        <v>2.5000000000000001E-3</v>
      </c>
      <c r="L55" s="1064">
        <v>0</v>
      </c>
      <c r="M55" s="1064">
        <f t="shared" si="12"/>
        <v>-2.5000000000000001E-3</v>
      </c>
      <c r="N55" s="1064">
        <f t="shared" si="12"/>
        <v>-5.0000000000000001E-3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8"/>
        <v>2.5000000000000001E-3</v>
      </c>
      <c r="E56" s="745"/>
      <c r="F56" s="1814"/>
      <c r="G56" s="1063">
        <f t="shared" si="13"/>
        <v>2.5000000000000001E-3</v>
      </c>
      <c r="H56" s="1066">
        <f t="shared" si="9"/>
        <v>2.5000000000000001E-3</v>
      </c>
      <c r="I56" s="3367">
        <v>0.05</v>
      </c>
      <c r="J56" s="1064">
        <f t="shared" si="10"/>
        <v>5.0000000000000001E-3</v>
      </c>
      <c r="K56" s="1064">
        <f t="shared" si="11"/>
        <v>2.5000000000000001E-3</v>
      </c>
      <c r="L56" s="1064">
        <v>0</v>
      </c>
      <c r="M56" s="1064">
        <f t="shared" si="12"/>
        <v>-2.5000000000000001E-3</v>
      </c>
      <c r="N56" s="1064">
        <f t="shared" si="12"/>
        <v>-5.0000000000000001E-3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3427</v>
      </c>
      <c r="D57" s="1065">
        <f t="shared" si="8"/>
        <v>8.0000000000000002E-3</v>
      </c>
      <c r="E57" s="745"/>
      <c r="F57" s="1814"/>
      <c r="G57" s="1063">
        <f t="shared" si="13"/>
        <v>4.0000000000000001E-3</v>
      </c>
      <c r="H57" s="1066">
        <f t="shared" si="9"/>
        <v>4.0000000000000001E-3</v>
      </c>
      <c r="I57" s="3367">
        <v>0.08</v>
      </c>
      <c r="J57" s="1064">
        <f t="shared" si="10"/>
        <v>8.0000000000000002E-3</v>
      </c>
      <c r="K57" s="1064">
        <f t="shared" si="11"/>
        <v>4.0000000000000001E-3</v>
      </c>
      <c r="L57" s="1064">
        <v>0</v>
      </c>
      <c r="M57" s="1064">
        <f t="shared" si="12"/>
        <v>-4.0000000000000001E-3</v>
      </c>
      <c r="N57" s="1064">
        <f t="shared" si="12"/>
        <v>-8.0000000000000002E-3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8"/>
        <v>2.5000000000000001E-3</v>
      </c>
      <c r="E58" s="746"/>
      <c r="F58" s="1814"/>
      <c r="G58" s="1063">
        <f t="shared" si="13"/>
        <v>2.5000000000000001E-3</v>
      </c>
      <c r="H58" s="1066">
        <f t="shared" si="9"/>
        <v>2.5000000000000001E-3</v>
      </c>
      <c r="I58" s="3368">
        <v>0.05</v>
      </c>
      <c r="J58" s="1064">
        <f t="shared" si="10"/>
        <v>5.0000000000000001E-3</v>
      </c>
      <c r="K58" s="1064">
        <f t="shared" si="11"/>
        <v>2.5000000000000001E-3</v>
      </c>
      <c r="L58" s="1064">
        <v>0</v>
      </c>
      <c r="M58" s="1064">
        <f t="shared" si="12"/>
        <v>-2.5000000000000001E-3</v>
      </c>
      <c r="N58" s="1064">
        <f t="shared" si="12"/>
        <v>-5.0000000000000001E-3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4">SUMIF($J$60:$N$60,C61,J61:N61)</f>
        <v>0</v>
      </c>
      <c r="E61" s="744">
        <f>ROUND(SUM(D61:D69),4)</f>
        <v>0</v>
      </c>
      <c r="F61" s="1814" t="str">
        <f>IF(E2="办公",SUMIF(L1:L12,G2,N1:N12),"——")</f>
        <v>——</v>
      </c>
      <c r="G61" s="1063"/>
      <c r="H61" s="1066" t="str">
        <f t="shared" ref="H61:H69" si="15">IFERROR(ROUNDDOWN($F$61*I61/2,4),"——")</f>
        <v>——</v>
      </c>
      <c r="I61" s="3367">
        <v>0.25</v>
      </c>
      <c r="J61" s="1064">
        <f t="shared" ref="J61:J69" si="16">K61+$G61</f>
        <v>0</v>
      </c>
      <c r="K61" s="1064">
        <f t="shared" ref="K61:K69" si="17">$L61+$G61</f>
        <v>0</v>
      </c>
      <c r="L61" s="1064">
        <v>0</v>
      </c>
      <c r="M61" s="1064">
        <f t="shared" ref="M61:N69" si="18">L61-$G61</f>
        <v>0</v>
      </c>
      <c r="N61" s="1064">
        <f t="shared" si="18"/>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4"/>
        <v>0</v>
      </c>
      <c r="E62" s="745"/>
      <c r="F62" s="1814"/>
      <c r="G62" s="1063"/>
      <c r="H62" s="1066" t="str">
        <f t="shared" si="15"/>
        <v>——</v>
      </c>
      <c r="I62" s="3367">
        <v>0.26</v>
      </c>
      <c r="J62" s="1064">
        <f t="shared" si="16"/>
        <v>0</v>
      </c>
      <c r="K62" s="1064">
        <f t="shared" si="17"/>
        <v>0</v>
      </c>
      <c r="L62" s="1064">
        <v>0</v>
      </c>
      <c r="M62" s="1064">
        <f t="shared" si="18"/>
        <v>0</v>
      </c>
      <c r="N62" s="1064">
        <f t="shared" si="18"/>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4"/>
        <v>0</v>
      </c>
      <c r="E63" s="745"/>
      <c r="F63" s="1814"/>
      <c r="G63" s="1063"/>
      <c r="H63" s="1066" t="str">
        <f t="shared" si="15"/>
        <v>——</v>
      </c>
      <c r="I63" s="3367">
        <v>0.11</v>
      </c>
      <c r="J63" s="1064">
        <f t="shared" si="16"/>
        <v>0</v>
      </c>
      <c r="K63" s="1064">
        <f t="shared" si="17"/>
        <v>0</v>
      </c>
      <c r="L63" s="1064">
        <v>0</v>
      </c>
      <c r="M63" s="1064">
        <f t="shared" si="18"/>
        <v>0</v>
      </c>
      <c r="N63" s="1064">
        <f t="shared" si="18"/>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4"/>
        <v>0</v>
      </c>
      <c r="E64" s="745"/>
      <c r="F64" s="1814"/>
      <c r="G64" s="1063"/>
      <c r="H64" s="1066" t="str">
        <f t="shared" si="15"/>
        <v>——</v>
      </c>
      <c r="I64" s="3367">
        <v>0.05</v>
      </c>
      <c r="J64" s="1064">
        <f t="shared" si="16"/>
        <v>0</v>
      </c>
      <c r="K64" s="1064">
        <f t="shared" si="17"/>
        <v>0</v>
      </c>
      <c r="L64" s="1064">
        <v>0</v>
      </c>
      <c r="M64" s="1064">
        <f t="shared" si="18"/>
        <v>0</v>
      </c>
      <c r="N64" s="1064">
        <f t="shared" si="18"/>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4"/>
        <v>0</v>
      </c>
      <c r="E65" s="745"/>
      <c r="F65" s="1814"/>
      <c r="G65" s="1063"/>
      <c r="H65" s="1066" t="str">
        <f t="shared" si="15"/>
        <v>——</v>
      </c>
      <c r="I65" s="3367">
        <v>0.05</v>
      </c>
      <c r="J65" s="1064">
        <f t="shared" si="16"/>
        <v>0</v>
      </c>
      <c r="K65" s="1064">
        <f t="shared" si="17"/>
        <v>0</v>
      </c>
      <c r="L65" s="1064">
        <v>0</v>
      </c>
      <c r="M65" s="1064">
        <f t="shared" si="18"/>
        <v>0</v>
      </c>
      <c r="N65" s="1064">
        <f t="shared" si="18"/>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4"/>
        <v>0</v>
      </c>
      <c r="E66" s="745"/>
      <c r="F66" s="1814"/>
      <c r="G66" s="1063"/>
      <c r="H66" s="1066" t="str">
        <f t="shared" si="15"/>
        <v>——</v>
      </c>
      <c r="I66" s="3367">
        <v>0.06</v>
      </c>
      <c r="J66" s="1064">
        <f t="shared" si="16"/>
        <v>0</v>
      </c>
      <c r="K66" s="1064">
        <f t="shared" si="17"/>
        <v>0</v>
      </c>
      <c r="L66" s="1064">
        <v>0</v>
      </c>
      <c r="M66" s="1064">
        <f t="shared" si="18"/>
        <v>0</v>
      </c>
      <c r="N66" s="1064">
        <f t="shared" si="18"/>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4"/>
        <v>0</v>
      </c>
      <c r="E67" s="745"/>
      <c r="F67" s="1814"/>
      <c r="G67" s="1063"/>
      <c r="H67" s="1066" t="str">
        <f t="shared" si="15"/>
        <v>——</v>
      </c>
      <c r="I67" s="3367">
        <v>0.06</v>
      </c>
      <c r="J67" s="1064">
        <f t="shared" si="16"/>
        <v>0</v>
      </c>
      <c r="K67" s="1064">
        <f t="shared" si="17"/>
        <v>0</v>
      </c>
      <c r="L67" s="1064">
        <v>0</v>
      </c>
      <c r="M67" s="1064">
        <f t="shared" si="18"/>
        <v>0</v>
      </c>
      <c r="N67" s="1064">
        <f t="shared" si="18"/>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4"/>
        <v>0</v>
      </c>
      <c r="E68" s="745"/>
      <c r="F68" s="1814"/>
      <c r="G68" s="1063"/>
      <c r="H68" s="1066" t="str">
        <f t="shared" si="15"/>
        <v>——</v>
      </c>
      <c r="I68" s="3367">
        <v>0.09</v>
      </c>
      <c r="J68" s="1064">
        <f t="shared" si="16"/>
        <v>0</v>
      </c>
      <c r="K68" s="1064">
        <f t="shared" si="17"/>
        <v>0</v>
      </c>
      <c r="L68" s="1064">
        <v>0</v>
      </c>
      <c r="M68" s="1064">
        <f t="shared" si="18"/>
        <v>0</v>
      </c>
      <c r="N68" s="1064">
        <f t="shared" si="18"/>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4"/>
        <v>0</v>
      </c>
      <c r="E69" s="746"/>
      <c r="F69" s="1814"/>
      <c r="G69" s="1063"/>
      <c r="H69" s="1066" t="str">
        <f t="shared" si="15"/>
        <v>——</v>
      </c>
      <c r="I69" s="3368">
        <v>7.0000000000000007E-2</v>
      </c>
      <c r="J69" s="1064">
        <f t="shared" si="16"/>
        <v>0</v>
      </c>
      <c r="K69" s="1064">
        <f t="shared" si="17"/>
        <v>0</v>
      </c>
      <c r="L69" s="1064">
        <v>0</v>
      </c>
      <c r="M69" s="1064">
        <f t="shared" si="18"/>
        <v>0</v>
      </c>
      <c r="N69" s="1064">
        <f t="shared" si="18"/>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9">SUMIF($J$71:$N$71,C72,J72:N72)</f>
        <v>0</v>
      </c>
      <c r="E72" s="744">
        <f>ROUND(SUM(D72:D80),4)</f>
        <v>0</v>
      </c>
      <c r="F72" s="1814" t="str">
        <f>IF(E2="住宅",SUMIF(L1:L12,G2,N1:N12),"——")</f>
        <v>——</v>
      </c>
      <c r="G72" s="1063"/>
      <c r="H72" s="1066" t="str">
        <f t="shared" ref="H72:H80" si="20">IFERROR(ROUNDDOWN($F$72*I72/2,4),"——")</f>
        <v>——</v>
      </c>
      <c r="I72" s="3367">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9"/>
        <v>0</v>
      </c>
      <c r="E73" s="747"/>
      <c r="F73" s="1814"/>
      <c r="G73" s="1063"/>
      <c r="H73" s="1066" t="str">
        <f t="shared" si="20"/>
        <v>——</v>
      </c>
      <c r="I73" s="3367">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9"/>
        <v>0</v>
      </c>
      <c r="E74" s="747"/>
      <c r="F74" s="1814"/>
      <c r="G74" s="1063"/>
      <c r="H74" s="1066" t="str">
        <f t="shared" si="20"/>
        <v>——</v>
      </c>
      <c r="I74" s="3367">
        <v>0.1</v>
      </c>
      <c r="J74" s="1064">
        <f t="shared" si="21"/>
        <v>0</v>
      </c>
      <c r="K74" s="1064">
        <f t="shared" si="22"/>
        <v>0</v>
      </c>
      <c r="L74" s="1064">
        <v>0</v>
      </c>
      <c r="M74" s="1064">
        <f t="shared" si="23"/>
        <v>0</v>
      </c>
      <c r="N74" s="1064">
        <f t="shared" si="23"/>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9"/>
        <v>0</v>
      </c>
      <c r="E75" s="747"/>
      <c r="F75" s="1814"/>
      <c r="G75" s="1063"/>
      <c r="H75" s="1066" t="str">
        <f t="shared" si="20"/>
        <v>——</v>
      </c>
      <c r="I75" s="3367">
        <v>0.05</v>
      </c>
      <c r="J75" s="1064">
        <f t="shared" si="21"/>
        <v>0</v>
      </c>
      <c r="K75" s="1064">
        <f t="shared" si="22"/>
        <v>0</v>
      </c>
      <c r="L75" s="1064">
        <v>0</v>
      </c>
      <c r="M75" s="1064">
        <f t="shared" si="23"/>
        <v>0</v>
      </c>
      <c r="N75" s="1064">
        <f t="shared" si="23"/>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9"/>
        <v>0</v>
      </c>
      <c r="E76" s="747"/>
      <c r="F76" s="1814"/>
      <c r="G76" s="1063"/>
      <c r="H76" s="1066" t="str">
        <f t="shared" si="20"/>
        <v>——</v>
      </c>
      <c r="I76" s="3367">
        <v>0.08</v>
      </c>
      <c r="J76" s="1064">
        <f t="shared" si="21"/>
        <v>0</v>
      </c>
      <c r="K76" s="1064">
        <f t="shared" si="22"/>
        <v>0</v>
      </c>
      <c r="L76" s="1064">
        <v>0</v>
      </c>
      <c r="M76" s="1064">
        <f t="shared" si="23"/>
        <v>0</v>
      </c>
      <c r="N76" s="1064">
        <f t="shared" si="23"/>
        <v>0</v>
      </c>
      <c r="O76" s="1119"/>
      <c r="P76" s="1119"/>
      <c r="Z76" s="1998"/>
      <c r="AA76" s="2053"/>
      <c r="AG76" s="1121"/>
      <c r="AK76" s="2053"/>
    </row>
    <row r="77" spans="1:37" ht="25.5">
      <c r="A77" s="2130" t="s">
        <v>2060</v>
      </c>
      <c r="B77" s="1326" t="str">
        <f>估价对象房地状况!C22</f>
        <v>估价对象所在区域基础设施水平</v>
      </c>
      <c r="C77" s="2044"/>
      <c r="D77" s="1065">
        <f t="shared" si="19"/>
        <v>0</v>
      </c>
      <c r="E77" s="747"/>
      <c r="F77" s="1814"/>
      <c r="G77" s="1063"/>
      <c r="H77" s="1066" t="str">
        <f t="shared" si="20"/>
        <v>——</v>
      </c>
      <c r="I77" s="3367">
        <v>0.09</v>
      </c>
      <c r="J77" s="1064">
        <f t="shared" si="21"/>
        <v>0</v>
      </c>
      <c r="K77" s="1064">
        <f t="shared" si="22"/>
        <v>0</v>
      </c>
      <c r="L77" s="1064">
        <v>0</v>
      </c>
      <c r="M77" s="1064">
        <f t="shared" si="23"/>
        <v>0</v>
      </c>
      <c r="N77" s="1064">
        <f t="shared" si="23"/>
        <v>0</v>
      </c>
      <c r="O77" s="1119"/>
      <c r="P77" s="1119"/>
      <c r="Z77" s="1998"/>
      <c r="AA77" s="2053"/>
      <c r="AG77" s="1121"/>
      <c r="AK77" s="2053"/>
    </row>
    <row r="78" spans="1:37" ht="24">
      <c r="A78" s="2130" t="s">
        <v>2057</v>
      </c>
      <c r="B78" s="2136" t="s">
        <v>2058</v>
      </c>
      <c r="C78" s="2044"/>
      <c r="D78" s="1065">
        <f t="shared" si="19"/>
        <v>0</v>
      </c>
      <c r="E78" s="747"/>
      <c r="F78" s="1814"/>
      <c r="G78" s="1063"/>
      <c r="H78" s="1066" t="str">
        <f t="shared" si="20"/>
        <v>——</v>
      </c>
      <c r="I78" s="3367">
        <v>0.05</v>
      </c>
      <c r="J78" s="1064">
        <f t="shared" si="21"/>
        <v>0</v>
      </c>
      <c r="K78" s="1064">
        <f t="shared" si="22"/>
        <v>0</v>
      </c>
      <c r="L78" s="1064">
        <v>0</v>
      </c>
      <c r="M78" s="1064">
        <f t="shared" si="23"/>
        <v>0</v>
      </c>
      <c r="N78" s="1064">
        <f t="shared" si="23"/>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9"/>
        <v>0</v>
      </c>
      <c r="E79" s="747"/>
      <c r="F79" s="1814"/>
      <c r="G79" s="1063"/>
      <c r="H79" s="1066" t="str">
        <f t="shared" si="20"/>
        <v>——</v>
      </c>
      <c r="I79" s="3367">
        <v>0.12</v>
      </c>
      <c r="J79" s="1064">
        <f t="shared" si="21"/>
        <v>0</v>
      </c>
      <c r="K79" s="1064">
        <f t="shared" si="22"/>
        <v>0</v>
      </c>
      <c r="L79" s="1064">
        <v>0</v>
      </c>
      <c r="M79" s="1064">
        <f t="shared" si="23"/>
        <v>0</v>
      </c>
      <c r="N79" s="1064">
        <f t="shared" si="23"/>
        <v>0</v>
      </c>
      <c r="Z79" s="1998"/>
      <c r="AA79" s="2053"/>
      <c r="AG79" s="1121"/>
      <c r="AK79" s="2053"/>
    </row>
    <row r="80" spans="1:37" ht="24.75" thickBot="1">
      <c r="A80" s="2138" t="s">
        <v>2068</v>
      </c>
      <c r="B80" s="2142"/>
      <c r="C80" s="2044"/>
      <c r="D80" s="1065">
        <f t="shared" si="19"/>
        <v>0</v>
      </c>
      <c r="E80" s="748"/>
      <c r="F80" s="1814"/>
      <c r="G80" s="1063"/>
      <c r="H80" s="1066" t="str">
        <f t="shared" si="20"/>
        <v>——</v>
      </c>
      <c r="I80" s="3368">
        <v>0.05</v>
      </c>
      <c r="J80" s="1064">
        <f t="shared" si="21"/>
        <v>0</v>
      </c>
      <c r="K80" s="1064">
        <f t="shared" si="22"/>
        <v>0</v>
      </c>
      <c r="L80" s="1064">
        <v>0</v>
      </c>
      <c r="M80" s="1064">
        <f t="shared" si="23"/>
        <v>0</v>
      </c>
      <c r="N80" s="1064">
        <f t="shared" si="23"/>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4">SUMIF($J$82:$N$82,C83,J83:N83)</f>
        <v>0</v>
      </c>
      <c r="E83" s="744">
        <f>ROUND(SUM(D83:D90),4)</f>
        <v>0</v>
      </c>
      <c r="F83" s="1814" t="str">
        <f>IF(E2="工业",SUMIF(L1:L12,G2,N1:N12),"——")</f>
        <v>——</v>
      </c>
      <c r="G83" s="1063"/>
      <c r="H83" s="1066" t="str">
        <f t="shared" ref="H83:H90" si="25">IFERROR(ROUNDDOWN($F$83*I83/2,4),"——")</f>
        <v>——</v>
      </c>
      <c r="I83" s="3367">
        <v>0.26</v>
      </c>
      <c r="J83" s="1064">
        <f t="shared" ref="J83:J90" si="26">K83+$G83</f>
        <v>0</v>
      </c>
      <c r="K83" s="1064">
        <f t="shared" ref="K83:K90" si="27">$L83+$G83</f>
        <v>0</v>
      </c>
      <c r="L83" s="1064">
        <v>0</v>
      </c>
      <c r="M83" s="1064">
        <f t="shared" ref="M83:N90" si="28">L83-$G83</f>
        <v>0</v>
      </c>
      <c r="N83" s="1064">
        <f t="shared" si="28"/>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4"/>
        <v>0</v>
      </c>
      <c r="E84" s="747"/>
      <c r="F84" s="1814"/>
      <c r="G84" s="1063"/>
      <c r="H84" s="1066" t="str">
        <f t="shared" si="25"/>
        <v>——</v>
      </c>
      <c r="I84" s="3367">
        <v>0.3</v>
      </c>
      <c r="J84" s="1064">
        <f t="shared" si="26"/>
        <v>0</v>
      </c>
      <c r="K84" s="1064">
        <f t="shared" si="27"/>
        <v>0</v>
      </c>
      <c r="L84" s="1064">
        <v>0</v>
      </c>
      <c r="M84" s="1064">
        <f t="shared" si="28"/>
        <v>0</v>
      </c>
      <c r="N84" s="1064">
        <f t="shared" si="28"/>
        <v>0</v>
      </c>
      <c r="Z84" s="1998"/>
      <c r="AA84" s="2053"/>
      <c r="AG84" s="1121"/>
      <c r="AK84" s="2053"/>
    </row>
    <row r="85" spans="1:37" ht="36">
      <c r="A85" s="3369" t="s">
        <v>3272</v>
      </c>
      <c r="B85" s="2134">
        <f>估价对象房地状况!G17</f>
        <v>0</v>
      </c>
      <c r="C85" s="2044"/>
      <c r="D85" s="1065">
        <f t="shared" si="24"/>
        <v>0</v>
      </c>
      <c r="E85" s="747"/>
      <c r="F85" s="1814"/>
      <c r="G85" s="1063"/>
      <c r="H85" s="1066" t="str">
        <f t="shared" si="25"/>
        <v>——</v>
      </c>
      <c r="I85" s="3367">
        <v>0.1</v>
      </c>
      <c r="J85" s="1064">
        <f t="shared" si="26"/>
        <v>0</v>
      </c>
      <c r="K85" s="1064">
        <f t="shared" si="27"/>
        <v>0</v>
      </c>
      <c r="L85" s="1064">
        <v>0</v>
      </c>
      <c r="M85" s="1064">
        <f t="shared" si="28"/>
        <v>0</v>
      </c>
      <c r="N85" s="1064">
        <f t="shared" si="28"/>
        <v>0</v>
      </c>
      <c r="Z85" s="1998"/>
      <c r="AA85" s="2053"/>
      <c r="AG85" s="1121"/>
      <c r="AK85" s="2053"/>
    </row>
    <row r="86" spans="1:37" ht="14.25">
      <c r="A86" s="2130" t="s">
        <v>2067</v>
      </c>
      <c r="B86" s="2134">
        <f>估价对象房地状况!G22</f>
        <v>0</v>
      </c>
      <c r="C86" s="2044"/>
      <c r="D86" s="1065">
        <f t="shared" si="24"/>
        <v>0</v>
      </c>
      <c r="E86" s="747"/>
      <c r="F86" s="1814"/>
      <c r="G86" s="1063"/>
      <c r="H86" s="1066" t="str">
        <f t="shared" si="25"/>
        <v>——</v>
      </c>
      <c r="I86" s="3367">
        <v>0.05</v>
      </c>
      <c r="J86" s="1064">
        <f t="shared" si="26"/>
        <v>0</v>
      </c>
      <c r="K86" s="1064">
        <f t="shared" si="27"/>
        <v>0</v>
      </c>
      <c r="L86" s="1064">
        <v>0</v>
      </c>
      <c r="M86" s="1064">
        <f t="shared" si="28"/>
        <v>0</v>
      </c>
      <c r="N86" s="1064">
        <f t="shared" si="28"/>
        <v>0</v>
      </c>
      <c r="Z86" s="1998"/>
      <c r="AA86" s="2053"/>
      <c r="AG86" s="1121"/>
      <c r="AK86" s="2053"/>
    </row>
    <row r="87" spans="1:37" ht="25.5">
      <c r="A87" s="2130" t="s">
        <v>2059</v>
      </c>
      <c r="B87" s="1326" t="str">
        <f>估价对象房地状况!G19</f>
        <v>估价对象所在区域公共配套设施齐备情况</v>
      </c>
      <c r="C87" s="2044"/>
      <c r="D87" s="1065">
        <f t="shared" si="24"/>
        <v>0</v>
      </c>
      <c r="E87" s="747"/>
      <c r="F87" s="1814"/>
      <c r="G87" s="1063"/>
      <c r="H87" s="1066" t="str">
        <f t="shared" si="25"/>
        <v>——</v>
      </c>
      <c r="I87" s="3367">
        <v>0.06</v>
      </c>
      <c r="J87" s="1064">
        <f t="shared" si="26"/>
        <v>0</v>
      </c>
      <c r="K87" s="1064">
        <f t="shared" si="27"/>
        <v>0</v>
      </c>
      <c r="L87" s="1064">
        <v>0</v>
      </c>
      <c r="M87" s="1064">
        <f t="shared" si="28"/>
        <v>0</v>
      </c>
      <c r="N87" s="1064">
        <f t="shared" si="28"/>
        <v>0</v>
      </c>
    </row>
    <row r="88" spans="1:37" ht="25.5">
      <c r="A88" s="2130" t="s">
        <v>2060</v>
      </c>
      <c r="B88" s="1326" t="str">
        <f>估价对象房地状况!G20</f>
        <v>估价对象所在区域基础设施水平</v>
      </c>
      <c r="C88" s="2044"/>
      <c r="D88" s="1065">
        <f t="shared" si="24"/>
        <v>0</v>
      </c>
      <c r="E88" s="747"/>
      <c r="F88" s="1814"/>
      <c r="G88" s="1063"/>
      <c r="H88" s="1066" t="str">
        <f t="shared" si="25"/>
        <v>——</v>
      </c>
      <c r="I88" s="3367">
        <v>0.12</v>
      </c>
      <c r="J88" s="1064">
        <f t="shared" si="26"/>
        <v>0</v>
      </c>
      <c r="K88" s="1064">
        <f t="shared" si="27"/>
        <v>0</v>
      </c>
      <c r="L88" s="1064">
        <v>0</v>
      </c>
      <c r="M88" s="1064">
        <f t="shared" si="28"/>
        <v>0</v>
      </c>
      <c r="N88" s="1064">
        <f t="shared" si="28"/>
        <v>0</v>
      </c>
    </row>
    <row r="89" spans="1:37" ht="24">
      <c r="A89" s="2130" t="s">
        <v>2057</v>
      </c>
      <c r="B89" s="2136" t="s">
        <v>2071</v>
      </c>
      <c r="C89" s="2044"/>
      <c r="D89" s="1065">
        <f t="shared" si="24"/>
        <v>0</v>
      </c>
      <c r="E89" s="747"/>
      <c r="F89" s="1814"/>
      <c r="G89" s="1063"/>
      <c r="H89" s="1066" t="str">
        <f t="shared" si="25"/>
        <v>——</v>
      </c>
      <c r="I89" s="3367">
        <v>0.06</v>
      </c>
      <c r="J89" s="1064">
        <f t="shared" si="26"/>
        <v>0</v>
      </c>
      <c r="K89" s="1064">
        <f t="shared" si="27"/>
        <v>0</v>
      </c>
      <c r="L89" s="1064">
        <v>0</v>
      </c>
      <c r="M89" s="1064">
        <f t="shared" si="28"/>
        <v>0</v>
      </c>
      <c r="N89" s="1064">
        <f t="shared" si="28"/>
        <v>0</v>
      </c>
    </row>
    <row r="90" spans="1:37" ht="39" thickBot="1">
      <c r="A90" s="2138" t="s">
        <v>2072</v>
      </c>
      <c r="B90" s="2143" t="str">
        <f>估价对象房地状况!G18</f>
        <v>该园区内是否有污染型企业，绿化情况，卫生条件，整体环境状况判断</v>
      </c>
      <c r="C90" s="2044"/>
      <c r="D90" s="1065">
        <f t="shared" si="24"/>
        <v>0</v>
      </c>
      <c r="E90" s="748"/>
      <c r="F90" s="1814"/>
      <c r="G90" s="1063"/>
      <c r="H90" s="1066" t="str">
        <f t="shared" si="25"/>
        <v>——</v>
      </c>
      <c r="I90" s="3368">
        <v>0.05</v>
      </c>
      <c r="J90" s="1064">
        <f t="shared" si="26"/>
        <v>0</v>
      </c>
      <c r="K90" s="1064">
        <f t="shared" si="27"/>
        <v>0</v>
      </c>
      <c r="L90" s="1064">
        <v>0</v>
      </c>
      <c r="M90" s="1064">
        <f t="shared" si="28"/>
        <v>0</v>
      </c>
      <c r="N90" s="1064">
        <f t="shared" si="28"/>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3275</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3271</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3276</v>
      </c>
      <c r="B96" s="3385" t="s">
        <v>3287</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3277</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3278</v>
      </c>
      <c r="B98" s="3386" t="s">
        <v>3288</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3279</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3280</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3281</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69" t="s">
        <v>3296</v>
      </c>
      <c r="B103" s="3769"/>
      <c r="C103" s="3769"/>
      <c r="D103" s="3769"/>
      <c r="E103" s="3769"/>
      <c r="F103" s="3769"/>
      <c r="G103" s="3769"/>
      <c r="H103" s="3769"/>
      <c r="I103" s="3769"/>
      <c r="J103" s="3769"/>
      <c r="K103" s="3390"/>
      <c r="L103" s="3390"/>
      <c r="M103" s="3390"/>
      <c r="N103" s="3390"/>
    </row>
    <row r="104" spans="1:14">
      <c r="A104" s="3770" t="s">
        <v>3297</v>
      </c>
      <c r="B104" s="3770" t="s">
        <v>3298</v>
      </c>
      <c r="C104" s="3391" t="s">
        <v>3299</v>
      </c>
      <c r="D104" s="3392"/>
      <c r="E104" s="3392"/>
      <c r="F104" s="3392"/>
      <c r="G104" s="3392"/>
      <c r="H104" s="3392"/>
      <c r="I104" s="3392"/>
      <c r="J104" s="3393"/>
      <c r="K104" s="3394"/>
      <c r="L104" s="3394"/>
      <c r="M104" s="3394"/>
      <c r="N104" s="3394"/>
    </row>
    <row r="105" spans="1:14">
      <c r="A105" s="3770"/>
      <c r="B105" s="3770"/>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56"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3270</v>
      </c>
      <c r="C111" s="3396">
        <f>$I$3</f>
        <v>1</v>
      </c>
      <c r="D111" s="3396">
        <f t="shared" ref="D111:M111" si="34">$I$3</f>
        <v>1</v>
      </c>
      <c r="E111" s="3396">
        <f t="shared" si="34"/>
        <v>1</v>
      </c>
      <c r="F111" s="3396">
        <f t="shared" si="34"/>
        <v>1</v>
      </c>
      <c r="G111" s="3396">
        <f t="shared" si="34"/>
        <v>1</v>
      </c>
      <c r="H111" s="3396">
        <f t="shared" si="34"/>
        <v>1</v>
      </c>
      <c r="I111" s="3396">
        <f t="shared" si="34"/>
        <v>1</v>
      </c>
      <c r="J111" s="3396">
        <f t="shared" si="34"/>
        <v>1</v>
      </c>
      <c r="K111" s="3396">
        <f t="shared" si="34"/>
        <v>1</v>
      </c>
      <c r="L111" s="3396">
        <f t="shared" si="34"/>
        <v>1</v>
      </c>
      <c r="M111" s="3396">
        <f t="shared" si="34"/>
        <v>1</v>
      </c>
      <c r="N111" s="3396">
        <f>$I$3</f>
        <v>1</v>
      </c>
    </row>
    <row r="112" spans="1:14">
      <c r="A112" s="3758"/>
      <c r="B112" s="3395">
        <v>6</v>
      </c>
      <c r="C112" s="3388">
        <f>(-0.5556*(C111^2)-0.2719*C111+8944)*(10^(-4))</f>
        <v>0.89431725000000006</v>
      </c>
      <c r="D112" s="3388">
        <f>(-0.5556*(D111^2)-0.2719*D111+8944)*(10^(-4))</f>
        <v>0.89431725000000006</v>
      </c>
      <c r="E112" s="3388">
        <f>(-0.7912*(E111^2)-11.3794*E111+8482)*(10^(-4))</f>
        <v>0.84698294000000007</v>
      </c>
      <c r="F112" s="3388">
        <f t="shared" ref="F112:I112" si="35">(-0.7912*(F111^2)-11.3794*F111+8482)*(10^(-4))</f>
        <v>0.84698294000000007</v>
      </c>
      <c r="G112" s="3388">
        <f t="shared" si="35"/>
        <v>0.84698294000000007</v>
      </c>
      <c r="H112" s="3388">
        <f t="shared" si="35"/>
        <v>0.84698294000000007</v>
      </c>
      <c r="I112" s="3388">
        <f t="shared" si="35"/>
        <v>0.84698294000000007</v>
      </c>
      <c r="J112" s="3388">
        <f>(-0.989*(J111^2)-63.78*J111+7771)*(10^(-4))</f>
        <v>0.77062310000000001</v>
      </c>
      <c r="K112" s="3388">
        <f t="shared" ref="K112:N112" si="36">(-0.989*(K111^2)-63.78*K111+7771)*(10^(-4))</f>
        <v>0.77062310000000001</v>
      </c>
      <c r="L112" s="3388">
        <f t="shared" si="36"/>
        <v>0.77062310000000001</v>
      </c>
      <c r="M112" s="3388">
        <f t="shared" si="36"/>
        <v>0.77062310000000001</v>
      </c>
      <c r="N112" s="3388">
        <f t="shared" si="36"/>
        <v>0.77062310000000001</v>
      </c>
    </row>
    <row r="113" spans="1:14">
      <c r="A113" s="3759" t="s">
        <v>3313</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0.91400000000000003</v>
      </c>
      <c r="E116" s="2000" t="s">
        <v>3316</v>
      </c>
      <c r="F116" s="3402" t="str">
        <f>E2</f>
        <v>商业</v>
      </c>
      <c r="G116" s="2000" t="s">
        <v>3317</v>
      </c>
      <c r="H116" s="3402" t="str">
        <f>G2</f>
        <v>四级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3332</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84" t="s">
        <v>2609</v>
      </c>
      <c r="B20" s="3779" t="s">
        <v>2630</v>
      </c>
      <c r="C20" s="3103" t="s">
        <v>2441</v>
      </c>
      <c r="D20" s="3104"/>
      <c r="E20" s="3105">
        <v>1</v>
      </c>
      <c r="F20" s="3106" t="s">
        <v>2442</v>
      </c>
      <c r="G20" s="3106"/>
    </row>
    <row r="21" spans="1:13" ht="19.5" customHeight="1">
      <c r="A21" s="3785"/>
      <c r="B21" s="3778"/>
      <c r="C21" s="3107" t="s">
        <v>2443</v>
      </c>
      <c r="D21" s="3108"/>
      <c r="E21" s="3109">
        <v>1</v>
      </c>
      <c r="F21" s="3106" t="s">
        <v>2444</v>
      </c>
      <c r="G21" s="3106"/>
    </row>
    <row r="22" spans="1:13" ht="19.5" customHeight="1">
      <c r="A22" s="3785"/>
      <c r="B22" s="3778"/>
      <c r="C22" s="3107" t="s">
        <v>2445</v>
      </c>
      <c r="D22" s="3108"/>
      <c r="E22" s="3109">
        <v>0.9</v>
      </c>
      <c r="F22" s="3106" t="s">
        <v>2446</v>
      </c>
      <c r="G22" s="3106"/>
    </row>
    <row r="23" spans="1:13" ht="19.5" customHeight="1">
      <c r="A23" s="3785"/>
      <c r="B23" s="3778"/>
      <c r="C23" s="3107" t="s">
        <v>2447</v>
      </c>
      <c r="D23" s="3108"/>
      <c r="E23" s="3109">
        <v>0.9</v>
      </c>
      <c r="F23" s="3106" t="s">
        <v>2448</v>
      </c>
      <c r="G23" s="3106"/>
    </row>
    <row r="24" spans="1:13" ht="19.5" customHeight="1">
      <c r="A24" s="3785"/>
      <c r="B24" s="3778"/>
      <c r="C24" s="3107" t="s">
        <v>2449</v>
      </c>
      <c r="D24" s="3108"/>
      <c r="E24" s="3109">
        <v>0.8</v>
      </c>
      <c r="F24" s="3106" t="s">
        <v>2450</v>
      </c>
      <c r="G24" s="3106"/>
    </row>
    <row r="25" spans="1:13" ht="19.5" customHeight="1" thickBot="1">
      <c r="A25" s="3786"/>
      <c r="B25" s="3780"/>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81" t="s">
        <v>2633</v>
      </c>
      <c r="B27" s="3779" t="s">
        <v>2614</v>
      </c>
      <c r="C27" s="3103" t="s">
        <v>2454</v>
      </c>
      <c r="D27" s="3104"/>
      <c r="E27" s="3105">
        <v>1</v>
      </c>
      <c r="F27" s="3106" t="s">
        <v>2455</v>
      </c>
      <c r="G27" s="3106"/>
    </row>
    <row r="28" spans="1:13" ht="19.5" customHeight="1">
      <c r="A28" s="3782"/>
      <c r="B28" s="3778"/>
      <c r="C28" s="3107" t="s">
        <v>2456</v>
      </c>
      <c r="D28" s="3108"/>
      <c r="E28" s="3109">
        <v>1</v>
      </c>
      <c r="F28" s="3106" t="s">
        <v>2457</v>
      </c>
      <c r="G28" s="3106"/>
    </row>
    <row r="29" spans="1:13" ht="19.5" customHeight="1">
      <c r="A29" s="3782"/>
      <c r="B29" s="3778"/>
      <c r="C29" s="3107" t="s">
        <v>2458</v>
      </c>
      <c r="D29" s="3108"/>
      <c r="E29" s="3109">
        <v>0.8</v>
      </c>
      <c r="F29" s="3106" t="s">
        <v>2459</v>
      </c>
      <c r="G29" s="3106"/>
    </row>
    <row r="30" spans="1:13" ht="19.5" customHeight="1">
      <c r="A30" s="3782"/>
      <c r="B30" s="3778"/>
      <c r="C30" s="3107" t="s">
        <v>2460</v>
      </c>
      <c r="D30" s="3108"/>
      <c r="E30" s="3109">
        <v>0.8</v>
      </c>
      <c r="F30" s="3106" t="s">
        <v>2461</v>
      </c>
      <c r="G30" s="3106"/>
    </row>
    <row r="31" spans="1:13" ht="19.5" customHeight="1">
      <c r="A31" s="3782"/>
      <c r="B31" s="3778"/>
      <c r="C31" s="3107" t="s">
        <v>2462</v>
      </c>
      <c r="D31" s="3108"/>
      <c r="E31" s="3109">
        <v>0.8</v>
      </c>
      <c r="F31" s="3106" t="s">
        <v>2463</v>
      </c>
      <c r="G31" s="3106"/>
    </row>
    <row r="32" spans="1:13" ht="19.5" customHeight="1">
      <c r="A32" s="3782"/>
      <c r="B32" s="3778"/>
      <c r="C32" s="3107" t="s">
        <v>2464</v>
      </c>
      <c r="D32" s="3108"/>
      <c r="E32" s="3109">
        <v>0.7</v>
      </c>
      <c r="F32" s="3106" t="s">
        <v>2465</v>
      </c>
      <c r="G32" s="3106"/>
    </row>
    <row r="33" spans="1:7" ht="19.5" customHeight="1">
      <c r="A33" s="3782"/>
      <c r="B33" s="3778"/>
      <c r="C33" s="3107" t="s">
        <v>2466</v>
      </c>
      <c r="D33" s="3108"/>
      <c r="E33" s="3109">
        <v>0.8</v>
      </c>
      <c r="F33" s="3106" t="s">
        <v>2467</v>
      </c>
      <c r="G33" s="3106"/>
    </row>
    <row r="34" spans="1:7" ht="19.5" customHeight="1">
      <c r="A34" s="3782"/>
      <c r="B34" s="3778"/>
      <c r="C34" s="3107" t="s">
        <v>2468</v>
      </c>
      <c r="D34" s="3108"/>
      <c r="E34" s="3109">
        <v>0.6</v>
      </c>
      <c r="F34" s="3106" t="s">
        <v>2469</v>
      </c>
      <c r="G34" s="3106"/>
    </row>
    <row r="35" spans="1:7" ht="19.5" customHeight="1">
      <c r="A35" s="3782"/>
      <c r="B35" s="3778"/>
      <c r="C35" s="3107" t="s">
        <v>2470</v>
      </c>
      <c r="D35" s="3108"/>
      <c r="E35" s="3109">
        <v>0.2</v>
      </c>
      <c r="F35" s="3106" t="s">
        <v>2471</v>
      </c>
      <c r="G35" s="3106"/>
    </row>
    <row r="36" spans="1:7" ht="19.5" customHeight="1">
      <c r="A36" s="3782"/>
      <c r="B36" s="3778"/>
      <c r="C36" s="3107" t="s">
        <v>2472</v>
      </c>
      <c r="D36" s="3108"/>
      <c r="E36" s="3109">
        <v>0.2</v>
      </c>
      <c r="F36" s="3106" t="s">
        <v>2473</v>
      </c>
      <c r="G36" s="3106"/>
    </row>
    <row r="37" spans="1:7" ht="19.5" customHeight="1">
      <c r="A37" s="3782"/>
      <c r="B37" s="3776" t="s">
        <v>2634</v>
      </c>
      <c r="C37" s="3107" t="s">
        <v>2474</v>
      </c>
      <c r="D37" s="3108"/>
      <c r="E37" s="3109">
        <v>0.6</v>
      </c>
      <c r="F37" s="3106" t="s">
        <v>2475</v>
      </c>
      <c r="G37" s="3106"/>
    </row>
    <row r="38" spans="1:7" ht="19.5" customHeight="1">
      <c r="A38" s="3782"/>
      <c r="B38" s="3778"/>
      <c r="C38" s="3107" t="s">
        <v>2476</v>
      </c>
      <c r="D38" s="3108"/>
      <c r="E38" s="3109">
        <v>0.6</v>
      </c>
      <c r="F38" s="3106" t="s">
        <v>2477</v>
      </c>
      <c r="G38" s="3106"/>
    </row>
    <row r="39" spans="1:7" ht="19.5" customHeight="1" thickBot="1">
      <c r="A39" s="3783"/>
      <c r="B39" s="3780"/>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84" t="s">
        <v>2612</v>
      </c>
      <c r="B41" s="3779" t="s">
        <v>2636</v>
      </c>
      <c r="C41" s="3103" t="s">
        <v>2481</v>
      </c>
      <c r="D41" s="3104"/>
      <c r="E41" s="3105">
        <v>1</v>
      </c>
      <c r="F41" s="3106" t="s">
        <v>2482</v>
      </c>
      <c r="G41" s="3106"/>
    </row>
    <row r="42" spans="1:7" ht="19.5" customHeight="1">
      <c r="A42" s="3785"/>
      <c r="B42" s="3778"/>
      <c r="C42" s="3107" t="s">
        <v>2483</v>
      </c>
      <c r="D42" s="3108"/>
      <c r="E42" s="3109">
        <v>1</v>
      </c>
      <c r="F42" s="3106" t="s">
        <v>2484</v>
      </c>
      <c r="G42" s="3106"/>
    </row>
    <row r="43" spans="1:7" ht="19.5" customHeight="1">
      <c r="A43" s="3785"/>
      <c r="B43" s="3777"/>
      <c r="C43" s="3107" t="s">
        <v>2485</v>
      </c>
      <c r="D43" s="3108"/>
      <c r="E43" s="3109">
        <v>1.5</v>
      </c>
      <c r="F43" s="3106" t="s">
        <v>2486</v>
      </c>
      <c r="G43" s="3106"/>
    </row>
    <row r="44" spans="1:7" ht="19.5" customHeight="1">
      <c r="A44" s="3785"/>
      <c r="B44" s="3118" t="s">
        <v>2637</v>
      </c>
      <c r="C44" s="3107" t="s">
        <v>2638</v>
      </c>
      <c r="D44" s="3108"/>
      <c r="E44" s="3109">
        <v>2</v>
      </c>
      <c r="F44" s="3106" t="s">
        <v>2487</v>
      </c>
      <c r="G44" s="3106"/>
    </row>
    <row r="45" spans="1:7" ht="19.5" customHeight="1">
      <c r="A45" s="3785"/>
      <c r="B45" s="3776" t="s">
        <v>2639</v>
      </c>
      <c r="C45" s="3107" t="s">
        <v>2488</v>
      </c>
      <c r="D45" s="3108"/>
      <c r="E45" s="3109">
        <v>1</v>
      </c>
      <c r="F45" s="3106" t="s">
        <v>2489</v>
      </c>
      <c r="G45" s="3106"/>
    </row>
    <row r="46" spans="1:7" ht="19.5" customHeight="1">
      <c r="A46" s="3785"/>
      <c r="B46" s="3778"/>
      <c r="C46" s="3107" t="s">
        <v>2490</v>
      </c>
      <c r="D46" s="3108"/>
      <c r="E46" s="3109">
        <v>1</v>
      </c>
      <c r="F46" s="3106" t="s">
        <v>2491</v>
      </c>
      <c r="G46" s="3106"/>
    </row>
    <row r="47" spans="1:7" ht="19.5" customHeight="1">
      <c r="A47" s="3785"/>
      <c r="B47" s="3778"/>
      <c r="C47" s="3107" t="s">
        <v>2492</v>
      </c>
      <c r="D47" s="3108"/>
      <c r="E47" s="3109">
        <v>1</v>
      </c>
      <c r="F47" s="3106" t="s">
        <v>2493</v>
      </c>
      <c r="G47" s="3106"/>
    </row>
    <row r="48" spans="1:7" ht="19.5" customHeight="1">
      <c r="A48" s="3785"/>
      <c r="B48" s="3778"/>
      <c r="C48" s="3107" t="s">
        <v>2494</v>
      </c>
      <c r="D48" s="3108"/>
      <c r="E48" s="3109">
        <v>1</v>
      </c>
      <c r="F48" s="3106" t="s">
        <v>2495</v>
      </c>
      <c r="G48" s="3106"/>
    </row>
    <row r="49" spans="1:7" ht="19.5" customHeight="1">
      <c r="A49" s="3785"/>
      <c r="B49" s="3778"/>
      <c r="C49" s="3107" t="s">
        <v>2496</v>
      </c>
      <c r="D49" s="3108"/>
      <c r="E49" s="3109">
        <v>1</v>
      </c>
      <c r="F49" s="3106" t="s">
        <v>2497</v>
      </c>
      <c r="G49" s="3106"/>
    </row>
    <row r="50" spans="1:7" ht="19.5" customHeight="1">
      <c r="A50" s="3785"/>
      <c r="B50" s="3778"/>
      <c r="C50" s="3107" t="s">
        <v>2498</v>
      </c>
      <c r="D50" s="3108"/>
      <c r="E50" s="3109">
        <v>1</v>
      </c>
      <c r="F50" s="3106" t="s">
        <v>2499</v>
      </c>
      <c r="G50" s="3106"/>
    </row>
    <row r="51" spans="1:7" ht="19.5" customHeight="1" thickBot="1">
      <c r="A51" s="3786"/>
      <c r="B51" s="3780"/>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6" t="s">
        <v>2653</v>
      </c>
      <c r="C73" s="3092" t="s">
        <v>2654</v>
      </c>
      <c r="D73" s="3092" t="s">
        <v>2655</v>
      </c>
      <c r="E73" s="3118">
        <v>0.2</v>
      </c>
      <c r="F73" s="3118">
        <v>25</v>
      </c>
    </row>
    <row r="74" spans="1:7" ht="24">
      <c r="A74" s="3118">
        <v>2</v>
      </c>
      <c r="B74" s="3778"/>
      <c r="C74" s="3092" t="s">
        <v>2656</v>
      </c>
      <c r="D74" s="3092" t="s">
        <v>2657</v>
      </c>
      <c r="E74" s="3118">
        <v>0.2</v>
      </c>
      <c r="F74" s="3118">
        <v>25</v>
      </c>
    </row>
    <row r="75" spans="1:7" ht="24">
      <c r="A75" s="3118">
        <v>3</v>
      </c>
      <c r="B75" s="3778"/>
      <c r="C75" s="3092" t="s">
        <v>2658</v>
      </c>
      <c r="D75" s="3092" t="s">
        <v>2659</v>
      </c>
      <c r="E75" s="3118">
        <v>0.2</v>
      </c>
      <c r="F75" s="3118">
        <v>25</v>
      </c>
    </row>
    <row r="76" spans="1:7" ht="13.5">
      <c r="A76" s="3118">
        <v>4</v>
      </c>
      <c r="B76" s="3778"/>
      <c r="C76" s="3092" t="s">
        <v>2660</v>
      </c>
      <c r="D76" s="3092" t="s">
        <v>2661</v>
      </c>
      <c r="E76" s="3118">
        <v>0.15</v>
      </c>
      <c r="F76" s="3118">
        <v>20</v>
      </c>
    </row>
    <row r="77" spans="1:7" ht="24">
      <c r="A77" s="3118">
        <v>5</v>
      </c>
      <c r="B77" s="3778"/>
      <c r="C77" s="3092" t="s">
        <v>2662</v>
      </c>
      <c r="D77" s="3092" t="s">
        <v>2663</v>
      </c>
      <c r="E77" s="3118">
        <v>0.15</v>
      </c>
      <c r="F77" s="3118">
        <v>20</v>
      </c>
    </row>
    <row r="78" spans="1:7" ht="24">
      <c r="A78" s="3118">
        <v>6</v>
      </c>
      <c r="B78" s="3778"/>
      <c r="C78" s="3092" t="s">
        <v>2664</v>
      </c>
      <c r="D78" s="3092" t="s">
        <v>2665</v>
      </c>
      <c r="E78" s="3118">
        <v>0.15</v>
      </c>
      <c r="F78" s="3118">
        <v>20</v>
      </c>
    </row>
    <row r="79" spans="1:7" ht="24">
      <c r="A79" s="3118">
        <v>7</v>
      </c>
      <c r="B79" s="3778"/>
      <c r="C79" s="3092" t="s">
        <v>2666</v>
      </c>
      <c r="D79" s="3092" t="s">
        <v>2667</v>
      </c>
      <c r="E79" s="3118">
        <v>0.15</v>
      </c>
      <c r="F79" s="3118">
        <v>20</v>
      </c>
    </row>
    <row r="80" spans="1:7" ht="24">
      <c r="A80" s="3118">
        <v>8</v>
      </c>
      <c r="B80" s="3778"/>
      <c r="C80" s="3092" t="s">
        <v>2668</v>
      </c>
      <c r="D80" s="3092" t="s">
        <v>2669</v>
      </c>
      <c r="E80" s="3118">
        <v>0.1</v>
      </c>
      <c r="F80" s="3118">
        <v>15</v>
      </c>
    </row>
    <row r="81" spans="1:6" ht="24">
      <c r="A81" s="3118">
        <v>9</v>
      </c>
      <c r="B81" s="3778"/>
      <c r="C81" s="3092" t="s">
        <v>2670</v>
      </c>
      <c r="D81" s="3092" t="s">
        <v>2671</v>
      </c>
      <c r="E81" s="3118">
        <v>0.1</v>
      </c>
      <c r="F81" s="3118">
        <v>15</v>
      </c>
    </row>
    <row r="82" spans="1:6" ht="24">
      <c r="A82" s="3118">
        <v>10</v>
      </c>
      <c r="B82" s="3778"/>
      <c r="C82" s="3092" t="s">
        <v>2672</v>
      </c>
      <c r="D82" s="3092" t="s">
        <v>2673</v>
      </c>
      <c r="E82" s="3118">
        <v>0.1</v>
      </c>
      <c r="F82" s="3118">
        <v>15</v>
      </c>
    </row>
    <row r="83" spans="1:6" ht="24">
      <c r="A83" s="3118">
        <v>11</v>
      </c>
      <c r="B83" s="3778"/>
      <c r="C83" s="3092" t="s">
        <v>2674</v>
      </c>
      <c r="D83" s="3092" t="s">
        <v>2675</v>
      </c>
      <c r="E83" s="3118">
        <v>0.1</v>
      </c>
      <c r="F83" s="3118">
        <v>15</v>
      </c>
    </row>
    <row r="84" spans="1:6" ht="24">
      <c r="A84" s="3118">
        <v>12</v>
      </c>
      <c r="B84" s="3778"/>
      <c r="C84" s="3092" t="s">
        <v>2676</v>
      </c>
      <c r="D84" s="3092" t="s">
        <v>2677</v>
      </c>
      <c r="E84" s="3118">
        <v>0.1</v>
      </c>
      <c r="F84" s="3118">
        <v>15</v>
      </c>
    </row>
    <row r="85" spans="1:6" ht="13.5">
      <c r="A85" s="3118">
        <v>13</v>
      </c>
      <c r="B85" s="3778"/>
      <c r="C85" s="3092" t="s">
        <v>2678</v>
      </c>
      <c r="D85" s="3092" t="s">
        <v>2679</v>
      </c>
      <c r="E85" s="3118">
        <v>0.1</v>
      </c>
      <c r="F85" s="3118">
        <v>15</v>
      </c>
    </row>
    <row r="86" spans="1:6" ht="13.5">
      <c r="A86" s="3118">
        <v>14</v>
      </c>
      <c r="B86" s="3778"/>
      <c r="C86" s="3092" t="s">
        <v>2680</v>
      </c>
      <c r="D86" s="3092" t="s">
        <v>2681</v>
      </c>
      <c r="E86" s="3118">
        <v>0.1</v>
      </c>
      <c r="F86" s="3118">
        <v>15</v>
      </c>
    </row>
    <row r="87" spans="1:6" ht="13.5">
      <c r="A87" s="3118">
        <v>15</v>
      </c>
      <c r="B87" s="3778"/>
      <c r="C87" s="3092" t="s">
        <v>2682</v>
      </c>
      <c r="D87" s="3092" t="s">
        <v>2683</v>
      </c>
      <c r="E87" s="3118">
        <v>0.1</v>
      </c>
      <c r="F87" s="3118">
        <v>15</v>
      </c>
    </row>
    <row r="88" spans="1:6" ht="24">
      <c r="A88" s="3118">
        <v>16</v>
      </c>
      <c r="B88" s="3778"/>
      <c r="C88" s="3092" t="s">
        <v>2684</v>
      </c>
      <c r="D88" s="3092" t="s">
        <v>2685</v>
      </c>
      <c r="E88" s="3118">
        <v>0.1</v>
      </c>
      <c r="F88" s="3118">
        <v>15</v>
      </c>
    </row>
    <row r="89" spans="1:6" ht="24">
      <c r="A89" s="3118">
        <v>17</v>
      </c>
      <c r="B89" s="3777"/>
      <c r="C89" s="3092" t="s">
        <v>2686</v>
      </c>
      <c r="D89" s="3092" t="s">
        <v>2687</v>
      </c>
      <c r="E89" s="3118">
        <v>0.1</v>
      </c>
      <c r="F89" s="3118">
        <v>15</v>
      </c>
    </row>
    <row r="90" spans="1:6" ht="13.5">
      <c r="A90" s="3118">
        <v>18</v>
      </c>
      <c r="B90" s="3776" t="s">
        <v>2688</v>
      </c>
      <c r="C90" s="3092" t="s">
        <v>2689</v>
      </c>
      <c r="D90" s="3092" t="s">
        <v>2690</v>
      </c>
      <c r="E90" s="3118">
        <v>0.2</v>
      </c>
      <c r="F90" s="3118">
        <v>25</v>
      </c>
    </row>
    <row r="91" spans="1:6" ht="24">
      <c r="A91" s="3118">
        <v>19</v>
      </c>
      <c r="B91" s="3778"/>
      <c r="C91" s="3092" t="s">
        <v>2691</v>
      </c>
      <c r="D91" s="3092" t="s">
        <v>2692</v>
      </c>
      <c r="E91" s="3118">
        <v>0.2</v>
      </c>
      <c r="F91" s="3118">
        <v>25</v>
      </c>
    </row>
    <row r="92" spans="1:6" ht="13.5">
      <c r="A92" s="3118">
        <v>20</v>
      </c>
      <c r="B92" s="3778"/>
      <c r="C92" s="3092" t="s">
        <v>2693</v>
      </c>
      <c r="D92" s="3092" t="s">
        <v>2694</v>
      </c>
      <c r="E92" s="3118">
        <v>0.15</v>
      </c>
      <c r="F92" s="3118">
        <v>20</v>
      </c>
    </row>
    <row r="93" spans="1:6" ht="13.5">
      <c r="A93" s="3118">
        <v>21</v>
      </c>
      <c r="B93" s="3778"/>
      <c r="C93" s="3092" t="s">
        <v>2695</v>
      </c>
      <c r="D93" s="3092" t="s">
        <v>2696</v>
      </c>
      <c r="E93" s="3118">
        <v>0.15</v>
      </c>
      <c r="F93" s="3118">
        <v>20</v>
      </c>
    </row>
    <row r="94" spans="1:6" ht="13.5">
      <c r="A94" s="3118">
        <v>22</v>
      </c>
      <c r="B94" s="3778"/>
      <c r="C94" s="3092" t="s">
        <v>2697</v>
      </c>
      <c r="D94" s="3092" t="s">
        <v>2698</v>
      </c>
      <c r="E94" s="3118">
        <v>0.15</v>
      </c>
      <c r="F94" s="3118">
        <v>20</v>
      </c>
    </row>
    <row r="95" spans="1:6" ht="36">
      <c r="A95" s="3118">
        <v>23</v>
      </c>
      <c r="B95" s="3778"/>
      <c r="C95" s="3092" t="s">
        <v>2699</v>
      </c>
      <c r="D95" s="3092" t="s">
        <v>2700</v>
      </c>
      <c r="E95" s="3118">
        <v>0.15</v>
      </c>
      <c r="F95" s="3118">
        <v>20</v>
      </c>
    </row>
    <row r="96" spans="1:6" ht="13.5">
      <c r="A96" s="3118">
        <v>24</v>
      </c>
      <c r="B96" s="3778"/>
      <c r="C96" s="3092" t="s">
        <v>2701</v>
      </c>
      <c r="D96" s="3092" t="s">
        <v>2702</v>
      </c>
      <c r="E96" s="3118">
        <v>0.1</v>
      </c>
      <c r="F96" s="3118">
        <v>15</v>
      </c>
    </row>
    <row r="97" spans="1:6" ht="13.5">
      <c r="A97" s="3118">
        <v>25</v>
      </c>
      <c r="B97" s="3778"/>
      <c r="C97" s="3092" t="s">
        <v>2703</v>
      </c>
      <c r="D97" s="3092" t="s">
        <v>2704</v>
      </c>
      <c r="E97" s="3118">
        <v>0.1</v>
      </c>
      <c r="F97" s="3118">
        <v>15</v>
      </c>
    </row>
    <row r="98" spans="1:6" ht="24">
      <c r="A98" s="3118">
        <v>26</v>
      </c>
      <c r="B98" s="3778"/>
      <c r="C98" s="3092" t="s">
        <v>2705</v>
      </c>
      <c r="D98" s="3092" t="s">
        <v>2706</v>
      </c>
      <c r="E98" s="3118">
        <v>0.1</v>
      </c>
      <c r="F98" s="3118">
        <v>15</v>
      </c>
    </row>
    <row r="99" spans="1:6" ht="24">
      <c r="A99" s="3118">
        <v>27</v>
      </c>
      <c r="B99" s="3778"/>
      <c r="C99" s="3092" t="s">
        <v>2707</v>
      </c>
      <c r="D99" s="3092" t="s">
        <v>2708</v>
      </c>
      <c r="E99" s="3118">
        <v>0.1</v>
      </c>
      <c r="F99" s="3118">
        <v>15</v>
      </c>
    </row>
    <row r="100" spans="1:6" ht="13.5">
      <c r="A100" s="3118">
        <v>28</v>
      </c>
      <c r="B100" s="3778"/>
      <c r="C100" s="3092" t="s">
        <v>2709</v>
      </c>
      <c r="D100" s="3092" t="s">
        <v>2710</v>
      </c>
      <c r="E100" s="3118">
        <v>0.1</v>
      </c>
      <c r="F100" s="3118">
        <v>15</v>
      </c>
    </row>
    <row r="101" spans="1:6" ht="13.5">
      <c r="A101" s="3118">
        <v>29</v>
      </c>
      <c r="B101" s="3778"/>
      <c r="C101" s="3092" t="s">
        <v>2711</v>
      </c>
      <c r="D101" s="3092" t="s">
        <v>2712</v>
      </c>
      <c r="E101" s="3118">
        <v>0.1</v>
      </c>
      <c r="F101" s="3118">
        <v>15</v>
      </c>
    </row>
    <row r="102" spans="1:6" ht="13.5">
      <c r="A102" s="3118">
        <v>30</v>
      </c>
      <c r="B102" s="3778"/>
      <c r="C102" s="3092" t="s">
        <v>2713</v>
      </c>
      <c r="D102" s="3092" t="s">
        <v>2714</v>
      </c>
      <c r="E102" s="3118">
        <v>0.1</v>
      </c>
      <c r="F102" s="3118">
        <v>15</v>
      </c>
    </row>
    <row r="103" spans="1:6" ht="24">
      <c r="A103" s="3118">
        <v>31</v>
      </c>
      <c r="B103" s="3778"/>
      <c r="C103" s="3092" t="s">
        <v>2715</v>
      </c>
      <c r="D103" s="3092" t="s">
        <v>2716</v>
      </c>
      <c r="E103" s="3118">
        <v>0.1</v>
      </c>
      <c r="F103" s="3118">
        <v>15</v>
      </c>
    </row>
    <row r="104" spans="1:6" ht="24">
      <c r="A104" s="3118">
        <v>32</v>
      </c>
      <c r="B104" s="3778"/>
      <c r="C104" s="3092" t="s">
        <v>2717</v>
      </c>
      <c r="D104" s="3092" t="s">
        <v>2718</v>
      </c>
      <c r="E104" s="3118">
        <v>0.1</v>
      </c>
      <c r="F104" s="3118">
        <v>15</v>
      </c>
    </row>
    <row r="105" spans="1:6" ht="24">
      <c r="A105" s="3118">
        <v>33</v>
      </c>
      <c r="B105" s="3778"/>
      <c r="C105" s="3092" t="s">
        <v>2719</v>
      </c>
      <c r="D105" s="3092" t="s">
        <v>2720</v>
      </c>
      <c r="E105" s="3118">
        <v>0.1</v>
      </c>
      <c r="F105" s="3118">
        <v>15</v>
      </c>
    </row>
    <row r="106" spans="1:6" ht="24">
      <c r="A106" s="3118">
        <v>34</v>
      </c>
      <c r="B106" s="3777"/>
      <c r="C106" s="3092" t="s">
        <v>2721</v>
      </c>
      <c r="D106" s="3092" t="s">
        <v>2722</v>
      </c>
      <c r="E106" s="3118">
        <v>0.1</v>
      </c>
      <c r="F106" s="3118">
        <v>15</v>
      </c>
    </row>
    <row r="107" spans="1:6" ht="24">
      <c r="A107" s="3118">
        <v>35</v>
      </c>
      <c r="B107" s="3776" t="s">
        <v>2723</v>
      </c>
      <c r="C107" s="3118" t="s">
        <v>2724</v>
      </c>
      <c r="D107" s="3092" t="s">
        <v>2725</v>
      </c>
      <c r="E107" s="3118">
        <v>0.15</v>
      </c>
      <c r="F107" s="3118">
        <v>20</v>
      </c>
    </row>
    <row r="108" spans="1:6" ht="13.5">
      <c r="A108" s="3118">
        <v>36</v>
      </c>
      <c r="B108" s="3778"/>
      <c r="C108" s="3118" t="s">
        <v>2726</v>
      </c>
      <c r="D108" s="3092" t="s">
        <v>2727</v>
      </c>
      <c r="E108" s="3118">
        <v>0.15</v>
      </c>
      <c r="F108" s="3118">
        <v>20</v>
      </c>
    </row>
    <row r="109" spans="1:6" ht="13.5">
      <c r="A109" s="3118">
        <v>37</v>
      </c>
      <c r="B109" s="3778"/>
      <c r="C109" s="3118" t="s">
        <v>2728</v>
      </c>
      <c r="D109" s="3092" t="s">
        <v>2729</v>
      </c>
      <c r="E109" s="3118">
        <v>0.15</v>
      </c>
      <c r="F109" s="3118">
        <v>20</v>
      </c>
    </row>
    <row r="110" spans="1:6" ht="13.5">
      <c r="A110" s="3118">
        <v>38</v>
      </c>
      <c r="B110" s="3778"/>
      <c r="C110" s="3118" t="s">
        <v>2730</v>
      </c>
      <c r="D110" s="3092" t="s">
        <v>2731</v>
      </c>
      <c r="E110" s="3118">
        <v>0.1</v>
      </c>
      <c r="F110" s="3118">
        <v>15</v>
      </c>
    </row>
    <row r="111" spans="1:6" ht="24">
      <c r="A111" s="3118">
        <v>39</v>
      </c>
      <c r="B111" s="3778"/>
      <c r="C111" s="3118" t="s">
        <v>2732</v>
      </c>
      <c r="D111" s="3092" t="s">
        <v>2733</v>
      </c>
      <c r="E111" s="3118">
        <v>0.1</v>
      </c>
      <c r="F111" s="3118">
        <v>15</v>
      </c>
    </row>
    <row r="112" spans="1:6" ht="24">
      <c r="A112" s="3118">
        <v>40</v>
      </c>
      <c r="B112" s="3777"/>
      <c r="C112" s="3118" t="s">
        <v>2734</v>
      </c>
      <c r="D112" s="3092" t="s">
        <v>2735</v>
      </c>
      <c r="E112" s="3118">
        <v>0.1</v>
      </c>
      <c r="F112" s="3118">
        <v>15</v>
      </c>
    </row>
    <row r="113" spans="1:6" ht="13.5">
      <c r="A113" s="3118">
        <v>41</v>
      </c>
      <c r="B113" s="3775" t="s">
        <v>2736</v>
      </c>
      <c r="C113" s="3118" t="s">
        <v>2737</v>
      </c>
      <c r="D113" s="3092" t="s">
        <v>2738</v>
      </c>
      <c r="E113" s="3118">
        <v>0.1</v>
      </c>
      <c r="F113" s="3118">
        <v>15</v>
      </c>
    </row>
    <row r="114" spans="1:6" ht="13.5">
      <c r="A114" s="3118">
        <v>42</v>
      </c>
      <c r="B114" s="3775"/>
      <c r="C114" s="3118" t="s">
        <v>2739</v>
      </c>
      <c r="D114" s="3092" t="s">
        <v>2740</v>
      </c>
      <c r="E114" s="3118">
        <v>0.1</v>
      </c>
      <c r="F114" s="3118">
        <v>15</v>
      </c>
    </row>
    <row r="115" spans="1:6" ht="24">
      <c r="A115" s="3118">
        <v>43</v>
      </c>
      <c r="B115" s="3775"/>
      <c r="C115" s="3118" t="s">
        <v>2741</v>
      </c>
      <c r="D115" s="3092" t="s">
        <v>2742</v>
      </c>
      <c r="E115" s="3118">
        <v>0.1</v>
      </c>
      <c r="F115" s="3118">
        <v>15</v>
      </c>
    </row>
    <row r="116" spans="1:6" ht="13.5">
      <c r="A116" s="3118">
        <v>44</v>
      </c>
      <c r="B116" s="3776" t="s">
        <v>2743</v>
      </c>
      <c r="C116" s="3118" t="s">
        <v>2744</v>
      </c>
      <c r="D116" s="3092" t="s">
        <v>2745</v>
      </c>
      <c r="E116" s="3118">
        <v>0.1</v>
      </c>
      <c r="F116" s="3118">
        <v>15</v>
      </c>
    </row>
    <row r="117" spans="1:6" ht="24">
      <c r="A117" s="3118">
        <v>45</v>
      </c>
      <c r="B117" s="3777"/>
      <c r="C117" s="3092" t="s">
        <v>2746</v>
      </c>
      <c r="D117" s="3092" t="s">
        <v>2747</v>
      </c>
      <c r="E117" s="3118">
        <v>0.1</v>
      </c>
      <c r="F117" s="3118">
        <v>15</v>
      </c>
    </row>
    <row r="118" spans="1:6" ht="24">
      <c r="A118" s="3118">
        <v>46</v>
      </c>
      <c r="B118" s="3776" t="s">
        <v>2748</v>
      </c>
      <c r="C118" s="3118" t="s">
        <v>2749</v>
      </c>
      <c r="D118" s="3092" t="s">
        <v>2750</v>
      </c>
      <c r="E118" s="3118">
        <v>0.1</v>
      </c>
      <c r="F118" s="3118">
        <v>15</v>
      </c>
    </row>
    <row r="119" spans="1:6" ht="24">
      <c r="A119" s="3118">
        <v>47</v>
      </c>
      <c r="B119" s="3777"/>
      <c r="C119" s="3118" t="s">
        <v>2751</v>
      </c>
      <c r="D119" s="3092" t="s">
        <v>2752</v>
      </c>
      <c r="E119" s="3118">
        <v>0.1</v>
      </c>
      <c r="F119" s="3118">
        <v>15</v>
      </c>
    </row>
    <row r="120" spans="1:6" ht="13.5">
      <c r="A120" s="3118">
        <v>48</v>
      </c>
      <c r="B120" s="3776" t="s">
        <v>2753</v>
      </c>
      <c r="C120" s="3118" t="s">
        <v>2754</v>
      </c>
      <c r="D120" s="3092" t="s">
        <v>2755</v>
      </c>
      <c r="E120" s="3118">
        <v>0.1</v>
      </c>
      <c r="F120" s="3118">
        <v>15</v>
      </c>
    </row>
    <row r="121" spans="1:6" ht="13.5">
      <c r="A121" s="3118">
        <v>49</v>
      </c>
      <c r="B121" s="3777"/>
      <c r="C121" s="3118" t="s">
        <v>2756</v>
      </c>
      <c r="D121" s="3092" t="s">
        <v>2757</v>
      </c>
      <c r="E121" s="3118">
        <v>0.1</v>
      </c>
      <c r="F121" s="3118">
        <v>15</v>
      </c>
    </row>
    <row r="122" spans="1:6" ht="24">
      <c r="A122" s="3118">
        <v>50</v>
      </c>
      <c r="B122" s="3775" t="s">
        <v>2758</v>
      </c>
      <c r="C122" s="3118" t="s">
        <v>2759</v>
      </c>
      <c r="D122" s="3092" t="s">
        <v>2760</v>
      </c>
      <c r="E122" s="3118">
        <v>0.1</v>
      </c>
      <c r="F122" s="3118">
        <v>15</v>
      </c>
    </row>
    <row r="123" spans="1:6" ht="24">
      <c r="A123" s="3118">
        <v>51</v>
      </c>
      <c r="B123" s="3775"/>
      <c r="C123" s="3118" t="s">
        <v>2761</v>
      </c>
      <c r="D123" s="3092" t="s">
        <v>2762</v>
      </c>
      <c r="E123" s="3118">
        <v>0.1</v>
      </c>
      <c r="F123" s="3118">
        <v>15</v>
      </c>
    </row>
    <row r="124" spans="1:6" ht="24">
      <c r="A124" s="3118">
        <v>52</v>
      </c>
      <c r="B124" s="3775" t="s">
        <v>2763</v>
      </c>
      <c r="C124" s="3118" t="s">
        <v>2764</v>
      </c>
      <c r="D124" s="3092" t="s">
        <v>2765</v>
      </c>
      <c r="E124" s="3118">
        <v>0.1</v>
      </c>
      <c r="F124" s="3118">
        <v>15</v>
      </c>
    </row>
    <row r="125" spans="1:6" ht="24">
      <c r="A125" s="3118">
        <v>53</v>
      </c>
      <c r="B125" s="3775"/>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5" t="s">
        <v>2771</v>
      </c>
      <c r="C127" s="3118" t="s">
        <v>2772</v>
      </c>
      <c r="D127" s="3092" t="s">
        <v>2773</v>
      </c>
      <c r="E127" s="3118">
        <v>0.1</v>
      </c>
      <c r="F127" s="3118">
        <v>15</v>
      </c>
    </row>
    <row r="128" spans="1:6" ht="13.5">
      <c r="A128" s="3118">
        <v>56</v>
      </c>
      <c r="B128" s="3775"/>
      <c r="C128" s="3118" t="s">
        <v>2774</v>
      </c>
      <c r="D128" s="3092" t="s">
        <v>2775</v>
      </c>
      <c r="E128" s="3118">
        <v>0.1</v>
      </c>
      <c r="F128" s="3118">
        <v>15</v>
      </c>
    </row>
    <row r="129" spans="1:6" ht="24">
      <c r="A129" s="3118">
        <v>57</v>
      </c>
      <c r="B129" s="3775"/>
      <c r="C129" s="3118" t="s">
        <v>2776</v>
      </c>
      <c r="D129" s="3092" t="s">
        <v>2777</v>
      </c>
      <c r="E129" s="3118">
        <v>0.1</v>
      </c>
      <c r="F129" s="3118">
        <v>15</v>
      </c>
    </row>
    <row r="130" spans="1:6" ht="24">
      <c r="A130" s="3118">
        <v>58</v>
      </c>
      <c r="B130" s="3775" t="s">
        <v>2778</v>
      </c>
      <c r="C130" s="3118" t="s">
        <v>2779</v>
      </c>
      <c r="D130" s="3092" t="s">
        <v>2780</v>
      </c>
      <c r="E130" s="3118">
        <v>0.1</v>
      </c>
      <c r="F130" s="3118">
        <v>15</v>
      </c>
    </row>
    <row r="131" spans="1:6" ht="13.5">
      <c r="A131" s="3118">
        <v>59</v>
      </c>
      <c r="B131" s="3775"/>
      <c r="C131" s="3118" t="s">
        <v>2781</v>
      </c>
      <c r="D131" s="3092" t="s">
        <v>2782</v>
      </c>
      <c r="E131" s="3118">
        <v>0.1</v>
      </c>
      <c r="F131" s="3118">
        <v>15</v>
      </c>
    </row>
    <row r="132" spans="1:6" ht="13.5">
      <c r="A132" s="3118">
        <v>60</v>
      </c>
      <c r="B132" s="3776" t="s">
        <v>2783</v>
      </c>
      <c r="C132" s="3118" t="s">
        <v>2784</v>
      </c>
      <c r="D132" s="3092" t="s">
        <v>2785</v>
      </c>
      <c r="E132" s="3118">
        <v>0.1</v>
      </c>
      <c r="F132" s="3118">
        <v>15</v>
      </c>
    </row>
    <row r="133" spans="1:6" ht="13.5">
      <c r="A133" s="3118">
        <v>61</v>
      </c>
      <c r="B133" s="377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5" t="s">
        <v>2791</v>
      </c>
      <c r="C135" s="3118" t="s">
        <v>2792</v>
      </c>
      <c r="D135" s="3092" t="s">
        <v>2793</v>
      </c>
      <c r="E135" s="3118">
        <v>0.1</v>
      </c>
      <c r="F135" s="3118">
        <v>15</v>
      </c>
    </row>
    <row r="136" spans="1:6" ht="13.5">
      <c r="A136" s="3118">
        <v>64</v>
      </c>
      <c r="B136" s="3775"/>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1922</v>
      </c>
      <c r="E5" s="1491"/>
    </row>
    <row r="6" spans="1:5" ht="15.75">
      <c r="A6" s="1491"/>
      <c r="B6" s="3458"/>
      <c r="C6" s="1494" t="s">
        <v>911</v>
      </c>
      <c r="D6" s="850" t="str">
        <f ca="1">NUMBERSTRING(INT(D5*10000),2)&amp;"元整"</f>
        <v>壹仟玖佰贰拾贰万元整</v>
      </c>
      <c r="E6" s="1491"/>
    </row>
    <row r="7" spans="1:5" ht="15.75">
      <c r="A7" s="1491"/>
      <c r="B7" s="3463"/>
      <c r="C7" s="1495" t="s">
        <v>912</v>
      </c>
      <c r="D7" s="851">
        <f ca="1">结果表!H102</f>
        <v>26671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1922</v>
      </c>
      <c r="E13" s="1491"/>
    </row>
    <row r="14" spans="1:5" ht="15.75">
      <c r="A14" s="1491"/>
      <c r="B14" s="3458"/>
      <c r="C14" s="1494" t="s">
        <v>911</v>
      </c>
      <c r="D14" s="850" t="str">
        <f ca="1">NUMBERSTRING(INT(D13*10000),2)&amp;"元整"</f>
        <v>壹仟玖佰贰拾贰万元整</v>
      </c>
      <c r="E14" s="1491"/>
    </row>
    <row r="15" spans="1:5" ht="15">
      <c r="A15" s="1491"/>
      <c r="B15" s="3463"/>
      <c r="C15" s="1495" t="s">
        <v>921</v>
      </c>
      <c r="D15" s="859">
        <f ca="1">结果表!H108</f>
        <v>26671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29606</v>
      </c>
      <c r="C2" s="2" t="s">
        <v>106</v>
      </c>
      <c r="D2" s="199"/>
      <c r="E2" s="199"/>
      <c r="F2" s="199"/>
      <c r="G2" s="199"/>
    </row>
    <row r="3" spans="1:7" s="200" customFormat="1" ht="18" customHeight="1" thickBot="1">
      <c r="A3" s="203" t="s">
        <v>58</v>
      </c>
      <c r="B3" s="204">
        <f ca="1">ROUND(B2*10000/'数据-汇总表'!E3,0)</f>
        <v>410812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720.67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720.67</v>
      </c>
      <c r="E19" s="211">
        <f>'数据-取费表'!B31</f>
        <v>200</v>
      </c>
      <c r="F19" s="231"/>
      <c r="G19" s="1" t="s">
        <v>436</v>
      </c>
    </row>
    <row r="20" spans="1:7" s="214" customFormat="1" ht="13.5" customHeight="1">
      <c r="A20" s="777" t="s">
        <v>419</v>
      </c>
      <c r="B20" s="210" t="s">
        <v>77</v>
      </c>
      <c r="C20" s="232">
        <f>ROUND((C5+C19)*F20,0)</f>
        <v>516</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1422</v>
      </c>
      <c r="D22" s="235">
        <f ca="1">C26</f>
        <v>8.0000000000000004E-4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4228</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4228</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288</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v>
      </c>
      <c r="D37" s="217">
        <f>'数据-汇总表'!E3</f>
        <v>720.67</v>
      </c>
      <c r="E37" s="249">
        <f>'数据-取费表'!B35</f>
        <v>200</v>
      </c>
      <c r="F37" s="259"/>
      <c r="G37" s="261" t="s">
        <v>92</v>
      </c>
    </row>
    <row r="38" spans="1:7" ht="13.5" customHeight="1">
      <c r="A38" s="780" t="s">
        <v>354</v>
      </c>
      <c r="B38" s="215" t="s">
        <v>36</v>
      </c>
      <c r="C38" s="220">
        <f>ROUND(C34*F38,0)</f>
        <v>6</v>
      </c>
      <c r="D38" s="220"/>
      <c r="E38" s="220"/>
      <c r="F38" s="259">
        <f>'数据-取费表'!B36</f>
        <v>0.02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11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8.0000000000000004E-4</v>
      </c>
      <c r="D44" s="238"/>
      <c r="E44" s="238"/>
      <c r="F44" s="239"/>
      <c r="G44" s="3653"/>
    </row>
    <row r="45" spans="1:7" s="214" customFormat="1" ht="13.5" customHeight="1">
      <c r="A45" s="777" t="s">
        <v>341</v>
      </c>
      <c r="B45" s="244" t="s">
        <v>85</v>
      </c>
      <c r="C45" s="245">
        <f>C46</f>
        <v>66</v>
      </c>
      <c r="D45" s="235">
        <f>C47</f>
        <v>5.0000000000000001E-3</v>
      </c>
      <c r="E45" s="236" t="s">
        <v>102</v>
      </c>
      <c r="F45" s="246"/>
      <c r="G45" s="247" t="s">
        <v>434</v>
      </c>
    </row>
    <row r="46" spans="1:7" s="214" customFormat="1" ht="13.5" customHeight="1">
      <c r="A46" s="780" t="s">
        <v>349</v>
      </c>
      <c r="B46" s="248" t="s">
        <v>427</v>
      </c>
      <c r="C46" s="249">
        <f>ROUND((C33+C39)*F27,0)</f>
        <v>66</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444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355</v>
      </c>
      <c r="D51" s="232"/>
      <c r="E51" s="232"/>
      <c r="F51" s="264"/>
      <c r="G51" s="234" t="s">
        <v>37</v>
      </c>
    </row>
    <row r="52" spans="1:7" s="208" customFormat="1" ht="16.5" thickBot="1">
      <c r="A52" s="265" t="s">
        <v>38</v>
      </c>
      <c r="B52" s="266"/>
      <c r="C52" s="267">
        <f ca="1">C31+C51</f>
        <v>29606</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L1" sqref="L1"/>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2841</v>
      </c>
      <c r="B1" s="3789"/>
      <c r="C1" s="3789"/>
      <c r="D1" s="3789"/>
      <c r="E1" s="3789"/>
      <c r="F1" s="3789"/>
      <c r="G1" s="3790"/>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87"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88"/>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3183</v>
      </c>
      <c r="B1" s="3791"/>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92" t="s">
        <v>3234</v>
      </c>
      <c r="B1" s="3792"/>
      <c r="C1" s="3792"/>
      <c r="D1" s="3792"/>
      <c r="E1" s="3792"/>
      <c r="F1" s="3793"/>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21">
        <f>基准地价修正!G23</f>
        <v>45511</v>
      </c>
      <c r="B1" s="3210" t="s">
        <v>3372</v>
      </c>
      <c r="C1" s="3211"/>
      <c r="D1" s="3211"/>
      <c r="E1" s="3211"/>
      <c r="F1" s="3211"/>
      <c r="G1" s="3211"/>
      <c r="H1" s="3211"/>
      <c r="I1" s="3211"/>
      <c r="J1" s="3165"/>
      <c r="K1" s="3211" t="s">
        <v>454</v>
      </c>
      <c r="L1" s="3211"/>
      <c r="M1" s="3211"/>
      <c r="N1" s="3211"/>
      <c r="O1" s="3211"/>
      <c r="P1" s="3211"/>
      <c r="Q1" s="3165"/>
      <c r="R1" s="3794" t="s">
        <v>456</v>
      </c>
      <c r="S1" s="3795"/>
      <c r="T1" s="3795"/>
      <c r="U1" s="3795"/>
      <c r="V1" s="3795"/>
      <c r="W1" s="3795"/>
      <c r="X1" s="3165"/>
      <c r="Y1" s="3794" t="s">
        <v>457</v>
      </c>
      <c r="Z1" s="3795"/>
      <c r="AA1" s="3795"/>
      <c r="AB1" s="3795"/>
      <c r="AC1" s="3795"/>
      <c r="AD1" s="3795"/>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94" t="s">
        <v>2829</v>
      </c>
      <c r="S24" s="3795"/>
      <c r="T24" s="3795"/>
      <c r="U24" s="3795"/>
      <c r="V24" s="3795"/>
      <c r="W24" s="3795"/>
      <c r="X24" s="3165"/>
      <c r="Y24" s="3794" t="s">
        <v>2830</v>
      </c>
      <c r="Z24" s="3795"/>
      <c r="AA24" s="3795"/>
      <c r="AB24" s="3795"/>
      <c r="AC24" s="3795"/>
      <c r="AD24" s="3795"/>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45511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720.67</v>
      </c>
      <c r="C4" s="854">
        <f>项目基本情况!C18</f>
        <v>0</v>
      </c>
      <c r="D4" s="854" t="e">
        <f ca="1">结果表!D118</f>
        <v>#REF!</v>
      </c>
      <c r="E4" s="854" t="e">
        <f ca="1">结果表!E118</f>
        <v>#REF!</v>
      </c>
      <c r="F4" s="854" t="e">
        <f ca="1">结果表!F118</f>
        <v>#REF!</v>
      </c>
      <c r="G4" s="854" t="e">
        <f ca="1">结果表!G118</f>
        <v>#REF!</v>
      </c>
      <c r="H4" s="854">
        <f ca="1">结果表!H118</f>
        <v>1922</v>
      </c>
      <c r="I4" s="854">
        <f ca="1">结果表!I118</f>
        <v>26671</v>
      </c>
    </row>
    <row r="5" spans="1:9" ht="30" customHeight="1">
      <c r="A5" s="3470" t="s">
        <v>927</v>
      </c>
      <c r="B5" s="3470"/>
      <c r="C5" s="3470"/>
      <c r="D5" s="3470" t="e">
        <f ca="1">结果表!D119</f>
        <v>#REF!</v>
      </c>
      <c r="E5" s="3470"/>
      <c r="F5" s="3470" t="e">
        <f ca="1">结果表!F119</f>
        <v>#REF!</v>
      </c>
      <c r="G5" s="3470"/>
      <c r="H5" s="3470" t="str">
        <f ca="1">结果表!H119</f>
        <v>壹仟玖佰贰拾贰万元整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1922</v>
      </c>
      <c r="E8" s="3469"/>
      <c r="F8" s="3469"/>
      <c r="G8" s="3469"/>
      <c r="H8" s="3469"/>
      <c r="I8" s="3469"/>
    </row>
    <row r="9" spans="1:9" ht="15">
      <c r="A9" s="3470" t="s">
        <v>927</v>
      </c>
      <c r="B9" s="3470"/>
      <c r="C9" s="3470"/>
      <c r="D9" s="3470" t="str">
        <f ca="1">结果表!D123</f>
        <v>壹仟玖佰贰拾贰万元整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2024-08-12T06:06:51Z</dcterms:modified>
</cp:coreProperties>
</file>