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F5" i="61"/>
  <c r="D4" i="61"/>
  <c r="D5" i="61"/>
  <c r="D3" i="61"/>
  <c r="D6" i="61"/>
  <c r="F4" i="61"/>
  <c r="D7"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C19" i="57"/>
  <c r="E2" i="37"/>
  <c r="E2" i="11"/>
  <c r="E2" i="35"/>
  <c r="E2" i="21"/>
  <c r="E2" i="36"/>
  <c r="E2" i="34"/>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19" i="9"/>
  <c r="C20" i="9"/>
  <c r="D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62" i="60" l="1"/>
  <c r="B34" i="60"/>
  <c r="B29"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<sst xmlns="http://schemas.openxmlformats.org/spreadsheetml/2006/main" count="6881" uniqueCount="2903">
  <si>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</si>
  <si>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</si>
  <si>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</si>
  <si>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</si>
  <si>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</si>
  <si>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</si>
  <si>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</si>
  <si>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</si>
  <si>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</si>
  <si>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</si>
  <si>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</si>
  <si>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</si>
  <si>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</si>
  <si>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</si>
  <si>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</si>
  <si>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</si>
  <si>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</si>
  <si>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</si>
  <si>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</si>
  <si>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</si>
  <si>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</si>
  <si>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</si>
  <si>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</si>
  <si>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</si>
  <si>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</si>
  <si>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</si>
  <si>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</si>
  <si>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</si>
  <si>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</si>
  <si>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</si>
  <si>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</si>
  <si>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</si>
  <si>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</si>
  <si>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</si>
  <si>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</si>
  <si>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</si>
  <si>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</si>
  <si>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</si>
  <si>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</si>
  <si>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</si>
  <si>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</si>
  <si>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</si>
  <si>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</si>
  <si>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</si>
  <si>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</si>
  <si>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</si>
  <si>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</si>
  <si>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</si>
  <si>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</si>
  <si>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</si>
  <si>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</si>
  <si>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</si>
  <si>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</si>
  <si>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</si>
  <si>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</si>
  <si>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</si>
  <si>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</si>
  <si>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</si>
  <si>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</si>
  <si>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</si>
  <si>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</si>
  <si>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</si>
  <si>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</si>
  <si>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</si>
  <si>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</si>
  <si>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</si>
  <si>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</si>
  <si>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</si>
  <si>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</si>
  <si>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</si>
  <si>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</si>
  <si>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</si>
  <si>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</si>
  <si>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</si>
  <si>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</si>
  <si>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</si>
  <si>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</si>
  <si>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</si>
  <si>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</si>
  <si>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</si>
  <si>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</si>
  <si>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</si>
  <si>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</si>
  <si>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</si>
  <si>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</si>
  <si>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</si>
  <si>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</si>
  <si>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</si>
  <si>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</si>
  <si>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</si>
  <si>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</si>
  <si>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</si>
  <si>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</si>
  <si>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</si>
  <si>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</si>
  <si>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</si>
  <si>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</si>
  <si>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</si>
  <si>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</si>
  <si>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</si>
  <si>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</si>
  <si>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</si>
  <si>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</si>
  <si>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</si>
  <si>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</si>
  <si>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</si>
  <si>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</si>
  <si>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</si>
  <si>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</si>
  <si>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</si>
  <si>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</si>
  <si>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</si>
  <si>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</si>
  <si>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</si>
  <si>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</si>
  <si>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</si>
  <si>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</si>
  <si>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</si>
  <si>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</si>
  <si>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</si>
  <si>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</si>
  <si>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</si>
  <si>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</si>
  <si>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</si>
  <si>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</si>
  <si>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</si>
  <si>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</si>
  <si>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</si>
  <si>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</si>
  <si>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</si>
  <si>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</si>
  <si>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</si>
  <si>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</si>
  <si>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</si>
  <si>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</si>
  <si>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</si>
  <si>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</si>
  <si>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</si>
  <si>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</si>
  <si>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</si>
  <si>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</si>
  <si>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</si>
  <si>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</si>
  <si>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</si>
  <si>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</si>
  <si>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</si>
  <si>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</si>
  <si>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</si>
  <si>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</si>
  <si>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</si>
  <si>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</si>
  <si>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</si>
  <si>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</si>
  <si>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</si>
  <si>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</si>
  <si>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</si>
  <si>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</si>
  <si>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</si>
  <si>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</si>
  <si>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</si>
  <si>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</si>
  <si>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</si>
  <si>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</si>
  <si>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</si>
  <si>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</si>
  <si>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</si>
  <si>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</si>
  <si>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</si>
  <si>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</si>
  <si>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</si>
  <si>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</si>
  <si>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</si>
  <si>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</si>
  <si>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</si>
  <si>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</si>
  <si>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</si>
  <si>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</si>
  <si>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</si>
  <si>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</si>
  <si>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</si>
  <si>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</si>
  <si>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</si>
  <si>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</si>
  <si>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</si>
  <si>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</si>
  <si>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</si>
  <si>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</si>
  <si>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</si>
  <si>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</si>
  <si>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</si>
  <si>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</si>
  <si>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</si>
  <si>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</si>
  <si>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</si>
  <si>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</si>
  <si>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</si>
  <si>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</si>
  <si>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</si>
  <si>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</si>
  <si>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</si>
  <si>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</si>
  <si>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</si>
  <si>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</si>
  <si>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</si>
  <si>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</si>
  <si>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</si>
  <si>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</si>
  <si>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</si>
  <si>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</si>
  <si>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</si>
  <si>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</si>
  <si>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</si>
  <si>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</si>
  <si>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</si>
  <si>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</si>
  <si>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</si>
  <si>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</si>
  <si>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</si>
  <si>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</si>
  <si>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</si>
  <si>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</si>
  <si>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</si>
  <si>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</si>
  <si>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</si>
  <si>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</si>
  <si>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</si>
  <si>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</si>
  <si>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</si>
  <si>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</si>
  <si>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</si>
  <si>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</si>
  <si>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</si>
  <si>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</si>
  <si>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</si>
  <si>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</si>
  <si>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</si>
  <si>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</si>
  <si>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</si>
  <si>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</si>
  <si>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</si>
  <si>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</si>
  <si>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</si>
  <si>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</si>
  <si>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</si>
  <si>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</si>
  <si>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</si>
  <si>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</si>
  <si>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</si>
  <si>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</si>
  <si>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</si>
  <si>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</si>
  <si>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</si>
  <si>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</si>
  <si>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</si>
  <si>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</si>
  <si>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</si>
  <si>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</si>
  <si>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</si>
  <si>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</si>
  <si>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</si>
  <si>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</si>
  <si>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</si>
  <si>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</si>
  <si>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</si>
  <si>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</si>
  <si>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</si>
  <si>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</si>
  <si>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</si>
  <si>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</si>
  <si>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</si>
  <si>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</si>
  <si>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</si>
  <si>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</si>
  <si>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</si>
  <si>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</si>
  <si>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</si>
  <si>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</si>
  <si>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</si>
  <si>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</si>
  <si>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</si>
  <si>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</si>
  <si>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</si>
  <si>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</si>
  <si>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</si>
  <si>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</si>
  <si>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</si>
  <si>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</si>
  <si>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</si>
  <si>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</si>
  <si>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</si>
  <si>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</si>
  <si>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</si>
  <si>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</si>
  <si>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</si>
  <si>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</si>
  <si>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</si>
  <si>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</si>
  <si>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</si>
  <si>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</si>
  <si>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</si>
  <si>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</si>
  <si>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</si>
  <si>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</si>
  <si>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</si>
  <si>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</si>
  <si>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</si>
  <si>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</si>
  <si>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</si>
  <si>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</si>
  <si>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</si>
  <si>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</si>
  <si>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</si>
  <si>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</si>
  <si>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</si>
  <si>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</si>
  <si>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</si>
  <si>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</si>
  <si>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</si>
  <si>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</si>
  <si>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</si>
  <si>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</si>
  <si>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</si>
  <si>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</si>
  <si>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</si>
  <si>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</si>
  <si>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</si>
  <si>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</si>
  <si>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</si>
  <si>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</si>
  <si>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</si>
  <si>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</si>
  <si>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</si>
  <si>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</si>
  <si>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</si>
  <si>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</si>
  <si>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</si>
  <si>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</si>
  <si>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</si>
  <si>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</si>
  <si>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</si>
  <si>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</si>
  <si>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</si>
  <si>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</si>
  <si>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</si>
  <si>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</si>
  <si>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</si>
  <si>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</si>
  <si>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</si>
  <si>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</si>
  <si>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</si>
  <si>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</si>
  <si>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</si>
  <si>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</si>
  <si>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</si>
  <si>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</si>
  <si>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</si>
  <si>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</si>
  <si>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</si>
  <si>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</si>
  <si>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</si>
  <si>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</si>
  <si>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</si>
  <si>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</si>
  <si>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</si>
  <si>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</si>
  <si>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</si>
  <si>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</si>
  <si>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</si>
  <si>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</si>
  <si>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</si>
  <si>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</si>
  <si>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</si>
  <si>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</si>
  <si>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</si>
  <si>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</si>
  <si>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</si>
  <si>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</si>
  <si>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</si>
  <si>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</si>
  <si>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</si>
  <si>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</si>
  <si>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</si>
  <si>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</si>
  <si>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</si>
  <si>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</si>
  <si>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</si>
  <si>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</si>
  <si>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</si>
  <si>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</si>
  <si>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</si>
  <si>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</si>
  <si>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</si>
  <si>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</si>
  <si>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</si>
  <si>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</si>
  <si>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</si>
  <si>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</si>
  <si>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</si>
  <si>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</si>
  <si>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</si>
  <si>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</si>
  <si>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</si>
  <si>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</si>
  <si>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</si>
  <si>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</si>
  <si>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</si>
  <si>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</si>
  <si>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</si>
  <si>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</si>
  <si>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</si>
  <si>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</si>
  <si>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</si>
  <si>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</si>
  <si>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</si>
  <si>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</si>
  <si>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</si>
  <si>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</si>
  <si>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</si>
  <si>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</si>
  <si>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</si>
  <si>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</si>
  <si>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</si>
  <si>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</si>
  <si>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</si>
  <si>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</si>
  <si>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</si>
  <si>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</si>
  <si>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</si>
  <si>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</si>
  <si>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</si>
  <si>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</si>
  <si>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</si>
  <si>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</si>
  <si>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</si>
  <si>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</si>
  <si>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</si>
  <si>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</si>
  <si>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</si>
  <si>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</si>
  <si>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</si>
  <si>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</si>
  <si>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</si>
  <si>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</si>
  <si>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</si>
  <si>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</si>
  <si>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</si>
  <si>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</si>
  <si>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</si>
  <si>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</si>
  <si>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</si>
  <si>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</si>
  <si>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</si>
  <si>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</si>
  <si>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</si>
  <si>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</si>
  <si>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</si>
  <si>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</si>
  <si>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</si>
  <si>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</si>
  <si>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</si>
  <si>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</si>
  <si>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</si>
  <si>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</si>
  <si>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</si>
  <si>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</si>
  <si>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</si>
  <si>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</si>
  <si>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</si>
  <si>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</si>
  <si>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</si>
  <si>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</si>
  <si>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</si>
  <si>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</si>
  <si>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</si>
  <si>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</si>
  <si>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</si>
  <si>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</si>
  <si>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</si>
  <si>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</si>
  <si>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</si>
  <si>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</si>
  <si>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</si>
  <si>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</si>
  <si>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</si>
  <si>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</si>
  <si>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</si>
  <si>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</si>
  <si>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</si>
  <si>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</si>
  <si>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</si>
  <si>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</si>
  <si>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</si>
  <si>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</si>
  <si>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</si>
  <si>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</si>
  <si>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</si>
  <si>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</si>
  <si>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</si>
  <si>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</si>
  <si>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</si>
  <si>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</si>
  <si>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</si>
  <si>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</si>
  <si>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</si>
  <si>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</si>
  <si>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</si>
  <si>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</si>
  <si>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</si>
  <si>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</si>
  <si>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</si>
  <si>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</si>
  <si>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</si>
  <si>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</si>
  <si>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</si>
  <si>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</si>
  <si>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</si>
  <si>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</si>
  <si>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</si>
  <si>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</si>
  <si>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</si>
  <si>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</si>
  <si>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</si>
  <si>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</si>
  <si>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</si>
  <si>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</si>
  <si>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</si>
  <si>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</si>
  <si>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</si>
  <si>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</si>
  <si>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</si>
  <si>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</si>
  <si>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</si>
  <si>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</si>
  <si>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</si>
  <si>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</si>
  <si>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</si>
  <si>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</si>
  <si>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</si>
  <si>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</si>
  <si>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</si>
  <si>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</si>
  <si>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</si>
  <si>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</si>
  <si>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</si>
  <si>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</si>
  <si>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</si>
  <si>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</si>
  <si>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</si>
  <si>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</si>
  <si>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</si>
  <si>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</si>
  <si>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</si>
  <si>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</si>
  <si>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</si>
  <si>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</si>
  <si>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</si>
  <si>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</si>
  <si>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</si>
  <si>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</si>
  <si>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</si>
  <si>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</si>
  <si>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</si>
  <si>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</si>
  <si>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</si>
  <si>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</si>
  <si>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</si>
  <si>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</si>
  <si>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</si>
  <si>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</si>
  <si>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</si>
  <si>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</si>
  <si>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</si>
  <si>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</si>
  <si>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</si>
  <si>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</si>
  <si>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</si>
  <si>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</si>
  <si>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</si>
  <si>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</si>
  <si>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</si>
  <si>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</si>
  <si>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</si>
  <si>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</si>
  <si>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</si>
  <si>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</si>
  <si>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</si>
  <si>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</si>
  <si>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</si>
  <si>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</si>
  <si>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</si>
  <si>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</si>
  <si>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</si>
  <si>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</si>
  <si>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</si>
  <si>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</si>
  <si>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</si>
  <si>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</si>
  <si>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</si>
  <si>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</si>
  <si>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</si>
  <si>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</si>
  <si>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</si>
  <si>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</si>
  <si>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</si>
  <si>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</si>
  <si>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</si>
  <si>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</si>
  <si>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</si>
  <si>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</si>
  <si>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</si>
  <si>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</si>
  <si>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</si>
  <si>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</si>
  <si>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</si>
  <si>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</si>
  <si>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</si>
  <si>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</si>
  <si>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</si>
  <si>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</si>
  <si>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</si>
  <si>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</si>
  <si>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</si>
  <si>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</si>
  <si>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</si>
  <si>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</si>
  <si>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</si>
  <si>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</si>
  <si>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</si>
  <si>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</si>
  <si>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</si>
  <si>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</si>
  <si>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</si>
  <si>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</si>
  <si>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</si>
  <si>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</si>
  <si>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</si>
  <si>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</si>
  <si>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</si>
  <si>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</si>
  <si>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</si>
  <si>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</si>
  <si>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</si>
  <si>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</si>
  <si>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</si>
  <si>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</si>
  <si>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</si>
  <si>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</si>
  <si>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</si>
  <si>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</si>
  <si>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</si>
  <si>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</si>
  <si>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</si>
  <si>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</si>
  <si>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</si>
  <si>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</si>
  <si>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</si>
  <si>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</si>
  <si>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</si>
  <si>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</si>
  <si>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</si>
  <si>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</si>
  <si>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</si>
  <si>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</si>
  <si>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</si>
  <si>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</si>
  <si>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</si>
  <si>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</si>
  <si>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</si>
  <si>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</si>
  <si>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</si>
  <si>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</si>
  <si>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</si>
  <si>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</si>
  <si>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</si>
  <si>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</si>
  <si>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</si>
  <si>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</si>
  <si>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</si>
  <si>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</si>
  <si>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</si>
  <si>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</si>
  <si>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</si>
  <si>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</si>
  <si>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</si>
  <si>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</si>
  <si>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</si>
  <si>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</si>
  <si>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</si>
  <si>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</si>
  <si>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</si>
  <si>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</si>
  <si>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</si>
  <si>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</si>
  <si>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</si>
  <si>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</si>
  <si>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</si>
  <si>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</si>
  <si>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</si>
  <si>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</si>
  <si>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</si>
  <si>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</si>
  <si>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</si>
  <si>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</si>
  <si>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</si>
  <si>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</si>
  <si>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</si>
  <si>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</si>
  <si>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</si>
  <si>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</si>
  <si>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</si>
  <si>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</si>
  <si>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</si>
  <si>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</si>
  <si>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</si>
  <si>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</si>
  <si>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</si>
  <si>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</si>
  <si>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</si>
  <si>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</si>
  <si>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</si>
  <si>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</si>
  <si>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</si>
  <si>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</si>
  <si>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</si>
  <si>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</si>
  <si>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</si>
  <si>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</si>
  <si>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</si>
  <si>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</si>
  <si>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</si>
  <si>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</si>
  <si>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</si>
  <si>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</si>
  <si>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</si>
  <si>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</si>
  <si>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</si>
  <si>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</si>
  <si>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</si>
  <si>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</si>
  <si>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</si>
  <si>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</si>
  <si>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</si>
  <si>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</si>
  <si>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</si>
  <si>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</si>
  <si>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</si>
  <si>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</si>
  <si>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</si>
  <si>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</si>
  <si>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</si>
  <si>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</si>
  <si>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</si>
  <si>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</si>
  <si>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</si>
  <si>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</si>
  <si>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</si>
  <si>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</si>
  <si>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</si>
  <si>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</si>
  <si>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</si>
  <si>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</si>
  <si>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</si>
  <si>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</si>
  <si>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</si>
  <si>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</si>
  <si>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</si>
  <si>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</si>
  <si>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</si>
  <si>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</si>
  <si>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</si>
  <si>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</si>
  <si>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</si>
  <si>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</si>
  <si>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</si>
  <si>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</si>
  <si>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</si>
  <si>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</si>
  <si>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</si>
  <si>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</si>
  <si>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</si>
  <si>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</si>
  <si>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</si>
  <si>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</si>
  <si>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</si>
  <si>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</si>
  <si>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</si>
  <si>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</si>
  <si>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</si>
  <si>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</si>
  <si>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</si>
  <si>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</si>
  <si>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</si>
  <si>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</si>
  <si>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</si>
  <si>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</si>
  <si>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</si>
  <si>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</si>
  <si>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</si>
  <si>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</si>
  <si>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</si>
  <si>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</si>
  <si>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</si>
  <si>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</si>
  <si>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</si>
  <si>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</si>
  <si>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</si>
  <si>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</si>
  <si>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</si>
  <si>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</si>
  <si>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</si>
  <si>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</si>
  <si>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</si>
  <si>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</si>
  <si>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</si>
  <si>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</si>
  <si>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</si>
  <si>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</si>
  <si>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</si>
  <si>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</si>
  <si>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</si>
  <si>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</si>
  <si>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</si>
  <si>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</si>
  <si>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</si>
  <si>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</si>
  <si>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</si>
  <si>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</si>
  <si>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</si>
  <si>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</si>
  <si>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</si>
  <si>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</si>
  <si>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</si>
  <si>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</si>
  <si>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</si>
  <si>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</si>
  <si>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</si>
  <si>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</si>
  <si>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</si>
  <si>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</si>
  <si>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</si>
  <si>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</si>
  <si>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</si>
  <si>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</si>
  <si>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</si>
  <si>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</si>
  <si>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</si>
  <si>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</si>
  <si>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</si>
  <si>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</si>
  <si>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</si>
  <si>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</si>
  <si>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</si>
  <si>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</si>
  <si>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</si>
  <si>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</si>
  <si>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</si>
  <si>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</si>
  <si>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</si>
  <si>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</si>
  <si>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</si>
  <si>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</si>
  <si>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</si>
  <si>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</si>
  <si>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</si>
  <si>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</si>
  <si>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</si>
  <si>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</si>
  <si>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</si>
  <si>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</si>
  <si>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</si>
  <si>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</si>
  <si>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</si>
  <si>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</si>
  <si>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</si>
  <si>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</si>
  <si>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</si>
  <si>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</si>
  <si>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</si>
  <si>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</si>
  <si>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</si>
  <si>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</si>
  <si>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</si>
  <si>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</si>
  <si>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</si>
  <si>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</si>
  <si>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</si>
  <si>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</si>
  <si>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</si>
  <si>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</si>
  <si>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</si>
  <si>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</si>
  <si>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</si>
  <si>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</si>
  <si>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</si>
  <si>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</si>
  <si>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</si>
  <si>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</si>
  <si>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</si>
  <si>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</si>
  <si>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</si>
  <si>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</si>
  <si>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</si>
  <si>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</si>
  <si>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</si>
  <si>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</si>
  <si>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</si>
  <si>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</si>
  <si>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</si>
  <si>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</si>
  <si>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</si>
  <si>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</si>
  <si>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</si>
  <si>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</si>
  <si>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</si>
  <si>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</si>
  <si>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</si>
  <si>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</si>
  <si>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</si>
  <si>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</si>
  <si>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</si>
  <si>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</si>
  <si>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</si>
  <si>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</si>
  <si>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</si>
  <si>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</si>
  <si>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</si>
  <si>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</si>
  <si>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</si>
  <si>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</si>
  <si>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</si>
  <si>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</si>
  <si>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</si>
  <si>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</si>
  <si>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</si>
  <si>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</si>
  <si>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</si>
  <si>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</si>
  <si>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</si>
  <si>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</si>
  <si>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</si>
  <si>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</si>
  <si>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</si>
  <si>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</si>
  <si>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</si>
  <si>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</si>
  <si>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</si>
  <si>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</si>
  <si>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</si>
  <si>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</si>
  <si>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</si>
  <si>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</si>
  <si>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</si>
  <si>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</si>
  <si>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</si>
  <si>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</si>
  <si>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</si>
  <si>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</si>
  <si>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</si>
  <si>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</si>
  <si>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</si>
  <si>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</si>
  <si>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</si>
  <si>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</si>
  <si>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</si>
  <si>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</si>
  <si>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</si>
  <si>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</si>
  <si>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</si>
  <si>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</si>
  <si>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</si>
  <si>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</si>
  <si>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</si>
  <si>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</si>
  <si>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</si>
  <si>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</si>
  <si>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</si>
  <si>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</si>
  <si>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</si>
  <si>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</si>
  <si>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</si>
  <si>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</si>
  <si>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</si>
  <si>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</si>
  <si>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</si>
  <si>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</si>
  <si>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</si>
  <si>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</si>
  <si>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</si>
  <si>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</si>
  <si>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</si>
  <si>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</si>
  <si>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</si>
  <si>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</si>
  <si>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</si>
  <si>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</si>
  <si>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</si>
  <si>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</si>
  <si>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</si>
  <si>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</si>
  <si>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</si>
  <si>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</si>
  <si>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</si>
  <si>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</si>
  <si>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</si>
  <si>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</si>
  <si>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</si>
  <si>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</si>
  <si>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</si>
  <si>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</si>
  <si>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</si>
  <si>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</si>
  <si>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</si>
  <si>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</si>
  <si>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</si>
  <si>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</si>
  <si>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</si>
  <si>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</si>
  <si>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</si>
  <si>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</si>
  <si>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</si>
  <si>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</si>
  <si>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</si>
  <si>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</si>
  <si>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</si>
  <si>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</si>
  <si>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</si>
  <si>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</si>
  <si>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</si>
  <si>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</si>
  <si>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</si>
  <si>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</si>
  <si>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</si>
  <si>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</si>
  <si>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</si>
  <si>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</si>
  <si>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</si>
  <si>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</si>
  <si>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</si>
  <si>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</si>
  <si>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</si>
  <si>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</si>
  <si>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</si>
  <si>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</si>
  <si>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</si>
  <si>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</si>
  <si>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</si>
  <si>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</si>
  <si>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</si>
  <si>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</si>
  <si>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</si>
  <si>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</si>
  <si>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</si>
  <si>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</si>
  <si>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</si>
  <si>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</si>
  <si>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</si>
  <si>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</si>
  <si>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</si>
  <si>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</si>
  <si>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</si>
  <si>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</si>
  <si>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</si>
  <si>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</si>
  <si>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</si>
  <si>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</si>
  <si>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</si>
  <si>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</si>
  <si>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</si>
  <si>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</si>
  <si>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</si>
  <si>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</si>
  <si>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</si>
  <si>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</si>
  <si>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</si>
  <si>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</si>
  <si>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</si>
  <si>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</si>
  <si>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</si>
  <si>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</si>
  <si>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</si>
  <si>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</si>
  <si>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</si>
  <si>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</si>
  <si>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</si>
  <si>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</si>
  <si>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</si>
  <si>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</si>
  <si>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</si>
  <si>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</si>
  <si>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</si>
  <si>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</si>
  <si>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</si>
  <si>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</si>
  <si>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</si>
  <si>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</si>
  <si>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</si>
  <si>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</si>
  <si>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</si>
  <si>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</si>
  <si>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</si>
  <si>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</si>
  <si>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</si>
  <si>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</si>
  <si>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</si>
  <si>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</si>
  <si>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</si>
  <si>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</si>
  <si>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</si>
  <si>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</si>
  <si>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</si>
  <si>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</si>
  <si>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</si>
  <si>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</si>
  <si>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</si>
  <si>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</si>
  <si>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</si>
  <si>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</si>
  <si>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</si>
  <si>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</si>
  <si>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</si>
  <si>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</si>
  <si>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</si>
  <si>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</si>
  <si>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</si>
  <si>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</si>
  <si>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</si>
  <si>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</si>
  <si>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</si>
  <si>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</si>
  <si>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</si>
  <si>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</si>
  <si>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</si>
  <si>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</si>
  <si>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</si>
  <si>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</si>
  <si>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</si>
  <si>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</si>
  <si>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</si>
  <si>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</si>
  <si>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</si>
  <si>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</si>
  <si>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</si>
  <si>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</si>
  <si>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</si>
  <si>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</si>
  <si>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</si>
  <si>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</si>
  <si>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</si>
  <si>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</si>
  <si>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</si>
  <si>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</si>
  <si>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</si>
  <si>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</si>
  <si>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</si>
  <si>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</si>
  <si>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</si>
  <si>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</si>
  <si>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</si>
  <si>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</si>
  <si>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</si>
  <si>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</si>
  <si>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</si>
  <si>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</si>
  <si>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</si>
  <si>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</si>
  <si>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</si>
  <si>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</si>
  <si>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</si>
  <si>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</si>
  <si>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</si>
  <si>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</si>
  <si>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</si>
  <si>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</si>
  <si>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</si>
  <si>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</si>
  <si>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</si>
  <si>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</si>
  <si>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</si>
  <si>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</si>
  <si>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</si>
  <si>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</si>
  <si>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</si>
  <si>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</si>
  <si>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</si>
  <si>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</si>
  <si>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</si>
  <si>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</si>
  <si>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</si>
  <si>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</si>
  <si>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</si>
  <si>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</si>
  <si>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</si>
  <si>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</si>
  <si>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</si>
  <si>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</si>
  <si>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</si>
  <si>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</si>
  <si>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</si>
  <si>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</si>
  <si>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</si>
  <si>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</si>
  <si>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</si>
  <si>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</si>
  <si>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</si>
  <si>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</si>
  <si>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</si>
  <si>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</si>
  <si>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</si>
  <si>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</si>
  <si>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</si>
  <si>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</si>
  <si>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</si>
  <si>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</si>
  <si>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</si>
  <si>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</si>
  <si>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</si>
  <si>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</si>
  <si>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</si>
  <si>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</si>
  <si>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</si>
  <si>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</si>
  <si>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</si>
  <si>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</si>
  <si>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</si>
  <si>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</si>
  <si>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</si>
  <si>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</si>
  <si>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</si>
  <si>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</si>
  <si>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</si>
  <si>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</si>
  <si>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</si>
  <si>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</si>
  <si>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</si>
  <si>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</si>
  <si>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</si>
  <si>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</si>
  <si>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</si>
  <si>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</si>
  <si>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</si>
  <si>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</si>
  <si>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</si>
  <si>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</si>
  <si>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</si>
  <si>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</si>
  <si>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</si>
  <si>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</si>
  <si>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</si>
  <si>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</si>
  <si>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</si>
  <si>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</si>
  <si>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</si>
  <si>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</si>
  <si>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</si>
  <si>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</si>
  <si>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</si>
  <si>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</si>
  <si>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</si>
  <si>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</si>
  <si>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</si>
  <si>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</si>
  <si>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</si>
  <si>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</si>
  <si>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</si>
  <si>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</si>
  <si>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</si>
  <si>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</si>
  <si>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</si>
  <si>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</si>
  <si>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</si>
  <si>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</si>
  <si>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</si>
  <si>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</si>
  <si>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</si>
  <si>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</si>
  <si>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</si>
  <si>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</si>
  <si>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</si>
  <si>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</si>
  <si>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</si>
  <si>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</si>
  <si>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</si>
  <si>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</si>
  <si>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</si>
  <si>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</si>
  <si>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</si>
  <si>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</si>
  <si>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</si>
  <si>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</si>
  <si>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</si>
  <si>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</si>
  <si>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</si>
  <si>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</si>
  <si>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</si>
  <si>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</si>
  <si>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</si>
  <si>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</si>
  <si>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</si>
  <si>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</si>
  <si>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</si>
  <si>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</si>
  <si>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</si>
  <si>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</si>
  <si>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</si>
  <si>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</si>
  <si>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</si>
  <si>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</si>
  <si>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</si>
  <si>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</si>
  <si>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</si>
  <si>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</si>
  <si>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</si>
  <si>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</si>
  <si>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</si>
  <si>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</si>
  <si>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</si>
  <si>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</si>
  <si>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</si>
  <si>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</si>
  <si>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</si>
  <si>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</si>
  <si>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</si>
  <si>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</si>
  <si>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</si>
  <si>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</si>
  <si>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</si>
  <si>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</si>
  <si>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</si>
  <si>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</si>
  <si>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</si>
  <si>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</si>
  <si>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</si>
  <si>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</si>
  <si>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</si>
  <si>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</si>
  <si>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</si>
  <si>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</si>
  <si>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</si>
  <si>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</si>
  <si>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</si>
  <si>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</si>
  <si>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</si>
  <si>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</si>
  <si>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</si>
  <si>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</si>
  <si>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</si>
  <si>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</si>
  <si>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</si>
  <si>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</si>
  <si>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</si>
  <si>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</si>
  <si>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</si>
  <si>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</si>
  <si>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</si>
  <si>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</si>
  <si>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</si>
  <si>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</si>
  <si>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</si>
  <si>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</si>
  <si>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</si>
  <si>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</si>
  <si>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</si>
  <si>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</si>
  <si>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</si>
  <si>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</si>
  <si>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</si>
  <si>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</si>
  <si>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</si>
  <si>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</si>
  <si>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</si>
  <si>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</si>
  <si>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</si>
  <si>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</si>
  <si>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</si>
  <si>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</si>
  <si>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</si>
  <si>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</si>
  <si>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</si>
  <si>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</si>
  <si>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</si>
  <si>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</si>
  <si>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</si>
  <si>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</si>
  <si>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</si>
  <si>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</si>
  <si>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</si>
  <si>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</si>
  <si>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</si>
  <si>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</si>
  <si>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</si>
  <si>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</si>
  <si>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</si>
  <si>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</si>
  <si>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</si>
  <si>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</si>
  <si>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</si>
  <si>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</si>
  <si>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</si>
  <si>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</si>
  <si>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</si>
  <si>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</si>
  <si>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</si>
  <si>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</si>
  <si>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</si>
  <si>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</si>
  <si>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</si>
  <si>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</si>
  <si>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</si>
  <si>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</si>
  <si>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</si>
  <si>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</si>
  <si>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</si>
  <si>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</si>
  <si>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</si>
  <si>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</si>
  <si>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</si>
  <si>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</si>
  <si>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</si>
  <si>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</si>
  <si>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</si>
  <si>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</si>
  <si>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</si>
  <si>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</si>
  <si>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</si>
  <si>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</si>
  <si>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</si>
  <si>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</si>
  <si>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</si>
  <si>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</si>
  <si>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</si>
  <si>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</si>
  <si>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</si>
  <si>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</si>
  <si>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</si>
  <si>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</si>
  <si>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</si>
  <si>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</si>
  <si>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</si>
  <si>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</si>
  <si>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</si>
  <si>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</si>
  <si>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</si>
  <si>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</si>
  <si>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</si>
  <si>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</si>
  <si>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</si>
  <si>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</si>
  <si>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</si>
  <si>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</si>
  <si>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</si>
  <si>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</si>
  <si>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</si>
  <si>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</si>
  <si>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</si>
  <si>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</si>
  <si>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</si>
  <si>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</si>
  <si>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</si>
  <si>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</si>
  <si>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</si>
  <si>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</si>
  <si>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</si>
  <si>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</si>
  <si>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</si>
  <si>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</si>
  <si>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</si>
  <si>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</si>
  <si>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</si>
  <si>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</si>
  <si>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</si>
  <si>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</si>
  <si>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</si>
  <si>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</si>
  <si>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</si>
  <si>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</si>
  <si>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</si>
  <si>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</si>
  <si>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</si>
  <si>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</si>
  <si>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</si>
  <si>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</si>
  <si>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</si>
  <si>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</si>
  <si>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</si>
  <si>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</si>
  <si>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</si>
  <si>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</si>
  <si>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</si>
  <si>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</si>
  <si>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</si>
  <si>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</si>
  <si>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</si>
  <si>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</si>
  <si>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</si>
  <si>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</si>
  <si>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</si>
  <si>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</si>
  <si>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</si>
  <si>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</si>
  <si>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</si>
  <si>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</si>
  <si>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</si>
  <si>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</si>
  <si>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</si>
  <si>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</si>
  <si>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</si>
  <si>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</si>
  <si>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</si>
  <si>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</si>
  <si>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</si>
  <si>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</si>
  <si>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</si>
  <si>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</si>
  <si>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</si>
  <si>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</si>
  <si>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</si>
  <si>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</si>
  <si>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</si>
  <si>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</si>
  <si>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</si>
  <si>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</si>
  <si>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</si>
  <si>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</si>
  <si>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</si>
  <si>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</si>
  <si>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</si>
  <si>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</si>
  <si>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</si>
  <si>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</si>
  <si>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</si>
  <si>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</si>
  <si>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</si>
  <si>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</si>
  <si>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</si>
  <si>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</si>
  <si>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</si>
  <si>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</si>
  <si>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</si>
  <si>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</si>
  <si>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</si>
  <si>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</si>
  <si>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</si>
  <si>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</si>
  <si>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</si>
  <si>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</si>
  <si>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</si>
  <si>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</si>
  <si>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</si>
  <si>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</si>
  <si>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</si>
  <si>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</si>
  <si>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</si>
  <si>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</si>
  <si>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</si>
  <si>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</si>
  <si>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</si>
  <si>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</si>
  <si>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</si>
  <si>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</si>
  <si>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</si>
  <si>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</si>
  <si>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</si>
  <si>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</si>
  <si>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</si>
  <si>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</si>
  <si>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</si>
  <si>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</si>
  <si>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</si>
  <si>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</si>
  <si>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</si>
  <si>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</si>
  <si>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</si>
  <si>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</si>
  <si>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</si>
  <si>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</si>
  <si>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</si>
  <si>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</si>
  <si>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</si>
  <si>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</si>
  <si>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</si>
  <si>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</si>
  <si>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</si>
  <si>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</si>
  <si>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</si>
  <si>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</si>
  <si>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</si>
  <si>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</si>
  <si>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</si>
  <si>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</si>
  <si>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</si>
  <si>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</si>
  <si>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</si>
  <si>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</si>
  <si>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</si>
  <si>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</si>
  <si>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</si>
  <si>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</si>
  <si>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</si>
  <si>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</si>
  <si>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</si>
  <si>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</si>
  <si>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</si>
  <si>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</si>
  <si>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</si>
  <si>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</si>
  <si>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</si>
  <si>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</si>
  <si>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</si>
  <si>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</si>
  <si>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</si>
  <si>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</si>
  <si>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</si>
  <si>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</si>
  <si>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</si>
  <si>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</si>
  <si>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</si>
  <si>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</si>
  <si>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</si>
  <si>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</si>
  <si>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</si>
  <si>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</si>
  <si>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</si>
  <si>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</si>
  <si>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</si>
  <si>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</si>
  <si>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</si>
  <si>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</si>
  <si>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</si>
  <si>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</si>
  <si>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</si>
  <si>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</si>
  <si>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</si>
  <si>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</si>
  <si>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</si>
  <si>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</si>
  <si>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</si>
  <si>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</si>
  <si>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</si>
  <si>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</si>
  <si>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</si>
  <si>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</si>
  <si>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</si>
  <si>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</si>
  <si>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</si>
  <si>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</si>
  <si>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</si>
  <si>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</si>
  <si>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</si>
  <si>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</si>
  <si>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</si>
  <si>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</si>
  <si>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</si>
  <si>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</si>
  <si>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</si>
  <si>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</si>
  <si>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</si>
  <si>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</si>
  <si>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</si>
  <si>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</si>
  <si>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</si>
  <si>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</si>
  <si>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</si>
  <si>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</si>
  <si>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</si>
  <si>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</si>
  <si>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</si>
  <si>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</si>
  <si>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</si>
  <si>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</si>
  <si>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</si>
  <si>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</si>
  <si>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</si>
  <si>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</si>
  <si>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</si>
  <si>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</si>
  <si>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</si>
  <si>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</si>
  <si>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</si>
  <si>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</si>
  <si>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</si>
  <si>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</si>
  <si>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</si>
  <si>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</si>
  <si>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</si>
  <si>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</si>
  <si>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</si>
  <si>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</si>
  <si>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</si>
  <si>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</si>
  <si>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</si>
  <si>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</si>
  <si>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</si>
  <si>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</si>
  <si>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</si>
  <si>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</si>
  <si>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</si>
  <si>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</si>
  <si>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</si>
  <si>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</si>
  <si>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</si>
  <si>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</si>
  <si>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</si>
  <si>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</si>
  <si>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</si>
  <si>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</si>
  <si>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</si>
  <si>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</si>
  <si>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</si>
  <si>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</si>
  <si>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</si>
  <si>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</si>
  <si>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</si>
  <si>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</si>
  <si>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</si>
  <si>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</si>
  <si>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</si>
  <si>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</si>
  <si>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</si>
  <si>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</si>
  <si>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</si>
  <si>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</si>
  <si>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</si>
  <si>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</si>
  <si>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</si>
  <si>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</si>
  <si>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</si>
  <si>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</si>
  <si>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</si>
  <si>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</si>
  <si>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</si>
  <si>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</si>
  <si>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</si>
  <si>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</si>
  <si>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</si>
  <si>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</si>
  <si>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</si>
  <si>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</si>
  <si>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</si>
  <si>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</si>
  <si>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</si>
  <si>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</si>
  <si>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</si>
  <si>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</si>
  <si>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</si>
  <si>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</si>
  <si>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</si>
  <si>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</si>
  <si>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</si>
  <si>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</si>
  <si>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</si>
  <si>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</si>
  <si>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</si>
  <si>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</si>
  <si>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</si>
  <si>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</si>
  <si>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</si>
  <si>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</si>
  <si>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</si>
  <si>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</si>
  <si>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</si>
  <si>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</si>
  <si>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</si>
  <si>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</si>
  <si>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</si>
  <si>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</si>
  <si>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</si>
  <si>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</si>
  <si>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</si>
  <si>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</si>
  <si>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</si>
  <si>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</si>
  <si>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</si>
  <si>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</si>
  <si>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</si>
  <si>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</si>
  <si>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</si>
  <si>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</si>
  <si>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</si>
  <si>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</si>
  <si>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</si>
  <si>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</si>
  <si>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</si>
  <si>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</si>
  <si>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</si>
  <si>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</si>
  <si>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</si>
  <si>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</si>
  <si>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</si>
  <si>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</si>
  <si>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</si>
  <si>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</si>
  <si>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</si>
  <si>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</si>
  <si>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</si>
  <si>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</si>
  <si>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</si>
  <si>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</si>
  <si>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</si>
  <si>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</si>
  <si>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</si>
  <si>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</si>
  <si>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</si>
  <si>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</si>
  <si>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</si>
  <si>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</si>
  <si>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</si>
  <si>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</si>
  <si>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</si>
  <si>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</si>
  <si>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</si>
  <si>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</si>
  <si>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</si>
  <si>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</si>
  <si>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</si>
  <si>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</si>
  <si>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</si>
  <si>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</si>
  <si>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</si>
  <si>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</si>
  <si>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</si>
  <si>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</si>
  <si>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</si>
  <si>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</si>
  <si>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</si>
  <si>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</si>
  <si>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</si>
  <si>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</si>
  <si>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</si>
  <si>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</si>
  <si>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</si>
  <si>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</si>
  <si>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</si>
  <si>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</si>
  <si>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</si>
  <si>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</si>
  <si>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</si>
  <si>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</si>
  <si>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</si>
  <si>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</si>
  <si>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</si>
  <si>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</si>
  <si>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</si>
  <si>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</si>
  <si>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</si>
  <si>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</si>
  <si>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</si>
  <si>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</si>
  <si>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</si>
  <si>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</si>
  <si>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</si>
  <si>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</si>
  <si>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</si>
  <si>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</si>
  <si>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</si>
  <si>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</si>
  <si>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</si>
  <si>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</si>
  <si>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</si>
  <si>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</si>
  <si>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</si>
  <si>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</si>
  <si>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</si>
  <si>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</si>
  <si>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</si>
  <si>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</si>
  <si>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</si>
  <si>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</si>
  <si>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</si>
  <si>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</si>
  <si>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</si>
  <si>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</si>
  <si>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</si>
  <si>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</si>
  <si>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</si>
  <si>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</si>
  <si>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</si>
  <si>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</si>
  <si>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</si>
  <si>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</si>
  <si>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</si>
  <si>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</si>
  <si>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</si>
  <si>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</si>
  <si>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</si>
  <si>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</si>
  <si>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</si>
  <si>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</si>
  <si>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</si>
  <si>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</si>
  <si>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</si>
  <si>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</si>
  <si>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</si>
  <si>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</si>
  <si>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</si>
  <si>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</si>
  <si>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</si>
  <si>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</si>
  <si>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</si>
  <si>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</si>
  <si>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</si>
  <si>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</si>
  <si>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</si>
  <si>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</si>
  <si>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</si>
  <si>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</si>
  <si>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</si>
  <si>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</si>
  <si>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</si>
  <si>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</si>
  <si>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</si>
  <si>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</si>
  <si>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</si>
  <si>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</si>
  <si>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</si>
  <si>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</si>
  <si>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</si>
  <si>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</si>
  <si>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</si>
  <si>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</si>
  <si>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</si>
  <si>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</si>
  <si>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</si>
  <si>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</si>
  <si>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</si>
  <si>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</si>
  <si>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</si>
  <si>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</si>
  <si>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</si>
  <si>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</si>
  <si>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</si>
  <si>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</si>
  <si>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</si>
  <si>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</si>
  <si>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</si>
  <si>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</si>
  <si>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</si>
  <si>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</si>
  <si>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</si>
  <si>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</si>
  <si>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</si>
  <si>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</si>
  <si>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</si>
  <si>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</si>
  <si>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</si>
  <si>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</si>
  <si>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</si>
  <si>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</si>
  <si>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</si>
  <si>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</si>
  <si>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</si>
  <si>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</si>
  <si>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</si>
  <si>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</si>
  <si>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</si>
  <si>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</si>
  <si>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</si>
  <si>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</si>
  <si>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</si>
  <si>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</si>
  <si>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</si>
  <si>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</si>
  <si>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</si>
  <si>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</si>
  <si>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</si>
  <si>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</si>
  <si>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</si>
  <si>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</si>
  <si>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</si>
  <si>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</si>
  <si>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</si>
  <si>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</si>
  <si>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</si>
  <si>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</si>
  <si>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</si>
  <si>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</si>
  <si>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</si>
  <si>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</si>
  <si>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</si>
  <si>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</si>
  <si>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</si>
  <si>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</si>
  <si>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</si>
  <si>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</si>
  <si>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</si>
  <si>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</si>
  <si>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</si>
  <si>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</si>
  <si>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</si>
  <si>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</si>
  <si>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</si>
  <si>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</si>
  <si>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</si>
  <si>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</si>
  <si>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</si>
  <si>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</si>
  <si>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</si>
  <si>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</si>
  <si>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</si>
  <si>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</si>
  <si>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</si>
  <si>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</si>
  <si>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</si>
  <si>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</si>
  <si>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</si>
  <si>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</si>
  <si>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</si>
  <si>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</si>
  <si>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</si>
  <si>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</si>
  <si>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</si>
  <si>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</si>
  <si>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</si>
  <si>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</si>
  <si>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</si>
  <si>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</si>
  <si>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</si>
  <si>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</si>
  <si>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</si>
  <si>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</si>
  <si>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</si>
  <si>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</si>
  <si>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</si>
  <si>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</si>
  <si>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</si>
  <si>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</si>
  <si>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</si>
  <si>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</si>
  <si>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</si>
  <si>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</si>
  <si>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</si>
  <si>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</si>
  <si>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</si>
  <si>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</si>
  <si>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</si>
  <si>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</si>
  <si>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</si>
  <si>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</si>
  <si>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</si>
  <si>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</si>
  <si>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</si>
  <si>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</si>
  <si>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</si>
  <si>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</si>
  <si>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</si>
  <si>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</si>
  <si>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</si>
  <si>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</si>
  <si>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</si>
  <si>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</si>
  <si>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</si>
  <si>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</si>
  <si>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</si>
  <si>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</si>
  <si>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</si>
  <si>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</si>
  <si>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</si>
  <si>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</si>
  <si>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</si>
  <si>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</si>
  <si>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</si>
  <si>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</si>
  <si>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</si>
  <si>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</si>
  <si>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</si>
  <si>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</si>
  <si>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</si>
  <si>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</si>
  <si>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</si>
  <si>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</si>
  <si>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</si>
  <si>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</si>
  <si>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</si>
  <si>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</si>
  <si>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</si>
  <si>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</si>
  <si>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</si>
  <si>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</si>
  <si>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</si>
  <si>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</si>
  <si>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</si>
  <si>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</si>
  <si>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</si>
  <si>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</si>
  <si>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</si>
  <si>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</si>
  <si>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</si>
  <si>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</si>
  <si>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</si>
  <si>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</si>
  <si>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</si>
  <si>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</si>
  <si>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</si>
  <si>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</si>
  <si>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</si>
  <si>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</si>
  <si>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</si>
  <si>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</si>
  <si>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</si>
  <si>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</si>
  <si>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</si>
  <si>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</si>
  <si>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</si>
  <si>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</si>
  <si>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</si>
  <si>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</si>
  <si>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</si>
  <si>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</si>
  <si>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</si>
  <si>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</si>
  <si>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</si>
  <si>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</si>
  <si>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</si>
  <si>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</si>
  <si>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</si>
  <si>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</si>
  <si>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</si>
  <si>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</si>
  <si>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</si>
  <si>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</si>
  <si>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</si>
  <si>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</si>
  <si>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</si>
  <si>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</si>
  <si>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</si>
  <si>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</si>
  <si>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</si>
  <si>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</si>
  <si>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</si>
  <si>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</si>
  <si>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</si>
  <si>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</si>
  <si>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</si>
  <si>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</si>
  <si>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</si>
  <si>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</si>
  <si>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</si>
  <si>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</si>
  <si>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</si>
  <si>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</si>
  <si>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</si>
  <si>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</si>
  <si>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</si>
  <si>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</si>
  <si>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</si>
  <si>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</si>
  <si>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</si>
  <si>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</si>
  <si>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</si>
  <si>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</si>
  <si>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</si>
  <si>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</si>
  <si>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</si>
  <si>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</si>
  <si>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</si>
  <si>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</si>
  <si>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</si>
  <si>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</si>
  <si>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</si>
  <si>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</si>
  <si>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</si>
  <si>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</si>
  <si>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</si>
  <si>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</si>
  <si>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</si>
  <si>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</si>
  <si>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</si>
  <si>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</si>
  <si>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</si>
  <si>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</si>
  <si>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</si>
  <si>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</si>
  <si>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</si>
  <si>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</si>
  <si>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</si>
  <si>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</si>
  <si>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</si>
  <si>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</si>
  <si>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</si>
  <si>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</si>
  <si>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</si>
  <si>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</si>
  <si>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</si>
  <si>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</si>
  <si>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</si>
  <si>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</si>
  <si>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</si>
  <si>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</si>
  <si>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</si>
  <si>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</si>
  <si>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</si>
  <si>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</si>
  <si>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</si>
  <si>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</si>
  <si>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</si>
  <si>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</si>
  <si>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</si>
  <si>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</si>
  <si>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</si>
  <si>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</si>
  <si>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</si>
  <si>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</si>
  <si>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</si>
  <si>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</si>
  <si>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</si>
  <si>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</si>
  <si>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</si>
  <si>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</si>
  <si>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</si>
  <si>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</si>
  <si>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</si>
  <si>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</si>
  <si>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</si>
  <si>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</si>
  <si>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</si>
  <si>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</si>
  <si>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</si>
  <si>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</si>
  <si>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</si>
  <si>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</si>
  <si>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</si>
  <si>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</si>
  <si>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</si>
  <si>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</si>
  <si>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</si>
  <si>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</si>
  <si>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</si>
  <si>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</si>
  <si>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</si>
  <si>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</si>
  <si>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</si>
  <si>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</si>
  <si>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</si>
  <si>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</si>
  <si>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</si>
  <si>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</si>
  <si>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</si>
  <si>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</si>
  <si>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</si>
  <si>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</si>
  <si>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</si>
  <si>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</si>
  <si>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</si>
  <si>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</si>
  <si>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</si>
  <si>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</si>
  <si>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</si>
  <si>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</si>
  <si>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</si>
  <si>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</si>
  <si>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</si>
  <si>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</si>
  <si>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</si>
  <si>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</si>
  <si>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</si>
  <si>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</si>
  <si>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</si>
  <si>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</si>
  <si>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</si>
  <si>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</si>
  <si>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</si>
  <si>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</si>
  <si>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</si>
  <si>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</si>
  <si>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</si>
  <si>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</si>
  <si>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</si>
  <si>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</si>
  <si>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</si>
  <si>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</si>
  <si>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</si>
  <si>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</si>
  <si>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</si>
  <si>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</si>
  <si>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</si>
  <si>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</si>
  <si>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</si>
  <si>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</si>
  <si>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</si>
  <si>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</si>
  <si>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</si>
  <si>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</si>
  <si>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</si>
  <si>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</si>
  <si>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</si>
  <si>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</si>
  <si>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</si>
  <si>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</si>
  <si>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</si>
  <si>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</si>
  <si>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</si>
  <si>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</si>
  <si>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</si>
  <si>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</si>
  <si>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</si>
  <si>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</si>
  <si>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</si>
  <si>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</si>
  <si>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</si>
  <si>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</si>
  <si>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</si>
  <si>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</si>
  <si>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</si>
  <si>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</si>
  <si>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</si>
  <si>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</si>
  <si>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</si>
  <si>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</si>
  <si>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</si>
  <si>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</si>
  <si>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</si>
  <si>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</si>
  <si>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</si>
  <si>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</si>
  <si>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</si>
  <si>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</si>
  <si>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</si>
  <si>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</si>
  <si>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</si>
  <si>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</si>
  <si>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</si>
  <si>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</si>
  <si>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</si>
  <si>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</si>
  <si>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</si>
  <si>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</si>
  <si>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</si>
  <si>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</si>
  <si>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</si>
  <si>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</si>
  <si>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</si>
  <si>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</si>
  <si>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</si>
  <si>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</si>
  <si>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</si>
  <si>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</si>
  <si>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</si>
  <si>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</si>
  <si>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</si>
  <si>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</si>
  <si>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</si>
  <si>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</si>
  <si>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</si>
  <si>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</si>
  <si>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</si>
  <si>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</si>
  <si>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</si>
  <si>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</si>
  <si>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</si>
  <si>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</si>
  <si>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</si>
  <si>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</si>
  <si>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</si>
  <si>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</si>
  <si>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</si>
  <si>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</si>
  <si>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</si>
  <si>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</si>
  <si>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</si>
  <si>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</si>
  <si>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</si>
  <si>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</si>
  <si>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</si>
  <si>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</si>
  <si>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</si>
  <si>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</si>
  <si>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</si>
  <si>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</si>
  <si>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</si>
  <si>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</si>
  <si>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</si>
  <si>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</si>
  <si>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</si>
  <si>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</si>
  <si>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</si>
  <si>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</si>
  <si>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</si>
  <si>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</si>
  <si>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</si>
  <si>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</si>
  <si>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</si>
  <si>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</si>
  <si>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</si>
  <si>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</si>
  <si>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</si>
  <si>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</si>
  <si>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</si>
  <si>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</si>
  <si>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</si>
  <si>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</si>
  <si>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</si>
  <si>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</si>
  <si>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</si>
  <si>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</si>
  <si>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</si>
  <si>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</si>
  <si>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</si>
  <si>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</si>
  <si>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</si>
  <si>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</si>
  <si>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</si>
  <si>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</si>
  <si>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</si>
  <si>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</si>
  <si>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</si>
  <si>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</si>
  <si>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</si>
  <si>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</si>
  <si>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</si>
  <si>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</si>
  <si>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</si>
  <si>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</si>
  <si>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</si>
  <si>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</si>
  <si>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</si>
  <si>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</si>
  <si>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</si>
  <si>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</si>
  <si>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</si>
  <si>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</si>
  <si>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</si>
  <si>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</si>
  <si>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</si>
  <si>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</si>
  <si>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</si>
  <si>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</si>
  <si>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</si>
  <si>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</si>
  <si>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</si>
  <si>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</si>
  <si>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</si>
  <si>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</si>
  <si>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</si>
  <si>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</si>
  <si>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</si>
  <si>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</si>
  <si>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</si>
  <si>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</si>
  <si>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</si>
  <si>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</si>
  <si>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</si>
  <si>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</si>
  <si>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</si>
  <si>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</si>
  <si>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</si>
  <si>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</si>
  <si>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</si>
  <si>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</si>
  <si>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</si>
  <si>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</si>
  <si>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</si>
  <si>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</si>
  <si>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</si>
  <si>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</si>
  <si>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</si>
  <si>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</si>
  <si>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</si>
  <si>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</si>
  <si>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</si>
  <si>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</si>
  <si>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</si>
  <si>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</si>
  <si>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</si>
  <si>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</si>
  <si>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</si>
  <si>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</si>
  <si>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</si>
  <si>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</si>
  <si>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</si>
  <si>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</si>
  <si>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</si>
  <si>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</si>
  <si>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</si>
  <si>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</si>
  <si>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</si>
  <si>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</si>
  <si>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</si>
  <si>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</si>
  <si>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</si>
  <si>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</si>
  <si>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</si>
  <si>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</si>
  <si>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</si>
  <si>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</si>
  <si>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</si>
  <si>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</si>
  <si>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</si>
  <si>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</si>
  <si>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</si>
  <si>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</si>
  <si>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</si>
  <si>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</si>
  <si>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</si>
  <si>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</si>
  <si>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</si>
  <si>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</si>
  <si>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</si>
  <si>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</si>
  <si>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</si>
  <si>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</si>
  <si>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</si>
  <si>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</si>
  <si>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</si>
  <si>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</si>
  <si>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</si>
  <si>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</si>
  <si>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</si>
  <si>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</si>
  <si>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</si>
  <si>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</si>
  <si>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</si>
  <si>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</si>
  <si>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</si>
  <si>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</si>
  <si>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</si>
  <si>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</si>
  <si>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</si>
  <si>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</si>
  <si>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</si>
  <si>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</si>
  <si>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</si>
  <si>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</si>
  <si>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</si>
  <si>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</si>
  <si>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</si>
  <si>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</si>
  <si>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</si>
  <si>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</si>
  <si>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</si>
  <si>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</si>
  <si>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</si>
  <si>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</si>
  <si>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</si>
  <si>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</si>
  <si>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</si>
  <si>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</si>
  <si>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</si>
  <si>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</si>
  <si>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</si>
  <si>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</si>
  <si>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</si>
  <si>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</si>
  <si>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</si>
  <si>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</si>
  <si>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</si>
  <si>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</si>
  <si>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</si>
  <si>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</si>
  <si>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</si>
  <si>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</si>
  <si>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</si>
  <si>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</si>
  <si>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</si>
  <si>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</si>
  <si>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</si>
  <si>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</si>
  <si>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</si>
  <si>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</si>
  <si>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</si>
  <si>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</si>
  <si>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</si>
  <si>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</si>
  <si>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</si>
  <si>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</si>
  <si>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</si>
  <si>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</si>
  <si>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</si>
  <si>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</si>
  <si>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</si>
  <si>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</si>
  <si>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</si>
  <si>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</si>
  <si>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</si>
  <si>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</si>
  <si>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</si>
  <si>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</si>
  <si>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</si>
  <si>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</si>
  <si>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</si>
  <si>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</si>
  <si>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</si>
  <si>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</si>
  <si>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</si>
  <si>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</si>
  <si>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</si>
  <si>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</si>
  <si>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</si>
  <si>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</si>
  <si>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</si>
  <si>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</si>
  <si>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</si>
  <si>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</si>
  <si>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</si>
  <si>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</si>
  <si>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</si>
  <si>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</si>
  <si>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</si>
  <si>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</si>
  <si>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</si>
  <si>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</si>
  <si>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</si>
  <si>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</si>
  <si>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</si>
  <si>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</si>
  <si>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</si>
  <si>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</si>
  <si>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</si>
  <si>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</si>
  <si>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</si>
  <si>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</si>
  <si>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</si>
  <si>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</si>
  <si>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</si>
  <si>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</si>
  <si>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</si>
  <si>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</si>
  <si>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</si>
  <si>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</si>
  <si>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</si>
  <si>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</si>
  <si>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</si>
  <si>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</si>
  <si>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</si>
  <si>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</si>
  <si>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</si>
  <si>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</si>
  <si>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</si>
  <si>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</si>
  <si>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</si>
  <si>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</si>
  <si>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</si>
  <si>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</si>
  <si>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</si>
  <si>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</si>
  <si>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</si>
  <si>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</si>
  <si>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</si>
  <si>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</si>
  <si>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</si>
  <si>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</si>
  <si>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</si>
  <si>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</si>
  <si>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</si>
  <si>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</si>
  <si>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</si>
  <si>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</si>
  <si>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</si>
  <si>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</si>
  <si>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</si>
  <si>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</si>
  <si>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</si>
  <si>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</si>
  <si>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</si>
  <si>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</si>
  <si>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</si>
  <si>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</si>
  <si>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</si>
  <si>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</si>
  <si>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</si>
  <si>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</si>
  <si>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</si>
  <si>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</si>
  <si>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</si>
  <si>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</si>
  <si>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</si>
  <si>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</si>
  <si>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</si>
  <si>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</si>
  <si>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</si>
  <si>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</si>
  <si>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</si>
  <si>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</si>
  <si>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</si>
  <si>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</si>
  <si>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</si>
  <si>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</si>
  <si>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</si>
  <si>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</si>
  <si>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</si>
  <si>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</si>
  <si>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</si>
  <si>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</si>
  <si>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</si>
  <si>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</si>
  <si>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</si>
  <si>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</si>
  <si>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</si>
  <si>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</si>
  <si>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</si>
  <si>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</si>
  <si>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</si>
  <si>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</si>
  <si>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</si>
  <si>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</si>
  <si>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</si>
  <si>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</si>
  <si>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</si>
  <si>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</si>
  <si>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</si>
  <si>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</si>
  <si>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</si>
  <si>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</si>
  <si>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</si>
  <si>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</si>
  <si>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</si>
  <si>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</si>
  <si>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</si>
  <si>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</si>
  <si>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</si>
  <si>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</si>
  <si>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</si>
  <si>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</si>
  <si>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</si>
  <si>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</si>
  <si>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</si>
  <si>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</si>
  <si>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</si>
  <si>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</si>
  <si>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</si>
  <si>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</si>
  <si>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</si>
  <si>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</si>
  <si>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</si>
  <si>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</si>
  <si>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</si>
  <si>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</si>
  <si>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</si>
  <si>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</si>
  <si>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</si>
  <si>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</si>
  <si>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</si>
  <si>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</si>
  <si>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</si>
  <si>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</si>
  <si>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</si>
  <si>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</si>
  <si>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</si>
  <si>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</si>
  <si>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</si>
  <si>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</si>
  <si>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</si>
  <si>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</si>
  <si>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</si>
  <si>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</si>
  <si>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</si>
  <si>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</si>
  <si>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</si>
  <si>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</si>
  <si>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</si>
  <si>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</si>
  <si>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</si>
  <si>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</si>
  <si>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</si>
  <si>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</si>
  <si>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</si>
  <si>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</si>
  <si>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</si>
  <si>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</si>
  <si>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</si>
  <si>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</si>
  <si>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</si>
  <si>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</si>
  <si>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</si>
  <si>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</si>
  <si>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</si>
  <si>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</si>
  <si>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</si>
  <si>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</si>
  <si>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</si>
  <si>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</si>
  <si>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</si>
  <si>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</si>
  <si>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</si>
  <si>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</si>
  <si>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</si>
  <si>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</si>
  <si>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</si>
  <si>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</si>
  <si>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</si>
  <si>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</si>
  <si>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</si>
  <si>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</si>
  <si>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</si>
  <si>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</si>
  <si>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</si>
  <si>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</si>
  <si>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</si>
  <si>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</si>
  <si>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</si>
  <si>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</si>
  <si>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</si>
  <si>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</si>
  <si>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</si>
  <si>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</si>
  <si>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</si>
  <si>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</si>
  <si>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</si>
  <si>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</si>
  <si>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</si>
  <si>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</si>
  <si>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</si>
  <si>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</si>
  <si>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</si>
  <si>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</si>
  <si>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</si>
  <si>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</si>
  <si>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</si>
  <si>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</si>
  <si>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</si>
  <si>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</si>
  <si>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</si>
  <si>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</si>
  <si>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</si>
  <si>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</si>
  <si>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</si>
  <si>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</si>
  <si>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</si>
  <si>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</si>
  <si>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</si>
  <si>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</si>
  <si>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</si>
  <si>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</si>
  <si>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</si>
  <si>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</si>
  <si>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</si>
  <si>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</si>
  <si>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</si>
  <si>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</si>
  <si>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</si>
  <si>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</si>
  <si>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</si>
  <si>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</si>
  <si>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</si>
  <si>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</si>
  <si>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</si>
  <si>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</si>
  <si>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</si>
  <si>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</si>
  <si>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</si>
  <si>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</si>
  <si>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</si>
  <si>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</si>
  <si>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</si>
  <si>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</si>
  <si>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</si>
  <si>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</si>
  <si>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</si>
  <si>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</si>
  <si>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</si>
  <si>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</si>
  <si>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</si>
  <si>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</si>
  <si>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</si>
  <si>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</si>
  <si>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</si>
  <si>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</si>
  <si>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</si>
  <si>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</si>
  <si>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</si>
  <si>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</si>
  <si>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</si>
  <si>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</si>
  <si>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</si>
  <si>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</si>
  <si>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</si>
  <si>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</si>
  <si>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</si>
  <si>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</si>
  <si>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</si>
  <si>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</si>
  <si>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</si>
  <si>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</si>
  <si>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</si>
  <si>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</si>
  <si>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</si>
  <si>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</si>
  <si>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</si>
  <si>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</si>
  <si>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</si>
  <si>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</si>
  <si>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</si>
  <si>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r>
      <t>X</t>
    </r>
    <r>
      <rPr>
        <sz val="10"/>
        <color indexed="8"/>
        <rFont val="宋体"/>
        <family val="3"/>
        <charset val="134"/>
      </rPr>
      <t>京房权证开私字第</t>
    </r>
    <r>
      <rPr>
        <sz val="10"/>
        <color indexed="8"/>
        <rFont val="Arial"/>
        <family val="2"/>
      </rPr>
      <t>0390739</t>
    </r>
    <r>
      <rPr>
        <sz val="10"/>
        <color indexed="8"/>
        <rFont val="宋体"/>
        <family val="3"/>
        <charset val="134"/>
      </rPr>
      <t>号</t>
    </r>
    <phoneticPr fontId="7" type="noConversion"/>
  </si>
  <si>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</si>
  <si>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</si>
  <si>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</si>
  <si>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</si>
  <si>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</si>
  <si>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</si>
  <si>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</si>
  <si>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</si>
  <si>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</si>
  <si>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</si>
  <si>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</si>
  <si>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</si>
  <si>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</si>
  <si>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</si>
  <si>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</si>
  <si>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</si>
  <si>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</si>
  <si>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兴业银行股份有限公司北京经济技术开发区支行</t>
    <phoneticPr fontId="7" type="noConversion"/>
  </si>
  <si>
    <t>北京经济技术开发区天华园一里三区16幢1单元904室住宅用房</t>
    <phoneticPr fontId="7" type="noConversion"/>
  </si>
  <si>
    <t>北京经济技术开发区天华园一里三区16幢1单元904室住宅用房</t>
    <phoneticPr fontId="7" type="noConversion"/>
  </si>
  <si>
    <t>2018-1-0018-P01DYGJ1</t>
    <phoneticPr fontId="7" type="noConversion"/>
  </si>
  <si>
    <t>高层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</si>
</sst>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7" sqref="B27"/>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北京市北京经济技术开发区天华园一里三区16幢1单元904室住宅用房房地产抵押价值预评估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康正预评字2018-1-0018-P01DYGJ1号</v>
      </c>
    </row>
    <row r="6" spans="1:2" s="1702" customFormat="1" ht="15.75" thickTop="1">
      <c r="A6" s="1703" t="s">
        <v>1114</v>
      </c>
      <c r="B6" s="1687" t="str">
        <f>'预评函-1'!A4</f>
        <v>受贵公司委托，我公司对北京市北京经济技术开发区天华园一里三区16幢1单元904室住宅用房房地产进行了预评估。</v>
      </c>
    </row>
    <row r="7" spans="1:2">
      <c r="A7" s="1703" t="s">
        <v>1115</v>
      </c>
      <c r="B7" s="1690" t="str">
        <f>'预评函-1'!A6</f>
        <v>估价对象为北京市北京经济技术开发区天华园一里三区16幢1单元904室住宅用房房地产，为李彩云所有。根据《房屋所有权证》[X京房权证开私字第0390739号]，估价对象建筑面积为149.23平方米。估价对象用途为。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北京市北京经济技术开发区天华园一里三区16幢1单元904室住宅用房房地产</v>
      </c>
    </row>
    <row r="18" spans="1:2">
      <c r="A18" s="1703" t="s">
        <v>1126</v>
      </c>
      <c r="B18" s="1690">
        <f>'预评函-2（1）'!C6</f>
        <v>149.22999999999999</v>
      </c>
    </row>
    <row r="19" spans="1:2">
      <c r="A19" s="1703" t="s">
        <v>1127</v>
      </c>
      <c r="B19" s="1690">
        <f ca="1">'预评函-2（1）'!D7</f>
        <v>549</v>
      </c>
    </row>
    <row r="20" spans="1:2">
      <c r="A20" s="1703" t="s">
        <v>1165</v>
      </c>
      <c r="B20" s="1690" t="str">
        <f>'预评函-2（1）'!C7</f>
        <v>总价（万元）</v>
      </c>
    </row>
    <row r="21" spans="1:2">
      <c r="A21" s="1703" t="s">
        <v>1128</v>
      </c>
      <c r="B21" s="1690">
        <f ca="1">'预评函-2（1）'!D9</f>
        <v>36789</v>
      </c>
    </row>
    <row r="22" spans="1:2">
      <c r="A22" s="1703" t="s">
        <v>1129</v>
      </c>
      <c r="B22" s="1690" t="str">
        <f ca="1">'预评函-2（1）'!D8</f>
        <v>伍佰肆拾玖万元整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549</v>
      </c>
    </row>
    <row r="30" spans="1:2">
      <c r="A30" s="1703" t="s">
        <v>1135</v>
      </c>
      <c r="B30" s="1690" t="str">
        <f ca="1">'预评函-2（1）'!D16</f>
        <v>伍佰肆拾玖万元整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201</v>
      </c>
    </row>
    <row r="38" spans="1:2">
      <c r="A38" s="1703" t="s">
        <v>1143</v>
      </c>
      <c r="B38" s="1690">
        <f ca="1">'预评函-2（2）'!E4</f>
        <v>13469</v>
      </c>
    </row>
    <row r="39" spans="1:2">
      <c r="A39" s="1703" t="s">
        <v>1144</v>
      </c>
      <c r="B39" s="1690" t="str">
        <f ca="1">'预评函-2（2）'!D5</f>
        <v>贰佰零壹万元整</v>
      </c>
    </row>
    <row r="40" spans="1:2">
      <c r="A40" s="1703" t="s">
        <v>1145</v>
      </c>
      <c r="B40" s="1690">
        <f ca="1">'预评函-2（2）'!F4</f>
        <v>348</v>
      </c>
    </row>
    <row r="41" spans="1:2">
      <c r="A41" s="1703" t="s">
        <v>1146</v>
      </c>
      <c r="B41" s="1690">
        <f ca="1">'预评函-2（2）'!G4</f>
        <v>23320</v>
      </c>
    </row>
    <row r="42" spans="1:2" s="1700" customFormat="1" ht="15.75" thickBot="1">
      <c r="A42" s="1704" t="s">
        <v>1147</v>
      </c>
      <c r="B42" s="1692" t="str">
        <f ca="1">'预评函-2（2）'!F5</f>
        <v>叁佰肆拾捌万元整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36789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32" sqref="I3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北京市北京经济技术开发区天华园一里三区16幢1单元904室住宅用房房地产抵押价值预评估</v>
      </c>
      <c r="C1" s="1063"/>
      <c r="D1" s="1997"/>
      <c r="E1" s="1063"/>
      <c r="F1" s="1998" t="s">
        <v>1546</v>
      </c>
      <c r="G1" s="1683" t="s">
        <v>2901</v>
      </c>
      <c r="I1" s="1020" t="str">
        <f>IF(B6="北京市","北京市",C6)&amp;IF(E12="房屋所有权证",B28,E28)&amp;"房地产"</f>
        <v>北京市北京经济技术开发区天华园一里三区16幢1单元904室住宅用房房地产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2898</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798" t="s">
        <v>1558</v>
      </c>
      <c r="B8" s="2018" t="s">
        <v>1559</v>
      </c>
      <c r="C8" s="2811" t="s">
        <v>2899</v>
      </c>
      <c r="D8" s="2812"/>
      <c r="E8" s="2019" t="s">
        <v>1560</v>
      </c>
      <c r="F8" s="2020" t="s">
        <v>1561</v>
      </c>
      <c r="G8" s="690">
        <f>C6</f>
        <v>0</v>
      </c>
    </row>
    <row r="9" spans="1:10" ht="25.5">
      <c r="A9" s="2798"/>
      <c r="B9" s="344" t="s">
        <v>1562</v>
      </c>
      <c r="C9" s="2716" t="s">
        <v>2818</v>
      </c>
      <c r="D9" s="2021" t="s">
        <v>2816</v>
      </c>
      <c r="E9" s="1010" t="s">
        <v>1563</v>
      </c>
      <c r="F9" s="996" t="s">
        <v>70</v>
      </c>
      <c r="G9" s="1012"/>
    </row>
    <row r="10" spans="1:10" ht="13.5" thickBot="1">
      <c r="A10" s="2798"/>
      <c r="B10" s="344" t="s">
        <v>1564</v>
      </c>
      <c r="C10" s="2813"/>
      <c r="D10" s="2814"/>
      <c r="E10" s="2022" t="s">
        <v>1565</v>
      </c>
      <c r="F10" s="1013" t="s">
        <v>2885</v>
      </c>
      <c r="G10" s="1014"/>
    </row>
    <row r="11" spans="1:10" ht="13.5" thickBot="1">
      <c r="A11" s="2798"/>
      <c r="B11" s="2023" t="s">
        <v>1566</v>
      </c>
      <c r="C11" s="2815"/>
      <c r="D11" s="2816"/>
      <c r="E11" s="1022"/>
      <c r="F11" s="1021"/>
      <c r="G11" s="1074"/>
    </row>
    <row r="12" spans="1:10" ht="13.5" thickBot="1">
      <c r="A12" s="2802" t="s">
        <v>1567</v>
      </c>
      <c r="B12" s="2024" t="s">
        <v>1568</v>
      </c>
      <c r="C12" s="1016">
        <v>149.22999999999999</v>
      </c>
      <c r="D12" s="2024" t="s">
        <v>1569</v>
      </c>
      <c r="E12" s="2025" t="s">
        <v>2819</v>
      </c>
      <c r="F12" s="2026" t="s">
        <v>1255</v>
      </c>
      <c r="G12" s="1074"/>
    </row>
    <row r="13" spans="1:10" ht="21" customHeight="1" thickBot="1">
      <c r="A13" s="2803"/>
      <c r="B13" s="2027" t="s">
        <v>1570</v>
      </c>
      <c r="C13" s="1017"/>
      <c r="D13" s="2027" t="s">
        <v>1571</v>
      </c>
      <c r="E13" s="2028" t="s">
        <v>2879</v>
      </c>
      <c r="F13" s="1021"/>
      <c r="G13" s="1074"/>
      <c r="I13" s="2821"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17" t="s">
        <v>1579</v>
      </c>
      <c r="C17" s="2818"/>
      <c r="D17" s="2819" t="s">
        <v>1580</v>
      </c>
      <c r="E17" s="2820"/>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2880</v>
      </c>
      <c r="C27" s="2805" t="s">
        <v>1593</v>
      </c>
      <c r="D27" s="2806"/>
      <c r="E27" s="1004"/>
      <c r="F27" s="1011" t="s">
        <v>1593</v>
      </c>
      <c r="G27" s="1004"/>
      <c r="I27" s="1071"/>
      <c r="K27" s="1071"/>
    </row>
    <row r="28" spans="1:15" ht="48">
      <c r="A28" s="1008" t="s">
        <v>1594</v>
      </c>
      <c r="B28" s="2718" t="s">
        <v>2900</v>
      </c>
      <c r="C28" s="2807" t="s">
        <v>1595</v>
      </c>
      <c r="D28" s="2808"/>
      <c r="E28" s="978"/>
      <c r="F28" s="1895" t="s">
        <v>1595</v>
      </c>
      <c r="G28" s="978"/>
      <c r="I28" s="1071"/>
      <c r="K28" s="1071"/>
    </row>
    <row r="29" spans="1:15">
      <c r="A29" s="1008" t="s">
        <v>1596</v>
      </c>
      <c r="B29" s="978"/>
      <c r="C29" s="2807" t="s">
        <v>1596</v>
      </c>
      <c r="D29" s="2808"/>
      <c r="E29" s="978"/>
      <c r="F29" s="1895" t="s">
        <v>1597</v>
      </c>
      <c r="G29" s="978"/>
      <c r="I29" s="1071"/>
      <c r="K29" s="1071"/>
    </row>
    <row r="30" spans="1:15">
      <c r="A30" s="1008" t="s">
        <v>1598</v>
      </c>
      <c r="B30" s="2718" t="s">
        <v>2881</v>
      </c>
      <c r="C30" s="2827" t="s">
        <v>1599</v>
      </c>
      <c r="D30" s="2066"/>
      <c r="E30" s="1023" t="str">
        <f>E31&amp;" "&amp;E32&amp;" "&amp;E33&amp;" "&amp;E34</f>
        <v xml:space="preserve">   </v>
      </c>
      <c r="F30" s="1895" t="s">
        <v>1600</v>
      </c>
      <c r="G30" s="978"/>
    </row>
    <row r="31" spans="1:15">
      <c r="A31" s="1008" t="s">
        <v>1601</v>
      </c>
      <c r="B31" s="978"/>
      <c r="C31" s="2828"/>
      <c r="D31" s="1894" t="s">
        <v>1602</v>
      </c>
      <c r="E31" s="978"/>
      <c r="F31" s="1895" t="s">
        <v>1603</v>
      </c>
      <c r="G31" s="978"/>
    </row>
    <row r="32" spans="1:15" ht="24.75" thickBot="1">
      <c r="A32" s="1009" t="s">
        <v>1604</v>
      </c>
      <c r="B32" s="2719" t="s">
        <v>2825</v>
      </c>
      <c r="C32" s="2828"/>
      <c r="D32" s="1894" t="s">
        <v>1605</v>
      </c>
      <c r="E32" s="978"/>
      <c r="F32" s="1895" t="s">
        <v>1606</v>
      </c>
      <c r="G32" s="978"/>
    </row>
    <row r="33" spans="1:7">
      <c r="A33" s="1007" t="s">
        <v>1607</v>
      </c>
      <c r="B33" s="1004"/>
      <c r="C33" s="2828"/>
      <c r="D33" s="1894" t="s">
        <v>1608</v>
      </c>
      <c r="E33" s="978"/>
      <c r="F33" s="1895" t="s">
        <v>1609</v>
      </c>
      <c r="G33" s="978"/>
    </row>
    <row r="34" spans="1:7" ht="13.5" thickBot="1">
      <c r="A34" s="1008" t="s">
        <v>1610</v>
      </c>
      <c r="B34" s="2718" t="s">
        <v>2882</v>
      </c>
      <c r="C34" s="2829"/>
      <c r="D34" s="1894" t="s">
        <v>1611</v>
      </c>
      <c r="E34" s="978"/>
      <c r="F34" s="1896" t="s">
        <v>1612</v>
      </c>
      <c r="G34" s="1006"/>
    </row>
    <row r="35" spans="1:7">
      <c r="A35" s="1008" t="s">
        <v>1568</v>
      </c>
      <c r="B35" s="978">
        <v>149.22999999999999</v>
      </c>
      <c r="C35" s="2807" t="s">
        <v>1613</v>
      </c>
      <c r="D35" s="2808"/>
      <c r="E35" s="978"/>
      <c r="F35" s="1019" t="s">
        <v>1614</v>
      </c>
      <c r="G35" s="1004"/>
    </row>
    <row r="36" spans="1:7" ht="13.5" thickBot="1">
      <c r="A36" s="1008" t="s">
        <v>1615</v>
      </c>
      <c r="B36" s="978">
        <v>128.25</v>
      </c>
      <c r="C36" s="2809" t="s">
        <v>1616</v>
      </c>
      <c r="D36" s="2810"/>
      <c r="E36" s="1005"/>
      <c r="F36" s="1892" t="s">
        <v>1617</v>
      </c>
      <c r="G36" s="978"/>
    </row>
    <row r="37" spans="1:7" ht="13.5" thickBot="1">
      <c r="A37" s="1008" t="s">
        <v>1618</v>
      </c>
      <c r="B37" s="978">
        <v>128.25</v>
      </c>
      <c r="C37" s="2799" t="s">
        <v>1619</v>
      </c>
      <c r="D37" s="2067" t="s">
        <v>1603</v>
      </c>
      <c r="E37" s="1004"/>
      <c r="F37" s="1896" t="s">
        <v>1620</v>
      </c>
      <c r="G37" s="1005"/>
    </row>
    <row r="38" spans="1:7">
      <c r="A38" s="1008" t="s">
        <v>1621</v>
      </c>
      <c r="B38" s="978" t="s">
        <v>2883</v>
      </c>
      <c r="C38" s="2800"/>
      <c r="D38" s="1894" t="s">
        <v>1610</v>
      </c>
      <c r="E38" s="978"/>
      <c r="F38" s="1011" t="s">
        <v>1622</v>
      </c>
      <c r="G38" s="1004"/>
    </row>
    <row r="39" spans="1:7">
      <c r="A39" s="1008" t="s">
        <v>1623</v>
      </c>
      <c r="B39" s="978">
        <v>9</v>
      </c>
      <c r="C39" s="2800" t="s">
        <v>1624</v>
      </c>
      <c r="D39" s="1894" t="s">
        <v>1568</v>
      </c>
      <c r="E39" s="978"/>
      <c r="F39" s="1895" t="s">
        <v>1625</v>
      </c>
      <c r="G39" s="978"/>
    </row>
    <row r="40" spans="1:7" ht="24.75" customHeight="1" thickBot="1">
      <c r="A40" s="1009" t="s">
        <v>1626</v>
      </c>
      <c r="B40" s="1005">
        <v>2003</v>
      </c>
      <c r="C40" s="2801"/>
      <c r="D40" s="1897" t="s">
        <v>1570</v>
      </c>
      <c r="E40" s="1005"/>
      <c r="F40" s="1896" t="s">
        <v>1627</v>
      </c>
      <c r="G40" s="1005"/>
    </row>
    <row r="41" spans="1:7">
      <c r="A41" s="1010" t="s">
        <v>1628</v>
      </c>
      <c r="B41" s="1060" t="s">
        <v>2879</v>
      </c>
      <c r="C41" s="2822" t="s">
        <v>1628</v>
      </c>
      <c r="D41" s="2823"/>
      <c r="E41" s="1060"/>
      <c r="F41" s="1011" t="s">
        <v>1629</v>
      </c>
      <c r="G41" s="1060"/>
    </row>
    <row r="42" spans="1:7">
      <c r="A42" s="1057" t="s">
        <v>1630</v>
      </c>
      <c r="B42" s="1061" t="s">
        <v>2884</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4" t="s">
        <v>1631</v>
      </c>
      <c r="D48" s="2825"/>
      <c r="E48" s="1055"/>
      <c r="F48" s="1896" t="s">
        <v>1632</v>
      </c>
      <c r="G48" s="1005"/>
    </row>
    <row r="49" spans="1:15">
      <c r="A49" s="1008" t="s">
        <v>1633</v>
      </c>
      <c r="B49" s="2720"/>
      <c r="C49" s="2799" t="s">
        <v>1634</v>
      </c>
      <c r="D49" s="2826"/>
      <c r="E49" s="1056"/>
      <c r="F49" s="1084"/>
      <c r="G49" s="1085"/>
    </row>
    <row r="50" spans="1:15" ht="13.5" thickBot="1">
      <c r="A50" s="1008" t="s">
        <v>1635</v>
      </c>
      <c r="B50" s="1054"/>
      <c r="C50" s="2801" t="s">
        <v>1636</v>
      </c>
      <c r="D50" s="2804"/>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9" sqref="H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2886</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2887</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2888</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2890</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549</v>
      </c>
      <c r="C5" s="1831">
        <f ca="1">ROUND(B5*10000/$B$1,0)</f>
        <v>36789</v>
      </c>
      <c r="D5" s="1831" t="e">
        <f ca="1">ROUND(B5*10000/$B$2,0)</f>
        <v>#DIV/0!</v>
      </c>
      <c r="E5" s="1832"/>
      <c r="F5" s="1836"/>
      <c r="G5" s="1836"/>
    </row>
    <row r="6" spans="1:9" ht="16.5">
      <c r="A6" s="1831" t="s">
        <v>1235</v>
      </c>
      <c r="B6" s="1831">
        <f ca="1">SUM(G14:G23)</f>
        <v>549</v>
      </c>
      <c r="C6" s="1831">
        <f t="shared" ref="C6:C8" ca="1" si="0">ROUND(B6*10000/$B$1,0)</f>
        <v>36789</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2891</v>
      </c>
      <c r="B14" s="1835">
        <f>项目基本情况!C12</f>
        <v>149.22999999999999</v>
      </c>
      <c r="C14" s="1835">
        <f>项目基本情况!C13</f>
        <v>0</v>
      </c>
      <c r="D14" s="1835">
        <f ca="1">IF('数据-取费表'!B3="万元",IF(A14="估价对象1（结果表）",结果表!H121,'结果表 (1修多)'!H124),IF(A14="估价对象1（结果表）",结果表!H121,'结果表 (1修多)'!H124)/10000)</f>
        <v>549</v>
      </c>
      <c r="E14" s="1835">
        <f ca="1">ROUND(D14*10000/B14,0)</f>
        <v>36789</v>
      </c>
      <c r="F14" s="1835" t="e">
        <f ca="1">ROUND(D14*10000/C14,0)</f>
        <v>#DIV/0!</v>
      </c>
      <c r="G14" s="1835">
        <f ca="1">IF('数据-取费表'!B3="万元",IF(A14="估价对象1（结果表）",结果表!D125,'结果表 (1修多)'!D128),IF(A14="估价对象1（结果表）",结果表!D125,'结果表 (1修多)'!D128)/10000)</f>
        <v>549</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2" t="str">
        <f>项目基本情况!B1</f>
        <v>北京市北京经济技术开发区天华园一里三区16幢1单元904室住宅用房房地产抵押价值预评估</v>
      </c>
      <c r="B2" s="2912"/>
      <c r="C2" s="2912"/>
      <c r="D2" s="2912"/>
      <c r="E2" s="2912"/>
      <c r="F2" s="2912"/>
      <c r="G2" s="2912"/>
      <c r="H2" s="2912"/>
      <c r="I2" s="2912"/>
    </row>
    <row r="3" spans="1:12" ht="12.75">
      <c r="A3" s="2918" t="s">
        <v>1766</v>
      </c>
      <c r="B3" s="2919"/>
      <c r="C3" s="2919"/>
      <c r="D3" s="2919"/>
      <c r="E3" s="2919"/>
      <c r="F3" s="2919"/>
      <c r="G3" s="2919"/>
      <c r="H3" s="2919"/>
      <c r="I3" s="2919"/>
    </row>
    <row r="4" spans="1:12" ht="14.25">
      <c r="A4" s="2194" t="s">
        <v>1767</v>
      </c>
      <c r="B4" s="2195" t="s">
        <v>1768</v>
      </c>
      <c r="C4" s="2196" t="s">
        <v>2829</v>
      </c>
      <c r="D4" s="2196" t="s">
        <v>2830</v>
      </c>
      <c r="E4" s="2923" t="s">
        <v>1769</v>
      </c>
      <c r="F4" s="2924"/>
      <c r="G4" s="2924"/>
      <c r="H4" s="2924"/>
      <c r="I4" s="292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v>3</v>
      </c>
      <c r="D14" s="2917">
        <v>7</v>
      </c>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3</v>
      </c>
      <c r="D17" s="57">
        <f>SUM(D5:D16)</f>
        <v>7</v>
      </c>
      <c r="E17" s="2192"/>
      <c r="F17" s="2192"/>
      <c r="G17" s="2192"/>
      <c r="H17" s="2192"/>
      <c r="I17" s="2192"/>
    </row>
    <row r="18" spans="1:35" ht="15.75" thickBot="1">
      <c r="A18" s="2201" t="s">
        <v>1788</v>
      </c>
      <c r="B18" s="2202"/>
      <c r="C18" s="58">
        <f>ROUND(C17/SUM(C17:D17),2)</f>
        <v>0.3</v>
      </c>
      <c r="D18" s="58">
        <f>1-C18</f>
        <v>0.7</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686</v>
      </c>
      <c r="E19" s="2203" t="s">
        <v>1791</v>
      </c>
      <c r="F19" s="2204" t="s">
        <v>1790</v>
      </c>
      <c r="G19" s="61">
        <f ca="1">ROUND(C19*$C$18+D19*$D$18,0)</f>
        <v>549</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45955</v>
      </c>
      <c r="E20" s="2206"/>
      <c r="F20" s="2207" t="s">
        <v>1792</v>
      </c>
      <c r="G20" s="64">
        <f ca="1">ROUND(C20*$C$18+D20*$D$18,0)</f>
        <v>36752</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2.0087719298245612</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549</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201</v>
      </c>
      <c r="D34" s="1091">
        <f ca="1">IF(D33="自定义",ROUND(C34/C32,3),1-D35)</f>
        <v>0.36699999999999999</v>
      </c>
      <c r="E34" s="2230" t="s">
        <v>1805</v>
      </c>
      <c r="F34" s="1829"/>
      <c r="G34" s="2192"/>
      <c r="H34" s="2192"/>
      <c r="I34" s="2192"/>
    </row>
    <row r="35" spans="1:16" ht="15.75" thickBot="1">
      <c r="A35" s="2231"/>
      <c r="B35" s="2232" t="s">
        <v>1806</v>
      </c>
      <c r="C35" s="73">
        <f ca="1">IF(D33="自定义",F35,ROUND(C32*D35,0))</f>
        <v>348</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931" t="s">
        <v>1808</v>
      </c>
      <c r="B36" s="2234" t="s">
        <v>1809</v>
      </c>
      <c r="C36" s="69">
        <v>0</v>
      </c>
      <c r="D36" s="2235"/>
      <c r="E36" s="2236"/>
      <c r="F36" s="2236"/>
      <c r="G36" s="2192"/>
      <c r="H36" s="2192"/>
      <c r="I36" s="2192"/>
    </row>
    <row r="37" spans="1:16" ht="15.75" thickBot="1">
      <c r="A37" s="2932"/>
      <c r="B37" s="2237" t="s">
        <v>1810</v>
      </c>
      <c r="C37" s="71">
        <v>0</v>
      </c>
      <c r="D37" s="2202"/>
      <c r="E37" s="2202"/>
      <c r="F37" s="2236"/>
      <c r="G37" s="2202"/>
      <c r="H37" s="2202"/>
      <c r="I37" s="2202"/>
    </row>
    <row r="38" spans="1:16" ht="15.75" thickBot="1">
      <c r="A38" s="293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6" t="s">
        <v>1819</v>
      </c>
      <c r="B45" s="2937"/>
      <c r="C45" s="2938"/>
      <c r="D45" s="80">
        <f ca="1">ROUND(I102*F45,0)</f>
        <v>549</v>
      </c>
      <c r="E45" s="81" t="s">
        <v>1820</v>
      </c>
      <c r="F45" s="82">
        <v>1</v>
      </c>
      <c r="G45" s="83" t="s">
        <v>1821</v>
      </c>
      <c r="H45" s="2192"/>
      <c r="I45" s="2192"/>
      <c r="J45" s="2848" t="s">
        <v>1822</v>
      </c>
      <c r="K45" s="2848"/>
      <c r="L45" s="2848"/>
      <c r="M45" s="2848"/>
      <c r="N45" s="2848"/>
      <c r="O45" s="2848"/>
      <c r="P45" s="1846"/>
    </row>
    <row r="46" spans="1:16" ht="14.25" customHeight="1">
      <c r="A46" s="2928" t="s">
        <v>1823</v>
      </c>
      <c r="B46" s="2929"/>
      <c r="C46" s="2929"/>
      <c r="D46" s="2929"/>
      <c r="E46" s="2929"/>
      <c r="F46" s="2929"/>
      <c r="G46" s="2930"/>
      <c r="H46" s="2254"/>
      <c r="I46" s="1144"/>
      <c r="J46" s="1884">
        <v>1</v>
      </c>
      <c r="K46" s="2848" t="s">
        <v>1824</v>
      </c>
      <c r="L46" s="2848"/>
      <c r="M46" s="2849" t="str">
        <f>项目基本情况!B1</f>
        <v>北京市北京经济技术开发区天华园一里三区16幢1单元904室住宅用房房地产抵押价值预评估</v>
      </c>
      <c r="N46" s="2849"/>
      <c r="O46" s="2849"/>
      <c r="P46" s="1846"/>
    </row>
    <row r="47" spans="1:16" ht="12" customHeight="1">
      <c r="A47" s="85" t="s">
        <v>1825</v>
      </c>
      <c r="B47" s="86"/>
      <c r="C47" s="87"/>
      <c r="D47" s="88" t="s">
        <v>1826</v>
      </c>
      <c r="E47" s="14" t="s">
        <v>1827</v>
      </c>
      <c r="F47" s="89" t="s">
        <v>1828</v>
      </c>
      <c r="G47" s="90" t="s">
        <v>1829</v>
      </c>
      <c r="H47" s="2254"/>
      <c r="I47" s="1144"/>
      <c r="J47" s="1884">
        <v>2</v>
      </c>
      <c r="K47" s="2848" t="s">
        <v>1830</v>
      </c>
      <c r="L47" s="2848"/>
      <c r="M47" s="2850">
        <f>'数据-取费表'!B2</f>
        <v>43112</v>
      </c>
      <c r="N47" s="2850"/>
      <c r="O47" s="2850"/>
      <c r="P47" s="1846"/>
    </row>
    <row r="48" spans="1:16" ht="25.5">
      <c r="A48" s="2934" t="s">
        <v>1831</v>
      </c>
      <c r="B48" s="2935"/>
      <c r="C48" s="2935"/>
      <c r="D48" s="56">
        <f ca="1">IF(H48="情况1",0,IF(H48="情况2",D52,IF(H48="情况3",D53,IF(H48="情况4",D54))))</f>
        <v>29</v>
      </c>
      <c r="E48" s="1894" t="str">
        <f>IF(H48="情况4","(销售额-原购置价)×税（费）率","销售额×税（费）率")</f>
        <v>销售额×税（费）率</v>
      </c>
      <c r="F48" s="91">
        <f>IF(H48="情况1","免征",'数据-取费表'!E29)</f>
        <v>5.5000000000000007E-2</v>
      </c>
      <c r="G48" s="2255" t="s">
        <v>1832</v>
      </c>
      <c r="H48" s="2256" t="s">
        <v>1833</v>
      </c>
      <c r="I48" s="2254"/>
      <c r="J48" s="1884">
        <v>3</v>
      </c>
      <c r="K48" s="2848" t="s">
        <v>1834</v>
      </c>
      <c r="L48" s="2848"/>
      <c r="M48" s="2849">
        <f ca="1">I102</f>
        <v>549</v>
      </c>
      <c r="N48" s="2849"/>
      <c r="O48" s="2849"/>
      <c r="P48" s="1846"/>
    </row>
    <row r="49" spans="1:16" ht="25.5" customHeight="1">
      <c r="A49" s="92" t="s">
        <v>1835</v>
      </c>
      <c r="B49" s="2915" t="s">
        <v>1836</v>
      </c>
      <c r="C49" s="2915"/>
      <c r="D49" s="93">
        <v>0</v>
      </c>
      <c r="E49" s="13" t="s">
        <v>1837</v>
      </c>
      <c r="F49" s="18" t="s">
        <v>48</v>
      </c>
      <c r="G49" s="2839"/>
      <c r="H49" s="2192"/>
      <c r="I49" s="2257"/>
      <c r="J49" s="1884">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6"/>
    </row>
    <row r="50" spans="1:16" ht="25.5" customHeight="1">
      <c r="A50" s="94"/>
      <c r="B50" s="2915" t="s">
        <v>1838</v>
      </c>
      <c r="C50" s="2915"/>
      <c r="D50" s="95"/>
      <c r="E50" s="21"/>
      <c r="F50" s="96"/>
      <c r="G50" s="2840"/>
      <c r="H50" s="2192"/>
      <c r="I50" s="2257"/>
      <c r="J50" s="2848" t="s">
        <v>1839</v>
      </c>
      <c r="K50" s="2848"/>
      <c r="L50" s="2848"/>
      <c r="M50" s="2848"/>
      <c r="N50" s="2848"/>
      <c r="O50" s="2848"/>
      <c r="P50" s="1846"/>
    </row>
    <row r="51" spans="1:16" ht="12" customHeight="1">
      <c r="A51" s="97"/>
      <c r="B51" s="2915" t="s">
        <v>1840</v>
      </c>
      <c r="C51" s="2915"/>
      <c r="D51" s="98"/>
      <c r="E51" s="20"/>
      <c r="F51" s="96"/>
      <c r="G51" s="2841"/>
      <c r="H51" s="2192"/>
      <c r="I51" s="2257"/>
      <c r="J51" s="2258" t="s">
        <v>1841</v>
      </c>
      <c r="K51" s="2848" t="s">
        <v>1842</v>
      </c>
      <c r="L51" s="2848"/>
      <c r="M51" s="2258" t="s">
        <v>1843</v>
      </c>
      <c r="N51" s="2258" t="s">
        <v>1844</v>
      </c>
      <c r="O51" s="2258" t="s">
        <v>1845</v>
      </c>
      <c r="P51" s="1846"/>
    </row>
    <row r="52" spans="1:16" ht="24" customHeight="1">
      <c r="A52" s="99" t="s">
        <v>1846</v>
      </c>
      <c r="B52" s="2915" t="s">
        <v>1847</v>
      </c>
      <c r="C52" s="2915"/>
      <c r="D52" s="98">
        <f ca="1">ROUND(D45*'数据-取费表'!E29/(1+'数据-取费表'!F30),0)</f>
        <v>29</v>
      </c>
      <c r="E52" s="10" t="s">
        <v>1848</v>
      </c>
      <c r="F52" s="100">
        <f>'数据-取费表'!E29</f>
        <v>5.5000000000000007E-2</v>
      </c>
      <c r="G52" s="2259"/>
      <c r="H52" s="2192"/>
      <c r="I52" s="2257"/>
      <c r="J52" s="1884">
        <v>1</v>
      </c>
      <c r="K52" s="2838" t="s">
        <v>1849</v>
      </c>
      <c r="L52" s="2838"/>
      <c r="M52" s="778">
        <f ca="1">D48</f>
        <v>29</v>
      </c>
      <c r="N52" s="1884" t="str">
        <f>E48</f>
        <v>销售额×税（费）率</v>
      </c>
      <c r="O52" s="779">
        <f>F48</f>
        <v>5.5000000000000007E-2</v>
      </c>
      <c r="P52" s="1846"/>
    </row>
    <row r="53" spans="1:16" ht="12" customHeight="1">
      <c r="A53" s="99" t="s">
        <v>1850</v>
      </c>
      <c r="B53" s="2914" t="s">
        <v>1851</v>
      </c>
      <c r="C53" s="2808"/>
      <c r="D53" s="98">
        <f ca="1">ROUND(D45*'数据-取费表'!E29/(1+'数据-取费表'!F30),0)</f>
        <v>29</v>
      </c>
      <c r="E53" s="10" t="s">
        <v>1848</v>
      </c>
      <c r="F53" s="100">
        <f>'数据-取费表'!E29</f>
        <v>5.5000000000000007E-2</v>
      </c>
      <c r="G53" s="2259"/>
      <c r="H53" s="2192"/>
      <c r="I53" s="2257"/>
      <c r="J53" s="1884">
        <v>2</v>
      </c>
      <c r="K53" s="2838" t="s">
        <v>1852</v>
      </c>
      <c r="L53" s="2838"/>
      <c r="M53" s="778">
        <f t="shared" ref="M53:O54" ca="1" si="1">D55</f>
        <v>0</v>
      </c>
      <c r="N53" s="1884" t="str">
        <f t="shared" si="1"/>
        <v>销售额×税（费）率</v>
      </c>
      <c r="O53" s="779">
        <f t="shared" si="1"/>
        <v>5.0000000000000001E-4</v>
      </c>
      <c r="P53" s="1846"/>
    </row>
    <row r="54" spans="1:16" ht="12" customHeight="1">
      <c r="A54" s="99" t="s">
        <v>1853</v>
      </c>
      <c r="B54" s="2914" t="s">
        <v>1854</v>
      </c>
      <c r="C54" s="2808"/>
      <c r="D54" s="98">
        <f ca="1">C68</f>
        <v>29</v>
      </c>
      <c r="E54" s="20" t="s">
        <v>1855</v>
      </c>
      <c r="F54" s="100">
        <f>'数据-取费表'!E29</f>
        <v>5.5000000000000007E-2</v>
      </c>
      <c r="G54" s="2259"/>
      <c r="H54" s="2260"/>
      <c r="I54" s="2257"/>
      <c r="J54" s="1884">
        <v>3</v>
      </c>
      <c r="K54" s="2838" t="s">
        <v>1856</v>
      </c>
      <c r="L54" s="2838"/>
      <c r="M54" s="778">
        <f t="shared" ca="1" si="1"/>
        <v>311</v>
      </c>
      <c r="N54" s="1884" t="str">
        <f t="shared" si="1"/>
        <v>增值额×税（费）率</v>
      </c>
      <c r="O54" s="780" t="str">
        <f t="shared" si="1"/>
        <v>——</v>
      </c>
      <c r="P54" s="1846"/>
    </row>
    <row r="55" spans="1:16" ht="24" customHeight="1">
      <c r="A55" s="2800" t="s">
        <v>1857</v>
      </c>
      <c r="B55" s="2935"/>
      <c r="C55" s="2935"/>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838" t="str">
        <f>IF(H59="非个人房产","——","个人所得税")</f>
        <v>个人所得税</v>
      </c>
      <c r="L55" s="2838"/>
      <c r="M55" s="781">
        <f ca="1">D59</f>
        <v>5</v>
      </c>
      <c r="N55" s="1887" t="str">
        <f>E59</f>
        <v>销售额×税（费）率</v>
      </c>
      <c r="O55" s="782">
        <f>F59</f>
        <v>0.01</v>
      </c>
      <c r="P55" s="1846"/>
    </row>
    <row r="56" spans="1:16" ht="24.75">
      <c r="A56" s="2800" t="s">
        <v>1860</v>
      </c>
      <c r="B56" s="2935"/>
      <c r="C56" s="2935"/>
      <c r="D56" s="101">
        <f ca="1">IF(H56="个人住宅",D57,D58)</f>
        <v>311</v>
      </c>
      <c r="E56" s="10" t="s">
        <v>1861</v>
      </c>
      <c r="F56" s="100" t="str">
        <f>IF(H56="正常",F58,"免征")</f>
        <v>——</v>
      </c>
      <c r="G56" s="2261" t="s">
        <v>1862</v>
      </c>
      <c r="H56" s="2262" t="s">
        <v>1859</v>
      </c>
      <c r="I56" s="1022"/>
      <c r="J56" s="1884"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6"/>
    </row>
    <row r="57" spans="1:16" ht="12.75">
      <c r="A57" s="99" t="s">
        <v>1835</v>
      </c>
      <c r="B57" s="2923" t="s">
        <v>1863</v>
      </c>
      <c r="C57" s="2925"/>
      <c r="D57" s="103">
        <v>0</v>
      </c>
      <c r="E57" s="13" t="s">
        <v>1837</v>
      </c>
      <c r="F57" s="70"/>
      <c r="G57" s="2259"/>
      <c r="H57" s="1022"/>
      <c r="I57" s="1022"/>
      <c r="J57" s="2838">
        <f>IF(AND(J55="",J56=""),4,IF(项目基本情况!I6="上海银行",J56+1,J55+1))</f>
        <v>5</v>
      </c>
      <c r="K57" s="2838" t="s">
        <v>1864</v>
      </c>
      <c r="L57" s="2263" t="s">
        <v>1865</v>
      </c>
      <c r="M57" s="783"/>
      <c r="N57" s="784">
        <f ca="1">SUMIF(M52:M56,"&lt;9e307")</f>
        <v>345</v>
      </c>
      <c r="O57" s="2264"/>
      <c r="P57" s="1842" t="e">
        <f ca="1">N57/M49</f>
        <v>#VALUE!</v>
      </c>
    </row>
    <row r="58" spans="1:16" ht="24.75">
      <c r="A58" s="99" t="s">
        <v>1846</v>
      </c>
      <c r="B58" s="2923" t="s">
        <v>1866</v>
      </c>
      <c r="C58" s="2924"/>
      <c r="D58" s="101">
        <f ca="1">IF(H58="转让取得",C81,C97)</f>
        <v>311</v>
      </c>
      <c r="E58" s="10" t="s">
        <v>1861</v>
      </c>
      <c r="F58" s="14" t="s">
        <v>48</v>
      </c>
      <c r="G58" s="2259"/>
      <c r="H58" s="2262" t="s">
        <v>1867</v>
      </c>
      <c r="I58" s="1022"/>
      <c r="J58" s="2838"/>
      <c r="K58" s="2838"/>
      <c r="L58" s="2263" t="s">
        <v>1868</v>
      </c>
      <c r="M58" s="785"/>
      <c r="N58" s="2265" t="str">
        <f ca="1">IF(H19="元",NUMBERSTRING(INT(N57),2)&amp;"元整",NUMBERSTRING(INT(N57*10000),2)&amp;"元整")</f>
        <v>叁佰肆拾伍万元整</v>
      </c>
      <c r="O58" s="2266"/>
      <c r="P58" s="1846"/>
    </row>
    <row r="59" spans="1:16" ht="26.25" thickBot="1">
      <c r="A59" s="2801" t="s">
        <v>1869</v>
      </c>
      <c r="B59" s="2804"/>
      <c r="C59" s="2804"/>
      <c r="D59" s="104">
        <f ca="1">IF(H59="非个人房产","——",IF(H59="个人住宅",0,ROUND(D45*I59,0)))</f>
        <v>5</v>
      </c>
      <c r="E59" s="105" t="str">
        <f>IF(H59="非个人房产","——","销售额×税（费）率")</f>
        <v>销售额×税（费）率</v>
      </c>
      <c r="F59" s="106">
        <f>IF(H59="非个人房产","——",IF(H59="个人住宅","免征",I59))</f>
        <v>0.01</v>
      </c>
      <c r="G59" s="2267" t="s">
        <v>1862</v>
      </c>
      <c r="H59" s="2262" t="s">
        <v>1870</v>
      </c>
      <c r="I59" s="107">
        <v>0.01</v>
      </c>
      <c r="J59" s="2892">
        <f>J57+1</f>
        <v>6</v>
      </c>
      <c r="K59" s="283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3"/>
      <c r="K60" s="2838"/>
      <c r="L60" s="2263" t="s">
        <v>1868</v>
      </c>
      <c r="M60" s="785"/>
      <c r="N60" s="2265" t="e">
        <f ca="1">IF(H19="元",NUMBERSTRING(INT(N59),2)&amp;"元整",NUMBERSTRING(INT(N59*10000),2)&amp;"元整")</f>
        <v>#VALUE!</v>
      </c>
      <c r="O60" s="2266"/>
      <c r="P60" s="1846"/>
    </row>
    <row r="61" spans="1:16" ht="13.5" thickBot="1">
      <c r="A61" s="2939" t="s">
        <v>1872</v>
      </c>
      <c r="B61" s="2939"/>
      <c r="C61" s="2939"/>
      <c r="D61" s="2939"/>
      <c r="E61" s="2939"/>
      <c r="F61" s="1022"/>
      <c r="G61" s="1022"/>
      <c r="H61" s="2245"/>
      <c r="I61" s="2192"/>
      <c r="J61" s="1884">
        <f>J59+1</f>
        <v>7</v>
      </c>
      <c r="K61" s="2838" t="s">
        <v>1873</v>
      </c>
      <c r="L61" s="2838"/>
      <c r="M61" s="788"/>
      <c r="N61" s="789" t="e">
        <f ca="1">IF(H19="元",ROUND(N59/项目基本情况!C12,0),ROUND(N59*10000/项目基本情况!C12,0))</f>
        <v>#VALUE!</v>
      </c>
      <c r="O61" s="2269"/>
      <c r="P61" s="1846"/>
    </row>
    <row r="62" spans="1:16" ht="12.75">
      <c r="A62" s="2876" t="s">
        <v>1874</v>
      </c>
      <c r="B62" s="287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523</v>
      </c>
      <c r="D63" s="112"/>
      <c r="E63" s="113"/>
      <c r="F63" s="1022"/>
      <c r="G63" s="1022"/>
      <c r="H63" s="2245"/>
      <c r="I63" s="2192"/>
      <c r="J63" s="285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549</v>
      </c>
      <c r="D64" s="117" t="s">
        <v>41</v>
      </c>
      <c r="E64" s="118"/>
      <c r="F64" s="1022"/>
      <c r="G64" s="1022"/>
      <c r="H64" s="2245"/>
      <c r="I64" s="2192"/>
      <c r="J64" s="285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7"/>
      <c r="K66" s="2270" t="s">
        <v>1887</v>
      </c>
      <c r="L66" s="1845" t="e">
        <f>M49*0.5%</f>
        <v>#VALUE!</v>
      </c>
      <c r="M66" s="14" t="e">
        <f>IF(L66&gt;0.5,0.5,ROUND(L66,0))</f>
        <v>#VALUE!</v>
      </c>
      <c r="N66" s="1846" t="s">
        <v>1888</v>
      </c>
      <c r="O66" s="1846"/>
      <c r="P66" s="1846"/>
    </row>
    <row r="67" spans="1:35" ht="12.75">
      <c r="A67" s="120" t="s">
        <v>42</v>
      </c>
      <c r="B67" s="121" t="s">
        <v>1889</v>
      </c>
      <c r="C67" s="124">
        <f ca="1">C63-C66</f>
        <v>523</v>
      </c>
      <c r="D67" s="117" t="s">
        <v>41</v>
      </c>
      <c r="E67" s="118"/>
      <c r="F67" s="1022"/>
      <c r="G67" s="1022"/>
      <c r="H67" s="2245"/>
      <c r="I67" s="2192"/>
      <c r="J67" s="285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29</v>
      </c>
      <c r="D68" s="128">
        <f>'数据-取费表'!E29</f>
        <v>5.5000000000000007E-2</v>
      </c>
      <c r="E68" s="129"/>
      <c r="F68" s="1022"/>
      <c r="G68" s="1022"/>
      <c r="H68" s="2245"/>
      <c r="I68" s="2192"/>
      <c r="J68" s="285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8" t="s">
        <v>1894</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1874</v>
      </c>
      <c r="B71" s="287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523</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4" t="s">
        <v>1904</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45" t="s">
        <v>1909</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520</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173.33333333333334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1913</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1874</v>
      </c>
      <c r="B84" s="287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523</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5" t="s">
        <v>1921</v>
      </c>
      <c r="F91" s="2846"/>
      <c r="G91" s="2846"/>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5" t="s">
        <v>1924</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45" t="s">
        <v>1909</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5" t="s">
        <v>1926</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520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173.33333333333334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3" t="s">
        <v>1928</v>
      </c>
      <c r="B99" s="2864"/>
      <c r="C99" s="2864"/>
      <c r="D99" s="2865"/>
      <c r="E99" s="2192"/>
      <c r="F99" s="2873" t="s">
        <v>1929</v>
      </c>
      <c r="G99" s="2874"/>
      <c r="H99" s="2874"/>
      <c r="I99" s="2875"/>
    </row>
    <row r="100" spans="1:35" ht="15.75">
      <c r="A100" s="2880" t="s">
        <v>1930</v>
      </c>
      <c r="B100" s="2881"/>
      <c r="C100" s="720" t="str">
        <f>C4</f>
        <v>收益法</v>
      </c>
      <c r="D100" s="721" t="str">
        <f>D4</f>
        <v>比较法-住宅</v>
      </c>
      <c r="E100" s="2192"/>
      <c r="F100" s="2882" t="s">
        <v>1931</v>
      </c>
      <c r="G100" s="2884"/>
      <c r="H100" s="2882" t="s">
        <v>1932</v>
      </c>
      <c r="I100" s="2883"/>
    </row>
    <row r="101" spans="1:35" ht="15.75">
      <c r="A101" s="2902" t="s">
        <v>1933</v>
      </c>
      <c r="B101" s="2287" t="str">
        <f>IF(H19="元","总价（元）","总价（万元）")</f>
        <v>总价（万元）</v>
      </c>
      <c r="C101" s="720">
        <f ca="1">C19</f>
        <v>228</v>
      </c>
      <c r="D101" s="721">
        <f ca="1">D19</f>
        <v>686</v>
      </c>
      <c r="E101" s="2192"/>
      <c r="F101" s="2882" t="str">
        <f>项目基本情况!I1</f>
        <v>北京市北京经济技术开发区天华园一里三区16幢1单元904室住宅用房房地产</v>
      </c>
      <c r="G101" s="2884"/>
      <c r="H101" s="2943">
        <f>项目基本情况!C12</f>
        <v>149.22999999999999</v>
      </c>
      <c r="I101" s="2883"/>
    </row>
    <row r="102" spans="1:35" ht="15.75">
      <c r="A102" s="2902"/>
      <c r="B102" s="2287" t="s">
        <v>1934</v>
      </c>
      <c r="C102" s="722">
        <f ca="1">C20</f>
        <v>15277</v>
      </c>
      <c r="D102" s="723">
        <f ca="1">D20</f>
        <v>45955</v>
      </c>
      <c r="E102" s="2192"/>
      <c r="F102" s="2957" t="s">
        <v>1935</v>
      </c>
      <c r="G102" s="2958"/>
      <c r="H102" s="2288" t="str">
        <f>C106</f>
        <v>总价（万元）</v>
      </c>
      <c r="I102" s="1863">
        <f ca="1">H121</f>
        <v>549</v>
      </c>
    </row>
    <row r="103" spans="1:35" ht="15">
      <c r="A103" s="2902" t="s">
        <v>1936</v>
      </c>
      <c r="B103" s="2289" t="str">
        <f>B101</f>
        <v>总价（万元）</v>
      </c>
      <c r="C103" s="724">
        <f ca="1">H121</f>
        <v>549</v>
      </c>
      <c r="D103" s="725"/>
      <c r="E103" s="2192"/>
      <c r="F103" s="2957"/>
      <c r="G103" s="2958"/>
      <c r="H103" s="2288" t="s">
        <v>1934</v>
      </c>
      <c r="I103" s="1050">
        <f ca="1">I121</f>
        <v>36789</v>
      </c>
    </row>
    <row r="104" spans="1:35" ht="16.5" thickBot="1">
      <c r="A104" s="2903"/>
      <c r="B104" s="2290" t="s">
        <v>1934</v>
      </c>
      <c r="C104" s="726">
        <f ca="1">I121</f>
        <v>36789</v>
      </c>
      <c r="D104" s="727"/>
      <c r="E104" s="2192"/>
      <c r="F104" s="2869"/>
      <c r="G104" s="2870"/>
      <c r="H104" s="2904"/>
      <c r="I104" s="2905"/>
    </row>
    <row r="105" spans="1:35" ht="15.75">
      <c r="A105" s="2863" t="s">
        <v>1937</v>
      </c>
      <c r="B105" s="2864"/>
      <c r="C105" s="2864"/>
      <c r="D105" s="2865"/>
      <c r="E105" s="2192"/>
      <c r="F105" s="2908" t="s">
        <v>1938</v>
      </c>
      <c r="G105" s="2909"/>
      <c r="H105" s="2291" t="str">
        <f>C108</f>
        <v>总额（万元）</v>
      </c>
      <c r="I105" s="1863">
        <f>SUMIF(I106:I108,"&lt;9E307")</f>
        <v>0</v>
      </c>
    </row>
    <row r="106" spans="1:35" ht="15">
      <c r="A106" s="2910" t="s">
        <v>1939</v>
      </c>
      <c r="B106" s="2911"/>
      <c r="C106" s="2288" t="str">
        <f>B101</f>
        <v>总价（万元）</v>
      </c>
      <c r="D106" s="1051">
        <f ca="1">H121</f>
        <v>549</v>
      </c>
      <c r="E106" s="2192"/>
      <c r="F106" s="2871" t="s">
        <v>1940</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0"/>
      <c r="B107" s="2911"/>
      <c r="C107" s="2288" t="s">
        <v>1934</v>
      </c>
      <c r="D107" s="1052">
        <f ca="1">I121</f>
        <v>36789</v>
      </c>
      <c r="E107" s="2192"/>
      <c r="F107" s="2871" t="s">
        <v>1941</v>
      </c>
      <c r="G107" s="2872"/>
      <c r="H107" s="2291" t="str">
        <f>C110</f>
        <v>总额（万元）</v>
      </c>
      <c r="I107" s="1050">
        <f>C37</f>
        <v>0</v>
      </c>
      <c r="K107" s="2292"/>
    </row>
    <row r="108" spans="1:35" ht="15">
      <c r="A108" s="2953" t="s">
        <v>1942</v>
      </c>
      <c r="B108" s="2954"/>
      <c r="C108" s="2291" t="str">
        <f>IF(H19="元","总额（元）","总额（万元）")</f>
        <v>总额（万元）</v>
      </c>
      <c r="D108" s="1051">
        <f>IF(D36="正常操作",I106+I107+I108,I107+I108)</f>
        <v>0</v>
      </c>
      <c r="E108" s="2192"/>
      <c r="F108" s="2871" t="s">
        <v>1943</v>
      </c>
      <c r="G108" s="2872"/>
      <c r="H108" s="2291" t="str">
        <f>C111</f>
        <v>总额（万元）</v>
      </c>
      <c r="I108" s="1050">
        <f>C38</f>
        <v>0</v>
      </c>
    </row>
    <row r="109" spans="1:35" ht="15.75">
      <c r="A109" s="2871" t="s">
        <v>1940</v>
      </c>
      <c r="B109" s="2872"/>
      <c r="C109" s="2291" t="str">
        <f>C108</f>
        <v>总额（万元）</v>
      </c>
      <c r="D109" s="637">
        <f>IF(D36="同一抵押权人同一抵押物续贷",C36&amp;"（未扣减，详见特别提示）",C36)</f>
        <v>0</v>
      </c>
      <c r="E109" s="2192"/>
      <c r="F109" s="2869"/>
      <c r="G109" s="2870"/>
      <c r="H109" s="2906"/>
      <c r="I109" s="2907"/>
    </row>
    <row r="110" spans="1:35" ht="28.5" customHeight="1">
      <c r="A110" s="2871" t="s">
        <v>1941</v>
      </c>
      <c r="B110" s="2872"/>
      <c r="C110" s="2291" t="str">
        <f>C108</f>
        <v>总额（万元）</v>
      </c>
      <c r="D110" s="637">
        <f>C37</f>
        <v>0</v>
      </c>
      <c r="E110" s="2192"/>
      <c r="F110" s="2851" t="str">
        <f>IF(项目基本情况!F5="已注销","——","3.房地产抵押价值")</f>
        <v>3.房地产抵押价值</v>
      </c>
      <c r="G110" s="2852"/>
      <c r="H110" s="2293" t="str">
        <f>C112</f>
        <v>总价（万元）</v>
      </c>
      <c r="I110" s="1864">
        <f ca="1">IF(F110="——","——",I102-I105)</f>
        <v>549</v>
      </c>
    </row>
    <row r="111" spans="1:35" ht="15">
      <c r="A111" s="2871" t="s">
        <v>1943</v>
      </c>
      <c r="B111" s="2872"/>
      <c r="C111" s="2291" t="str">
        <f>C108</f>
        <v>总额（万元）</v>
      </c>
      <c r="D111" s="637">
        <f>C38</f>
        <v>0</v>
      </c>
      <c r="E111" s="2192"/>
      <c r="F111" s="2853"/>
      <c r="G111" s="2854"/>
      <c r="H111" s="2288" t="s">
        <v>1934</v>
      </c>
      <c r="I111" s="2294">
        <f ca="1">D113</f>
        <v>36789</v>
      </c>
    </row>
    <row r="112" spans="1:35" ht="26.25" customHeight="1">
      <c r="A112" s="2910" t="str">
        <f>IF(项目基本情况!F5="已注销","——","3.房地产抵押价值")</f>
        <v>3.房地产抵押价值</v>
      </c>
      <c r="B112" s="2911"/>
      <c r="C112" s="2288" t="str">
        <f>B101</f>
        <v>总价（万元）</v>
      </c>
      <c r="D112" s="1051">
        <f ca="1">IF(A112="——","——",D106-D108)</f>
        <v>549</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64" t="str">
        <f>IF(F112="——","——",I102-I107-I108)</f>
        <v>——</v>
      </c>
    </row>
    <row r="113" spans="1:15" ht="15">
      <c r="A113" s="2910"/>
      <c r="B113" s="2911"/>
      <c r="C113" s="2288" t="s">
        <v>1934</v>
      </c>
      <c r="D113" s="1052">
        <f ca="1">ROUND(IF(D112=D106,D107,IF(H19="元",D112/项目基本情况!C12,D112*10000/项目基本情况!C12)),0)</f>
        <v>36789</v>
      </c>
      <c r="E113" s="2192"/>
      <c r="F113" s="2853"/>
      <c r="G113" s="2854"/>
      <c r="H113" s="2288" t="s">
        <v>1934</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总价（万元）</v>
      </c>
      <c r="D114" s="1051" t="str">
        <f>IF(A114="——","——",D106-D110-D111)</f>
        <v>——</v>
      </c>
      <c r="E114" s="2192"/>
      <c r="F114" s="2851" t="str">
        <f>IF(项目基本情况!G5="抵押净值",IF(OR(项目基本情况!F5="已注销",项目基本情况!F5="房地产抵押价值"),"4.抵押净值","5.抵押净值"),"——")</f>
        <v>——</v>
      </c>
      <c r="G114" s="2852"/>
      <c r="H114" s="2288" t="str">
        <f>C116</f>
        <v>总价（万元）</v>
      </c>
      <c r="I114" s="1863" t="str">
        <f>IF(F114="——","——",N59)</f>
        <v>——</v>
      </c>
    </row>
    <row r="115" spans="1:15" ht="15.75" thickBot="1">
      <c r="A115" s="2910"/>
      <c r="B115" s="2911"/>
      <c r="C115" s="2288" t="s">
        <v>1934</v>
      </c>
      <c r="D115" s="1052" t="str">
        <f>IF(A114="——","——",ROUND(IF(D114=D106,D107,IF(H19="元",D114/项目基本情况!C12,D114*10000/项目基本情况!C12)),0))</f>
        <v>——</v>
      </c>
      <c r="E115" s="2192"/>
      <c r="F115" s="2944"/>
      <c r="G115" s="2945"/>
      <c r="H115" s="2296" t="s">
        <v>1934</v>
      </c>
      <c r="I115" s="1865" t="str">
        <f ca="1">D117</f>
        <v>——</v>
      </c>
    </row>
    <row r="116" spans="1:15" ht="15.75">
      <c r="A116" s="2910" t="str">
        <f>IF(项目基本情况!G5="抵押净值",IF(OR(项目基本情况!F5="已注销",项目基本情况!F5="房地产抵押价值"),"4.抵押净值","5.抵押净值"),"——")</f>
        <v>——</v>
      </c>
      <c r="B116" s="2911"/>
      <c r="C116" s="2288" t="str">
        <f>B101</f>
        <v>总价（万元）</v>
      </c>
      <c r="D116" s="1051" t="str">
        <f>IF(A116="——","——",N59)</f>
        <v>——</v>
      </c>
      <c r="E116" s="2192"/>
      <c r="F116" s="2847"/>
      <c r="G116" s="2847"/>
      <c r="H116" s="2889"/>
      <c r="I116" s="2889"/>
      <c r="N116" s="55"/>
      <c r="O116" s="55"/>
    </row>
    <row r="117" spans="1:15" ht="15.75" thickBot="1">
      <c r="A117" s="2951"/>
      <c r="B117" s="2952"/>
      <c r="C117" s="2296" t="s">
        <v>1934</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1944</v>
      </c>
      <c r="B118" s="2891"/>
      <c r="C118" s="2891"/>
      <c r="D118" s="2891"/>
      <c r="E118" s="2891"/>
      <c r="F118" s="2891"/>
      <c r="G118" s="2891"/>
      <c r="H118" s="2891"/>
      <c r="I118" s="2891"/>
    </row>
    <row r="119" spans="1:15" ht="14.25">
      <c r="A119" s="2862" t="s">
        <v>1945</v>
      </c>
      <c r="B119" s="2860" t="s">
        <v>1946</v>
      </c>
      <c r="C119" s="2860" t="s">
        <v>1947</v>
      </c>
      <c r="D119" s="2867" t="s">
        <v>1948</v>
      </c>
      <c r="E119" s="2868"/>
      <c r="F119" s="2858" t="s">
        <v>1806</v>
      </c>
      <c r="G119" s="2858"/>
      <c r="H119" s="2858" t="s">
        <v>1949</v>
      </c>
      <c r="I119" s="2859"/>
    </row>
    <row r="120" spans="1:15" ht="14.25">
      <c r="A120" s="2862"/>
      <c r="B120" s="2861"/>
      <c r="C120" s="2861"/>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北京市北京经济技术开发区天华园一里三区16幢1单元904室住宅用房房地产</v>
      </c>
      <c r="B121" s="1888">
        <f>项目基本情况!C12</f>
        <v>149.22999999999999</v>
      </c>
      <c r="C121" s="1888">
        <f>项目基本情况!C13</f>
        <v>0</v>
      </c>
      <c r="D121" s="1888">
        <f ca="1">ROUND(IF(B32="总价",C34,IF('数据-取费表'!B3="万元",E121*B121/10000,E121*B121)),0)</f>
        <v>201</v>
      </c>
      <c r="E121" s="1888">
        <f ca="1">ROUND(IF(B32="楼面单价",C34,IF(H19="元",D121/B121,D121*10000/B121)),0)</f>
        <v>13469</v>
      </c>
      <c r="F121" s="1888">
        <f ca="1">ROUND(IF(B32="总价",C35,IF('数据-取费表'!B3="万元",G121*B121/10000,G121*B121)),0)</f>
        <v>348</v>
      </c>
      <c r="G121" s="1888">
        <f ca="1">ROUND(IF(B32="楼面单价",C35,IF(H19="元",F121/B121,F121*10000/B121)),0)</f>
        <v>23320</v>
      </c>
      <c r="H121" s="1888">
        <f ca="1">ROUND(IF(B32="总价",C32,IF('数据-取费表'!B3="万元",I121*B121/10000,I121*B121)),0)</f>
        <v>549</v>
      </c>
      <c r="I121" s="637">
        <f ca="1">ROUND(IF(B32="楼面单价",C32,IF(H19="元",H121/B121,H121*10000/B121)),0)</f>
        <v>36789</v>
      </c>
    </row>
    <row r="122" spans="1:15" ht="14.25">
      <c r="A122" s="2862" t="s">
        <v>1953</v>
      </c>
      <c r="B122" s="2858"/>
      <c r="C122" s="2858"/>
      <c r="D122" s="2894" t="str">
        <f ca="1">IF(H19="元",NUMBERSTRING(INT(D121),2)&amp;"元整",NUMBERSTRING(INT(D121*10000),2)&amp;"元整")</f>
        <v>贰佰零壹万元整</v>
      </c>
      <c r="E122" s="2895"/>
      <c r="F122" s="2894" t="str">
        <f ca="1">IF(H19="元",NUMBERSTRING(INT(F121),2)&amp;"元整",NUMBERSTRING(INT(F121*10000),2)&amp;"元整")</f>
        <v>叁佰肆拾捌万元整</v>
      </c>
      <c r="G122" s="2895"/>
      <c r="H122" s="2894" t="str">
        <f ca="1">IF(H19="元",NUMBERSTRING(INT(H121),2)&amp;"元整",NUMBERSTRING(INT(H121*10000),2)&amp;"元整")</f>
        <v>伍佰肆拾玖万元整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1953</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549</v>
      </c>
      <c r="E125" s="2897"/>
      <c r="F125" s="2897"/>
      <c r="G125" s="2897"/>
      <c r="H125" s="2897"/>
      <c r="I125" s="2946"/>
    </row>
    <row r="126" spans="1:15" ht="14.25">
      <c r="A126" s="2862" t="s">
        <v>1953</v>
      </c>
      <c r="B126" s="2858"/>
      <c r="C126" s="2858"/>
      <c r="D126" s="2947">
        <f ca="1">I111</f>
        <v>36789</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1953</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1953</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918" t="s">
        <v>1766</v>
      </c>
      <c r="B3" s="2919"/>
      <c r="C3" s="2919"/>
      <c r="D3" s="2919"/>
      <c r="E3" s="2919"/>
      <c r="F3" s="2919"/>
      <c r="G3" s="2919"/>
      <c r="H3" s="2919"/>
      <c r="I3" s="2919"/>
    </row>
    <row r="4" spans="1:12" ht="14.25">
      <c r="A4" s="2194" t="s">
        <v>1767</v>
      </c>
      <c r="B4" s="2195" t="s">
        <v>1768</v>
      </c>
      <c r="C4" s="2196"/>
      <c r="D4" s="2196"/>
      <c r="E4" s="2923" t="s">
        <v>1963</v>
      </c>
      <c r="F4" s="2924"/>
      <c r="G4" s="2924"/>
      <c r="H4" s="2924"/>
      <c r="I4" s="292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c r="D14" s="2917"/>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1" t="s">
        <v>1975</v>
      </c>
      <c r="B37" s="2234" t="s">
        <v>1976</v>
      </c>
      <c r="C37" s="69"/>
      <c r="D37" s="2235"/>
      <c r="E37" s="2236"/>
      <c r="F37" s="2236"/>
      <c r="G37" s="2192"/>
      <c r="H37" s="2192"/>
      <c r="I37" s="2192"/>
    </row>
    <row r="38" spans="1:16" ht="15.75" thickBot="1">
      <c r="A38" s="2932"/>
      <c r="B38" s="2237" t="s">
        <v>1977</v>
      </c>
      <c r="C38" s="71"/>
      <c r="D38" s="2202"/>
      <c r="E38" s="2202"/>
      <c r="F38" s="2236"/>
      <c r="G38" s="2202"/>
      <c r="H38" s="2202"/>
      <c r="I38" s="2202"/>
    </row>
    <row r="39" spans="1:16" ht="15.75" thickBot="1">
      <c r="A39" s="293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6" t="s">
        <v>1988</v>
      </c>
      <c r="B46" s="2937"/>
      <c r="C46" s="2938"/>
      <c r="D46" s="80">
        <f>ROUND(I103*F46,0)</f>
        <v>0</v>
      </c>
      <c r="E46" s="81" t="s">
        <v>1989</v>
      </c>
      <c r="F46" s="82">
        <v>1</v>
      </c>
      <c r="G46" s="83" t="s">
        <v>1990</v>
      </c>
      <c r="H46" s="2192"/>
      <c r="I46" s="2192"/>
      <c r="J46" s="2848" t="s">
        <v>1822</v>
      </c>
      <c r="K46" s="2848"/>
      <c r="L46" s="2848"/>
      <c r="M46" s="2848"/>
      <c r="N46" s="2848"/>
      <c r="O46" s="2848"/>
      <c r="P46" s="1846"/>
    </row>
    <row r="47" spans="1:16" ht="14.25" customHeight="1">
      <c r="A47" s="2928" t="s">
        <v>1823</v>
      </c>
      <c r="B47" s="2929"/>
      <c r="C47" s="2929"/>
      <c r="D47" s="2929"/>
      <c r="E47" s="2929"/>
      <c r="F47" s="2929"/>
      <c r="G47" s="2930"/>
      <c r="H47" s="2254"/>
      <c r="I47" s="1144"/>
      <c r="J47" s="1884">
        <v>1</v>
      </c>
      <c r="K47" s="2848" t="s">
        <v>1824</v>
      </c>
      <c r="L47" s="2848"/>
      <c r="M47" s="2963"/>
      <c r="N47" s="2963"/>
      <c r="O47" s="2963"/>
      <c r="P47" s="1846"/>
    </row>
    <row r="48" spans="1:16" ht="12" customHeight="1">
      <c r="A48" s="85" t="s">
        <v>1825</v>
      </c>
      <c r="B48" s="86"/>
      <c r="C48" s="87"/>
      <c r="D48" s="88" t="s">
        <v>1826</v>
      </c>
      <c r="E48" s="14" t="s">
        <v>1827</v>
      </c>
      <c r="F48" s="89" t="s">
        <v>1828</v>
      </c>
      <c r="G48" s="90" t="s">
        <v>1829</v>
      </c>
      <c r="H48" s="2254"/>
      <c r="I48" s="1144"/>
      <c r="J48" s="1884">
        <v>2</v>
      </c>
      <c r="K48" s="2848" t="s">
        <v>1830</v>
      </c>
      <c r="L48" s="2848"/>
      <c r="M48" s="2850">
        <f>'数据-取费表'!B2</f>
        <v>43112</v>
      </c>
      <c r="N48" s="2850"/>
      <c r="O48" s="2850"/>
      <c r="P48" s="1846"/>
    </row>
    <row r="49" spans="1:16" ht="25.5">
      <c r="A49" s="2934" t="s">
        <v>1831</v>
      </c>
      <c r="B49" s="2935"/>
      <c r="C49" s="2935"/>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848" t="s">
        <v>1834</v>
      </c>
      <c r="L49" s="2848"/>
      <c r="M49" s="2849">
        <f>I103</f>
        <v>0</v>
      </c>
      <c r="N49" s="2849"/>
      <c r="O49" s="2849"/>
      <c r="P49" s="1846"/>
    </row>
    <row r="50" spans="1:16" ht="25.5" customHeight="1">
      <c r="A50" s="92" t="s">
        <v>1835</v>
      </c>
      <c r="B50" s="2915" t="s">
        <v>1836</v>
      </c>
      <c r="C50" s="2915"/>
      <c r="D50" s="93">
        <v>0</v>
      </c>
      <c r="E50" s="13" t="s">
        <v>1837</v>
      </c>
      <c r="F50" s="18" t="s">
        <v>48</v>
      </c>
      <c r="G50" s="2839"/>
      <c r="H50" s="2192"/>
      <c r="I50" s="2257"/>
      <c r="J50" s="1884">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6"/>
    </row>
    <row r="51" spans="1:16" ht="25.5" customHeight="1">
      <c r="A51" s="94"/>
      <c r="B51" s="2915" t="s">
        <v>1838</v>
      </c>
      <c r="C51" s="2915"/>
      <c r="D51" s="95"/>
      <c r="E51" s="21"/>
      <c r="F51" s="96"/>
      <c r="G51" s="2840"/>
      <c r="H51" s="2192"/>
      <c r="I51" s="2257"/>
      <c r="J51" s="2848" t="s">
        <v>1839</v>
      </c>
      <c r="K51" s="2848"/>
      <c r="L51" s="2848"/>
      <c r="M51" s="2848"/>
      <c r="N51" s="2848"/>
      <c r="O51" s="2848"/>
      <c r="P51" s="1846"/>
    </row>
    <row r="52" spans="1:16" ht="12" customHeight="1">
      <c r="A52" s="97"/>
      <c r="B52" s="2915" t="s">
        <v>1840</v>
      </c>
      <c r="C52" s="2915"/>
      <c r="D52" s="98"/>
      <c r="E52" s="20"/>
      <c r="F52" s="96"/>
      <c r="G52" s="2841"/>
      <c r="H52" s="2192"/>
      <c r="I52" s="2257"/>
      <c r="J52" s="2258" t="s">
        <v>1841</v>
      </c>
      <c r="K52" s="2848" t="s">
        <v>1842</v>
      </c>
      <c r="L52" s="2848"/>
      <c r="M52" s="2258" t="s">
        <v>1843</v>
      </c>
      <c r="N52" s="2258" t="s">
        <v>1844</v>
      </c>
      <c r="O52" s="2258" t="s">
        <v>1845</v>
      </c>
      <c r="P52" s="1846"/>
    </row>
    <row r="53" spans="1:16" ht="24" customHeight="1">
      <c r="A53" s="99" t="s">
        <v>1846</v>
      </c>
      <c r="B53" s="2915" t="s">
        <v>1847</v>
      </c>
      <c r="C53" s="2915"/>
      <c r="D53" s="98">
        <f>ROUND(D46*'数据-取费表'!E29/(1+'数据-取费表'!F30),0)</f>
        <v>0</v>
      </c>
      <c r="E53" s="10" t="s">
        <v>1848</v>
      </c>
      <c r="F53" s="100">
        <f>'数据-取费表'!E29</f>
        <v>5.5000000000000007E-2</v>
      </c>
      <c r="G53" s="2259"/>
      <c r="H53" s="2192"/>
      <c r="I53" s="2257"/>
      <c r="J53" s="1884">
        <v>1</v>
      </c>
      <c r="K53" s="2838" t="s">
        <v>1849</v>
      </c>
      <c r="L53" s="2838"/>
      <c r="M53" s="778">
        <f>D49</f>
        <v>0</v>
      </c>
      <c r="N53" s="1884" t="str">
        <f>E49</f>
        <v>销售额×税（费）率</v>
      </c>
      <c r="O53" s="779">
        <f>F49</f>
        <v>5.5000000000000007E-2</v>
      </c>
      <c r="P53" s="1846"/>
    </row>
    <row r="54" spans="1:16" ht="12" customHeight="1">
      <c r="A54" s="99" t="s">
        <v>1850</v>
      </c>
      <c r="B54" s="2914" t="s">
        <v>1851</v>
      </c>
      <c r="C54" s="2808"/>
      <c r="D54" s="98">
        <f>ROUND(D46*'数据-取费表'!E29/(1+'数据-取费表'!F30),0)</f>
        <v>0</v>
      </c>
      <c r="E54" s="10" t="s">
        <v>1848</v>
      </c>
      <c r="F54" s="100">
        <f>'数据-取费表'!E29</f>
        <v>5.5000000000000007E-2</v>
      </c>
      <c r="G54" s="2259"/>
      <c r="H54" s="2192"/>
      <c r="I54" s="2257"/>
      <c r="J54" s="1884">
        <v>2</v>
      </c>
      <c r="K54" s="2838" t="s">
        <v>1852</v>
      </c>
      <c r="L54" s="2838"/>
      <c r="M54" s="778">
        <f t="shared" ref="M54:O55" si="1">D56</f>
        <v>0</v>
      </c>
      <c r="N54" s="1884" t="str">
        <f t="shared" si="1"/>
        <v>销售额×税（费）率</v>
      </c>
      <c r="O54" s="779">
        <f t="shared" si="1"/>
        <v>5.0000000000000001E-4</v>
      </c>
      <c r="P54" s="1846"/>
    </row>
    <row r="55" spans="1:16" ht="12" customHeight="1">
      <c r="A55" s="99" t="s">
        <v>1853</v>
      </c>
      <c r="B55" s="2914" t="s">
        <v>1854</v>
      </c>
      <c r="C55" s="2808"/>
      <c r="D55" s="98">
        <f>C69</f>
        <v>0</v>
      </c>
      <c r="E55" s="20" t="s">
        <v>1855</v>
      </c>
      <c r="F55" s="100">
        <f>'数据-取费表'!E29</f>
        <v>5.5000000000000007E-2</v>
      </c>
      <c r="G55" s="2259"/>
      <c r="H55" s="2260"/>
      <c r="I55" s="2257"/>
      <c r="J55" s="1884">
        <v>3</v>
      </c>
      <c r="K55" s="2838" t="s">
        <v>1856</v>
      </c>
      <c r="L55" s="2838"/>
      <c r="M55" s="778">
        <f t="shared" si="1"/>
        <v>0</v>
      </c>
      <c r="N55" s="1884" t="str">
        <f t="shared" si="1"/>
        <v>增值额×税（费）率</v>
      </c>
      <c r="O55" s="780" t="str">
        <f t="shared" si="1"/>
        <v>——</v>
      </c>
      <c r="P55" s="1846"/>
    </row>
    <row r="56" spans="1:16" ht="24" customHeight="1">
      <c r="A56" s="2800" t="s">
        <v>1857</v>
      </c>
      <c r="B56" s="2935"/>
      <c r="C56" s="2935"/>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8" t="str">
        <f>IF(H60="非个人房产","——","个人所得税")</f>
        <v>——</v>
      </c>
      <c r="L56" s="2838"/>
      <c r="M56" s="781" t="str">
        <f>D60</f>
        <v>——</v>
      </c>
      <c r="N56" s="1887" t="str">
        <f>E60</f>
        <v>——</v>
      </c>
      <c r="O56" s="782" t="str">
        <f>F60</f>
        <v>——</v>
      </c>
      <c r="P56" s="1846"/>
    </row>
    <row r="57" spans="1:16" ht="24.75">
      <c r="A57" s="2800" t="s">
        <v>1860</v>
      </c>
      <c r="B57" s="2935"/>
      <c r="C57" s="2935"/>
      <c r="D57" s="101">
        <f>IF(H57="个人住宅",D58,D59)</f>
        <v>0</v>
      </c>
      <c r="E57" s="10" t="s">
        <v>1861</v>
      </c>
      <c r="F57" s="100" t="str">
        <f>IF(H57="正常",F59,"免征")</f>
        <v>——</v>
      </c>
      <c r="G57" s="2261" t="s">
        <v>1862</v>
      </c>
      <c r="H57" s="2262" t="s">
        <v>1859</v>
      </c>
      <c r="I57" s="1022"/>
      <c r="J57" s="1884"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6"/>
    </row>
    <row r="58" spans="1:16" ht="12.75">
      <c r="A58" s="99" t="s">
        <v>1835</v>
      </c>
      <c r="B58" s="2923" t="s">
        <v>1863</v>
      </c>
      <c r="C58" s="2925"/>
      <c r="D58" s="103">
        <v>0</v>
      </c>
      <c r="E58" s="13" t="s">
        <v>1837</v>
      </c>
      <c r="F58" s="70"/>
      <c r="G58" s="2259"/>
      <c r="H58" s="1022"/>
      <c r="I58" s="1022"/>
      <c r="J58" s="2838">
        <f>IF(AND(J56="",J57=""),4,IF(项目基本情况!I6="上海银行",J57+1,J56+1))</f>
        <v>4</v>
      </c>
      <c r="K58" s="2838" t="s">
        <v>1864</v>
      </c>
      <c r="L58" s="2263" t="s">
        <v>1865</v>
      </c>
      <c r="M58" s="783"/>
      <c r="N58" s="784">
        <f>SUMIF(M53:M57,"&lt;9e307")</f>
        <v>0</v>
      </c>
      <c r="O58" s="2264"/>
      <c r="P58" s="1842" t="e">
        <f>N58/M50</f>
        <v>#VALUE!</v>
      </c>
    </row>
    <row r="59" spans="1:16" ht="24.75">
      <c r="A59" s="99" t="s">
        <v>1846</v>
      </c>
      <c r="B59" s="2923" t="s">
        <v>1866</v>
      </c>
      <c r="C59" s="2924"/>
      <c r="D59" s="101">
        <f>IF(H59="转让取得",C82,C98)</f>
        <v>0</v>
      </c>
      <c r="E59" s="10" t="s">
        <v>1861</v>
      </c>
      <c r="F59" s="14" t="s">
        <v>48</v>
      </c>
      <c r="G59" s="2259"/>
      <c r="H59" s="2262" t="s">
        <v>1867</v>
      </c>
      <c r="I59" s="1022"/>
      <c r="J59" s="2838"/>
      <c r="K59" s="2838"/>
      <c r="L59" s="2263" t="s">
        <v>1868</v>
      </c>
      <c r="M59" s="785"/>
      <c r="N59" s="2265" t="str">
        <f>IF(H19="元",NUMBERSTRING(INT(N58),2)&amp;"元整",NUMBERSTRING(INT(N58*10000),2)&amp;"元整")</f>
        <v>零元整</v>
      </c>
      <c r="O59" s="2266"/>
      <c r="P59" s="1846"/>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2">
        <f>J58+1</f>
        <v>5</v>
      </c>
      <c r="K60" s="2838" t="s">
        <v>1871</v>
      </c>
      <c r="L60" s="1884" t="s">
        <v>1865</v>
      </c>
      <c r="M60" s="786"/>
      <c r="N60" s="787" t="e">
        <f>M50-N58</f>
        <v>#VALUE!</v>
      </c>
      <c r="O60" s="2268"/>
      <c r="P60" s="1846"/>
    </row>
    <row r="61" spans="1:16" ht="12" customHeight="1">
      <c r="A61" s="2066"/>
      <c r="B61" s="2192"/>
      <c r="C61" s="2192"/>
      <c r="D61" s="2192"/>
      <c r="E61" s="1022"/>
      <c r="F61" s="1022"/>
      <c r="G61" s="1022"/>
      <c r="H61" s="2245"/>
      <c r="I61" s="2192"/>
      <c r="J61" s="2893"/>
      <c r="K61" s="2838"/>
      <c r="L61" s="2263" t="s">
        <v>1868</v>
      </c>
      <c r="M61" s="785"/>
      <c r="N61" s="2265" t="e">
        <f>IF(H19="元",NUMBERSTRING(INT(N60),2)&amp;"元整",NUMBERSTRING(INT(N60*10000),2)&amp;"元整")</f>
        <v>#VALUE!</v>
      </c>
      <c r="O61" s="2266"/>
      <c r="P61" s="1846"/>
    </row>
    <row r="62" spans="1:16" ht="13.5" thickBot="1">
      <c r="A62" s="2939" t="s">
        <v>1872</v>
      </c>
      <c r="B62" s="2939"/>
      <c r="C62" s="2939"/>
      <c r="D62" s="2939"/>
      <c r="E62" s="2939"/>
      <c r="F62" s="1022"/>
      <c r="G62" s="1022"/>
      <c r="H62" s="2245"/>
      <c r="I62" s="2192"/>
      <c r="J62" s="1884">
        <f>J60+1</f>
        <v>6</v>
      </c>
      <c r="K62" s="2838" t="s">
        <v>1873</v>
      </c>
      <c r="L62" s="2838"/>
      <c r="M62" s="788"/>
      <c r="N62" s="789" t="e">
        <f>IF(H19="元",ROUND(N60/项目基本情况!C12,0),ROUND(N60*10000/项目基本情况!C12,0))</f>
        <v>#VALUE!</v>
      </c>
      <c r="O62" s="2269"/>
      <c r="P62" s="1846"/>
    </row>
    <row r="63" spans="1:16" ht="12.75">
      <c r="A63" s="2876" t="s">
        <v>1874</v>
      </c>
      <c r="B63" s="287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85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8" t="s">
        <v>1894</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1874</v>
      </c>
      <c r="B72" s="287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4" t="s">
        <v>1904</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5" t="s">
        <v>1909</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1913</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1874</v>
      </c>
      <c r="B85" s="287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5" t="s">
        <v>1921</v>
      </c>
      <c r="F92" s="2846"/>
      <c r="G92" s="2846"/>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5" t="s">
        <v>1924</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5" t="s">
        <v>1909</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5" t="s">
        <v>1926</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3" t="s">
        <v>1928</v>
      </c>
      <c r="B100" s="2864"/>
      <c r="C100" s="2864"/>
      <c r="D100" s="2865"/>
      <c r="E100" s="2192"/>
      <c r="F100" s="2873" t="s">
        <v>1929</v>
      </c>
      <c r="G100" s="2874"/>
      <c r="H100" s="2874"/>
      <c r="I100" s="2875"/>
    </row>
    <row r="101" spans="1:35" ht="15.75">
      <c r="A101" s="2880" t="s">
        <v>1930</v>
      </c>
      <c r="B101" s="2881"/>
      <c r="C101" s="720">
        <f>C4</f>
        <v>0</v>
      </c>
      <c r="D101" s="721">
        <f>D4</f>
        <v>0</v>
      </c>
      <c r="E101" s="2192"/>
      <c r="F101" s="2882" t="s">
        <v>1931</v>
      </c>
      <c r="G101" s="2884"/>
      <c r="H101" s="2965" t="s">
        <v>1932</v>
      </c>
      <c r="I101" s="2883"/>
    </row>
    <row r="102" spans="1:35" ht="15.75">
      <c r="A102" s="2966" t="s">
        <v>1992</v>
      </c>
      <c r="B102" s="2287" t="str">
        <f>IF(H19="元","总价（元）","总价（万元）")</f>
        <v>总价（万元）</v>
      </c>
      <c r="C102" s="720" t="e">
        <f ca="1">C19</f>
        <v>#REF!</v>
      </c>
      <c r="D102" s="721" t="e">
        <f ca="1">D19</f>
        <v>#REF!</v>
      </c>
      <c r="E102" s="2192"/>
      <c r="F102" s="2967"/>
      <c r="G102" s="2968"/>
      <c r="H102" s="2943">
        <f>典型户型修正!B25</f>
        <v>0</v>
      </c>
      <c r="I102" s="2883"/>
    </row>
    <row r="103" spans="1:35" ht="15.75">
      <c r="A103" s="2966"/>
      <c r="B103" s="2287" t="s">
        <v>1934</v>
      </c>
      <c r="C103" s="722" t="e">
        <f ca="1">C20</f>
        <v>#REF!</v>
      </c>
      <c r="D103" s="723" t="e">
        <f ca="1">D20</f>
        <v>#REF!</v>
      </c>
      <c r="E103" s="2192"/>
      <c r="F103" s="2957" t="s">
        <v>1935</v>
      </c>
      <c r="G103" s="2958"/>
      <c r="H103" s="2288" t="str">
        <f>C109</f>
        <v>总价（万元）</v>
      </c>
      <c r="I103" s="1863">
        <f>H124</f>
        <v>0</v>
      </c>
    </row>
    <row r="104" spans="1:35" ht="15">
      <c r="A104" s="2966" t="s">
        <v>1993</v>
      </c>
      <c r="B104" s="2289" t="str">
        <f>B102</f>
        <v>总价（万元）</v>
      </c>
      <c r="C104" s="1190" t="e">
        <f ca="1">ROUND(IF('数据-取费表'!B4="总价",G19,IF(H19="元",G20*'数据-取费表'!E5,G20*'数据-取费表'!E5/10000)),0)</f>
        <v>#REF!</v>
      </c>
      <c r="D104" s="725"/>
      <c r="E104" s="2192"/>
      <c r="F104" s="2957"/>
      <c r="G104" s="2958"/>
      <c r="H104" s="2288" t="s">
        <v>1934</v>
      </c>
      <c r="I104" s="1050" t="e">
        <f>I124</f>
        <v>#DIV/0!</v>
      </c>
    </row>
    <row r="105" spans="1:35" ht="15.75">
      <c r="A105" s="2966"/>
      <c r="B105" s="2287" t="s">
        <v>1934</v>
      </c>
      <c r="C105" s="1191" t="e">
        <f ca="1">ROUND(IF('数据-取费表'!B4="楼面单价",G20,IF(H19="元",G19/'数据-取费表'!E5,G19*10000/'数据-取费表'!E5)),0)</f>
        <v>#REF!</v>
      </c>
      <c r="D105" s="725"/>
      <c r="E105" s="2192"/>
      <c r="F105" s="2869"/>
      <c r="G105" s="2870"/>
      <c r="H105" s="2904"/>
      <c r="I105" s="2905"/>
    </row>
    <row r="106" spans="1:35" ht="15.75">
      <c r="A106" s="2973" t="s">
        <v>1994</v>
      </c>
      <c r="B106" s="2327" t="str">
        <f>B102</f>
        <v>总价（万元）</v>
      </c>
      <c r="C106" s="724">
        <f>H124</f>
        <v>0</v>
      </c>
      <c r="D106" s="1189"/>
      <c r="E106" s="2192"/>
      <c r="F106" s="2908" t="s">
        <v>1938</v>
      </c>
      <c r="G106" s="2909"/>
      <c r="H106" s="2291" t="str">
        <f>C111</f>
        <v>总额（万元）</v>
      </c>
      <c r="I106" s="1863">
        <f>SUMIF(I107:I109,"&lt;9E307")</f>
        <v>0</v>
      </c>
    </row>
    <row r="107" spans="1:35" ht="15.75" thickBot="1">
      <c r="A107" s="2903"/>
      <c r="B107" s="2290" t="s">
        <v>1934</v>
      </c>
      <c r="C107" s="726" t="e">
        <f>I124</f>
        <v>#DIV/0!</v>
      </c>
      <c r="D107" s="727"/>
      <c r="E107" s="2192"/>
      <c r="F107" s="2871" t="s">
        <v>1940</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1937</v>
      </c>
      <c r="B108" s="2970"/>
      <c r="C108" s="2970"/>
      <c r="D108" s="2971"/>
      <c r="E108" s="2192"/>
      <c r="F108" s="2871" t="s">
        <v>1941</v>
      </c>
      <c r="G108" s="2872"/>
      <c r="H108" s="2291" t="str">
        <f>C113</f>
        <v>总额（万元）</v>
      </c>
      <c r="I108" s="1050">
        <f>C38</f>
        <v>0</v>
      </c>
      <c r="K108" s="2292"/>
    </row>
    <row r="109" spans="1:35" ht="15">
      <c r="A109" s="2910" t="s">
        <v>1995</v>
      </c>
      <c r="B109" s="2911"/>
      <c r="C109" s="2288" t="str">
        <f>B102</f>
        <v>总价（万元）</v>
      </c>
      <c r="D109" s="1051">
        <f>H124</f>
        <v>0</v>
      </c>
      <c r="E109" s="2192"/>
      <c r="F109" s="2871" t="s">
        <v>1943</v>
      </c>
      <c r="G109" s="2872"/>
      <c r="H109" s="2291" t="str">
        <f>C114</f>
        <v>总额（万元）</v>
      </c>
      <c r="I109" s="1050">
        <f>C39</f>
        <v>0</v>
      </c>
    </row>
    <row r="110" spans="1:35" ht="15.75">
      <c r="A110" s="2910"/>
      <c r="B110" s="2911"/>
      <c r="C110" s="2288" t="s">
        <v>1934</v>
      </c>
      <c r="D110" s="1052" t="e">
        <f>I124</f>
        <v>#DIV/0!</v>
      </c>
      <c r="E110" s="2192"/>
      <c r="F110" s="2869"/>
      <c r="G110" s="2870"/>
      <c r="H110" s="2906"/>
      <c r="I110" s="2907"/>
    </row>
    <row r="111" spans="1:35" ht="28.5" customHeight="1">
      <c r="A111" s="2953" t="s">
        <v>1942</v>
      </c>
      <c r="B111" s="2954"/>
      <c r="C111" s="2291" t="str">
        <f>IF(H19="元","总额（元）","总额（万元）")</f>
        <v>总额（万元）</v>
      </c>
      <c r="D111" s="1051">
        <f>IF(D37="正常操作",I107+I108+I109,I108+I109)</f>
        <v>0</v>
      </c>
      <c r="E111" s="2192"/>
      <c r="F111" s="2851" t="str">
        <f>IF(项目基本情况!F5="已注销","——","3.房地产抵押价值")</f>
        <v>3.房地产抵押价值</v>
      </c>
      <c r="G111" s="2852"/>
      <c r="H111" s="2328" t="str">
        <f>C115</f>
        <v>总价（万元）</v>
      </c>
      <c r="I111" s="1863">
        <f>IF(F111="——","——",I103-I106)</f>
        <v>0</v>
      </c>
    </row>
    <row r="112" spans="1:35" ht="15">
      <c r="A112" s="2871" t="s">
        <v>1940</v>
      </c>
      <c r="B112" s="2872"/>
      <c r="C112" s="2291" t="str">
        <f>C111</f>
        <v>总额（万元）</v>
      </c>
      <c r="D112" s="637">
        <f>IF(D37="同一抵押权人同一抵押物续贷",C37&amp;"（未扣减，详见特别提示）",C37)</f>
        <v>0</v>
      </c>
      <c r="E112" s="2192"/>
      <c r="F112" s="2853"/>
      <c r="G112" s="2854"/>
      <c r="H112" s="2288" t="s">
        <v>1934</v>
      </c>
      <c r="I112" s="2294" t="e">
        <f>D116</f>
        <v>#DIV/0!</v>
      </c>
    </row>
    <row r="113" spans="1:26" ht="15.75">
      <c r="A113" s="2871" t="s">
        <v>1941</v>
      </c>
      <c r="B113" s="2872"/>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63" t="str">
        <f>IF(F113="——","——",I103-I108-I109)</f>
        <v>——</v>
      </c>
    </row>
    <row r="114" spans="1:26" ht="15">
      <c r="A114" s="2871" t="s">
        <v>1943</v>
      </c>
      <c r="B114" s="2872"/>
      <c r="C114" s="2291" t="str">
        <f>C111</f>
        <v>总额（万元）</v>
      </c>
      <c r="D114" s="637">
        <f>C39</f>
        <v>0</v>
      </c>
      <c r="E114" s="2192"/>
      <c r="F114" s="2853"/>
      <c r="G114" s="2854"/>
      <c r="H114" s="2288" t="s">
        <v>1934</v>
      </c>
      <c r="I114" s="1050" t="str">
        <f>D118</f>
        <v>——</v>
      </c>
    </row>
    <row r="115" spans="1:26" ht="15.75">
      <c r="A115" s="2910" t="str">
        <f>IF(项目基本情况!F5="已注销","——","3.房地产抵押价值")</f>
        <v>3.房地产抵押价值</v>
      </c>
      <c r="B115" s="2911"/>
      <c r="C115" s="2288" t="str">
        <f>B102</f>
        <v>总价（万元）</v>
      </c>
      <c r="D115" s="1051">
        <f>IF(A115="——","——",D109-D111)</f>
        <v>0</v>
      </c>
      <c r="E115" s="2192"/>
      <c r="F115" s="2851" t="str">
        <f>IF(项目基本情况!G5="抵押净值",IF(OR(项目基本情况!F5="已注销",项目基本情况!F5="房地产抵押价值"),"4.抵押净值","5.抵押净值"),"——")</f>
        <v>——</v>
      </c>
      <c r="G115" s="2852"/>
      <c r="H115" s="2288" t="str">
        <f>C119</f>
        <v>总价（万元）</v>
      </c>
      <c r="I115" s="1863" t="str">
        <f>IF(F115="——","——",N60)</f>
        <v>——</v>
      </c>
    </row>
    <row r="116" spans="1:26" ht="15.75" thickBot="1">
      <c r="A116" s="2910"/>
      <c r="B116" s="2911"/>
      <c r="C116" s="2288" t="s">
        <v>1996</v>
      </c>
      <c r="D116" s="1052" t="e">
        <f>ROUND(IF(D115=D109,D110,IF(H19="元",D115/B124,D115*10000/B124)),0)</f>
        <v>#DIV/0!</v>
      </c>
      <c r="E116" s="2192"/>
      <c r="F116" s="2944"/>
      <c r="G116" s="2945"/>
      <c r="H116" s="2296" t="s">
        <v>1996</v>
      </c>
      <c r="I116" s="1865"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总价（万元）</v>
      </c>
      <c r="D117" s="1051" t="str">
        <f>IF(A117="——","——",D109-D113-D114)</f>
        <v>——</v>
      </c>
      <c r="E117" s="2192"/>
      <c r="F117" s="2847"/>
      <c r="G117" s="2847"/>
      <c r="H117" s="2889"/>
      <c r="I117" s="2889"/>
      <c r="N117" s="55"/>
      <c r="O117" s="55"/>
    </row>
    <row r="118" spans="1:26" s="1846" customFormat="1" ht="15">
      <c r="A118" s="2910"/>
      <c r="B118" s="2911"/>
      <c r="C118" s="2288" t="s">
        <v>1996</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6" customFormat="1" ht="15">
      <c r="A119" s="2910" t="str">
        <f>IF(项目基本情况!G5="抵押净值",IF(OR(项目基本情况!F5="已注销",项目基本情况!F5="房地产抵押价值"),"4.抵押净值","5.抵押净值"),"——")</f>
        <v>——</v>
      </c>
      <c r="B119" s="291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1"/>
      <c r="B120" s="295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90" t="s">
        <v>1997</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1945</v>
      </c>
      <c r="B122" s="2860" t="s">
        <v>1998</v>
      </c>
      <c r="C122" s="2860" t="s">
        <v>1999</v>
      </c>
      <c r="D122" s="2867" t="s">
        <v>1948</v>
      </c>
      <c r="E122" s="2868"/>
      <c r="F122" s="2858" t="s">
        <v>2000</v>
      </c>
      <c r="G122" s="2858"/>
      <c r="H122" s="2858" t="s">
        <v>1949</v>
      </c>
      <c r="I122" s="285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61"/>
      <c r="C123" s="286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北京市北京经济技术开发区天华园一里三区16幢1单元904室住宅用房房地产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1953</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9" t="s">
        <v>1953</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5" t="str">
        <f>IF(项目基本情况!D5="房地产市场价值","——",MID(A115,3,LEN(A115)-2))</f>
        <v>房地产抵押价值</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1953</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1953</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5" t="s">
        <v>1953</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5" t="s">
        <v>2073</v>
      </c>
    </row>
    <row r="43" spans="1:7" ht="13.5" customHeight="1">
      <c r="A43" s="176" t="s">
        <v>2013</v>
      </c>
      <c r="B43" s="177" t="s">
        <v>2042</v>
      </c>
      <c r="C43" s="188">
        <f ca="1">ROUND(IF('数据-取费表'!B23&lt;=1,C39*F22*'数据-取费表'!B22/2,C39*(POWER((1+F22),'数据-取费表'!B22/2)-1)),0)</f>
        <v>494</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北京市北京经济技术开发区天华园一里三区16幢1单元904室住宅用房房地产抵押价值预评估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康正预评字2018-1-0018-P01DYGJ1号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30" t="s">
        <v>1221</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26" sqref="C2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686</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45955</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27" t="s">
        <v>2892</v>
      </c>
      <c r="D5" s="3028"/>
      <c r="E5" s="3027" t="s">
        <v>2893</v>
      </c>
      <c r="F5" s="3028"/>
      <c r="G5" s="3027" t="s">
        <v>2894</v>
      </c>
      <c r="H5" s="3028"/>
      <c r="I5" s="3027" t="s">
        <v>2894</v>
      </c>
      <c r="J5" s="3028"/>
      <c r="K5" s="2394"/>
      <c r="L5" s="1243"/>
      <c r="M5" s="1244"/>
      <c r="N5" s="1244"/>
      <c r="O5" s="1244"/>
      <c r="P5" s="3016"/>
      <c r="Q5" s="3017"/>
      <c r="R5" s="3022"/>
      <c r="S5" s="3023"/>
      <c r="T5" s="3022"/>
      <c r="U5" s="3023"/>
      <c r="V5" s="3026"/>
      <c r="W5" s="3026"/>
      <c r="X5" s="1901"/>
      <c r="Y5" s="3022"/>
      <c r="Z5" s="3023"/>
      <c r="AA5" s="3008"/>
      <c r="AB5" s="3008"/>
      <c r="AC5" s="3008"/>
    </row>
    <row r="6" spans="1:29" ht="30" customHeight="1" thickBot="1">
      <c r="A6" s="385"/>
      <c r="B6" s="386"/>
      <c r="C6" s="3029" t="s">
        <v>2895</v>
      </c>
      <c r="D6" s="3030"/>
      <c r="E6" s="3029" t="s">
        <v>2896</v>
      </c>
      <c r="F6" s="3030"/>
      <c r="G6" s="3029" t="s">
        <v>2897</v>
      </c>
      <c r="H6" s="3030"/>
      <c r="I6" s="3029" t="s">
        <v>2897</v>
      </c>
      <c r="J6" s="3030"/>
      <c r="K6" s="23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38" t="s">
        <v>2351</v>
      </c>
      <c r="Q7" s="3040"/>
      <c r="R7" s="749" t="s">
        <v>34</v>
      </c>
      <c r="S7" s="750">
        <f t="shared" ref="S7:S15" si="0">F7</f>
        <v>100</v>
      </c>
      <c r="T7" s="749" t="s">
        <v>34</v>
      </c>
      <c r="U7" s="750">
        <f t="shared" ref="U7:U15" si="1">H7</f>
        <v>100</v>
      </c>
      <c r="V7" s="749" t="s">
        <v>34</v>
      </c>
      <c r="W7" s="750">
        <f t="shared" ref="W7:W15" si="2">J7</f>
        <v>100</v>
      </c>
      <c r="X7" s="751"/>
      <c r="Y7" s="3038" t="s">
        <v>2351</v>
      </c>
      <c r="Z7" s="3039"/>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44" t="s">
        <v>2362</v>
      </c>
      <c r="Q15" s="1900" t="str">
        <f t="shared" si="6"/>
        <v>居住社区成熟度</v>
      </c>
      <c r="R15" s="753" t="s">
        <v>28</v>
      </c>
      <c r="S15" s="754">
        <f t="shared" si="0"/>
        <v>100</v>
      </c>
      <c r="T15" s="753" t="s">
        <v>28</v>
      </c>
      <c r="U15" s="754">
        <f t="shared" si="1"/>
        <v>100</v>
      </c>
      <c r="V15" s="753" t="s">
        <v>28</v>
      </c>
      <c r="W15" s="754">
        <f t="shared" si="2"/>
        <v>100</v>
      </c>
      <c r="X15" s="1901"/>
      <c r="Y15" s="3031"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5"/>
      <c r="Q24" s="1900"/>
      <c r="R24" s="753"/>
      <c r="S24" s="754"/>
      <c r="T24" s="753"/>
      <c r="U24" s="754"/>
      <c r="V24" s="753"/>
      <c r="W24" s="754"/>
      <c r="X24" s="1901"/>
      <c r="Y24" s="303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2364</v>
      </c>
      <c r="C26" s="3104" t="s">
        <v>2851</v>
      </c>
      <c r="D26" s="415">
        <v>100</v>
      </c>
      <c r="E26" s="2407" t="s">
        <v>2853</v>
      </c>
      <c r="F26" s="442">
        <f>SUMIF(88:88,E26,89:89)-SUMIF(88:88,C26,89:89)+100</f>
        <v>98</v>
      </c>
      <c r="G26" s="2408" t="s">
        <v>2856</v>
      </c>
      <c r="H26" s="415">
        <f>SUMIF(88:88,G26,89:89)-SUMIF(88:88,C26,89:89)+100</f>
        <v>95</v>
      </c>
      <c r="I26" s="2407" t="s">
        <v>2856</v>
      </c>
      <c r="J26" s="415">
        <f>SUMIF(88:88,I26,89:89)-SUMIF(88:88,C26,89:89)+100</f>
        <v>95</v>
      </c>
      <c r="K26" s="406">
        <v>1</v>
      </c>
      <c r="L26" s="1253"/>
      <c r="M26" s="1244"/>
      <c r="N26" s="1244"/>
      <c r="O26" s="1244"/>
      <c r="P26" s="3045"/>
      <c r="Q26" s="1900" t="str">
        <f t="shared" si="11"/>
        <v>朝向</v>
      </c>
      <c r="R26" s="753" t="s">
        <v>28</v>
      </c>
      <c r="S26" s="754">
        <f>F26</f>
        <v>98</v>
      </c>
      <c r="T26" s="753" t="s">
        <v>28</v>
      </c>
      <c r="U26" s="754">
        <f>H26</f>
        <v>95</v>
      </c>
      <c r="V26" s="753" t="s">
        <v>28</v>
      </c>
      <c r="W26" s="754">
        <f>J26</f>
        <v>95</v>
      </c>
      <c r="X26" s="1901"/>
      <c r="Y26" s="3032"/>
      <c r="Z26" s="1903" t="str">
        <f>Q26</f>
        <v>朝向</v>
      </c>
      <c r="AA26" s="1904">
        <f t="shared" si="3"/>
        <v>1.0204081632653061</v>
      </c>
      <c r="AB26" s="1904">
        <f t="shared" si="4"/>
        <v>1.0526315789473684</v>
      </c>
      <c r="AC26" s="1904">
        <f t="shared" si="5"/>
        <v>1.0526315789473684</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
      <c r="A28" s="408"/>
      <c r="B28" s="2727" t="s">
        <v>2844</v>
      </c>
      <c r="C28" s="2728" t="s">
        <v>2842</v>
      </c>
      <c r="D28" s="415">
        <v>100</v>
      </c>
      <c r="E28" s="2728" t="s">
        <v>2902</v>
      </c>
      <c r="F28" s="442">
        <f>SUMIF(92:92,E28,93:93)-SUMIF(92:92,C28,93:93)+100</f>
        <v>103</v>
      </c>
      <c r="G28" s="2728" t="s">
        <v>2841</v>
      </c>
      <c r="H28" s="415">
        <f>SUMIF(92:92,G28,93:93)-SUMIF(92:92,C28,93:93)+100</f>
        <v>97</v>
      </c>
      <c r="I28" s="2728" t="s">
        <v>2841</v>
      </c>
      <c r="J28" s="415">
        <f>SUMIF(92:92,I28,93:93)-SUMIF(92:92,C28,93:93)+100</f>
        <v>97</v>
      </c>
      <c r="K28" s="2397"/>
      <c r="L28" s="1253"/>
      <c r="M28" s="1244"/>
      <c r="N28" s="1244"/>
      <c r="O28" s="1244"/>
      <c r="P28" s="3045"/>
      <c r="Q28" s="1900" t="str">
        <f t="shared" si="11"/>
        <v>楼层</v>
      </c>
      <c r="R28" s="753" t="s">
        <v>28</v>
      </c>
      <c r="S28" s="754">
        <f t="shared" ref="S28:S46" si="12">F28</f>
        <v>103</v>
      </c>
      <c r="T28" s="753" t="s">
        <v>28</v>
      </c>
      <c r="U28" s="754">
        <f t="shared" ref="U28:U46" si="13">H28</f>
        <v>97</v>
      </c>
      <c r="V28" s="753" t="s">
        <v>28</v>
      </c>
      <c r="W28" s="754">
        <f t="shared" ref="W28:W46" si="14">J28</f>
        <v>97</v>
      </c>
      <c r="X28" s="1901"/>
      <c r="Y28" s="3032"/>
      <c r="Z28" s="1903" t="str">
        <f t="shared" ref="Z28:Z46" si="15">Q28</f>
        <v>楼层</v>
      </c>
      <c r="AA28" s="1904">
        <f t="shared" si="3"/>
        <v>0.970873786407767</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5"/>
      <c r="Q29" s="1900">
        <f t="shared" si="11"/>
        <v>0</v>
      </c>
      <c r="R29" s="753" t="s">
        <v>28</v>
      </c>
      <c r="S29" s="754">
        <f t="shared" si="12"/>
        <v>100</v>
      </c>
      <c r="T29" s="753" t="s">
        <v>28</v>
      </c>
      <c r="U29" s="754">
        <f t="shared" si="13"/>
        <v>100</v>
      </c>
      <c r="V29" s="753" t="s">
        <v>28</v>
      </c>
      <c r="W29" s="754">
        <f t="shared" si="14"/>
        <v>100</v>
      </c>
      <c r="X29" s="1901"/>
      <c r="Y29" s="303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5"/>
      <c r="Q30" s="1900">
        <f t="shared" si="11"/>
        <v>0</v>
      </c>
      <c r="R30" s="753" t="s">
        <v>28</v>
      </c>
      <c r="S30" s="754">
        <f t="shared" si="12"/>
        <v>100</v>
      </c>
      <c r="T30" s="753" t="s">
        <v>28</v>
      </c>
      <c r="U30" s="754">
        <f t="shared" si="13"/>
        <v>100</v>
      </c>
      <c r="V30" s="753" t="s">
        <v>28</v>
      </c>
      <c r="W30" s="754">
        <f t="shared" si="14"/>
        <v>100</v>
      </c>
      <c r="X30" s="1901"/>
      <c r="Y30" s="303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5"/>
      <c r="Q31" s="1900">
        <f t="shared" si="11"/>
        <v>0</v>
      </c>
      <c r="R31" s="753" t="s">
        <v>28</v>
      </c>
      <c r="S31" s="754">
        <f t="shared" si="12"/>
        <v>100</v>
      </c>
      <c r="T31" s="753" t="s">
        <v>28</v>
      </c>
      <c r="U31" s="754">
        <f t="shared" si="13"/>
        <v>100</v>
      </c>
      <c r="V31" s="753" t="s">
        <v>28</v>
      </c>
      <c r="W31" s="754">
        <f t="shared" si="14"/>
        <v>100</v>
      </c>
      <c r="X31" s="1901"/>
      <c r="Y31" s="303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3" t="s">
        <v>2368</v>
      </c>
      <c r="Q32" s="1900" t="str">
        <f t="shared" si="11"/>
        <v>建筑类型</v>
      </c>
      <c r="R32" s="753" t="s">
        <v>28</v>
      </c>
      <c r="S32" s="754">
        <f t="shared" si="12"/>
        <v>100</v>
      </c>
      <c r="T32" s="753" t="s">
        <v>28</v>
      </c>
      <c r="U32" s="754">
        <f t="shared" si="13"/>
        <v>100</v>
      </c>
      <c r="V32" s="753" t="s">
        <v>28</v>
      </c>
      <c r="W32" s="754">
        <f t="shared" si="14"/>
        <v>100</v>
      </c>
      <c r="X32" s="1901"/>
      <c r="Y32" s="3036" t="s">
        <v>2368</v>
      </c>
      <c r="Z32" s="1903" t="str">
        <f t="shared" si="15"/>
        <v>建筑类型</v>
      </c>
      <c r="AA32" s="1904">
        <f t="shared" si="3"/>
        <v>1</v>
      </c>
      <c r="AB32" s="1904">
        <f t="shared" si="4"/>
        <v>1</v>
      </c>
      <c r="AC32" s="1904">
        <f t="shared" si="5"/>
        <v>1</v>
      </c>
    </row>
    <row r="33" spans="1:29" s="452" customFormat="1" ht="15">
      <c r="A33" s="449"/>
      <c r="B33" s="402" t="s">
        <v>2369</v>
      </c>
      <c r="C33" s="450">
        <v>149.22999999999999</v>
      </c>
      <c r="D33" s="52">
        <v>100</v>
      </c>
      <c r="E33" s="410">
        <v>153</v>
      </c>
      <c r="F33" s="405">
        <f>LOOKUP(E33,103:103,104:104)-LOOKUP(C33,103:103,104:104)+100</f>
        <v>98</v>
      </c>
      <c r="G33" s="409">
        <v>139.94</v>
      </c>
      <c r="H33" s="52">
        <f>LOOKUP(G33,103:103,104:104)-LOOKUP(C33,103:103,104:104)+100</f>
        <v>100</v>
      </c>
      <c r="I33" s="410">
        <v>139.94</v>
      </c>
      <c r="J33" s="52">
        <f>LOOKUP(I33,103:103,104:104)-LOOKUP(C33,103:103,104:104)+100</f>
        <v>100</v>
      </c>
      <c r="K33" s="2397"/>
      <c r="L33" s="1251"/>
      <c r="M33" s="1254"/>
      <c r="N33" s="1254"/>
      <c r="O33" s="1254"/>
      <c r="P33" s="3034"/>
      <c r="Q33" s="755" t="str">
        <f t="shared" si="11"/>
        <v>项目建筑规模</v>
      </c>
      <c r="R33" s="756" t="s">
        <v>28</v>
      </c>
      <c r="S33" s="757">
        <f t="shared" si="12"/>
        <v>98</v>
      </c>
      <c r="T33" s="756" t="s">
        <v>28</v>
      </c>
      <c r="U33" s="757">
        <f t="shared" si="13"/>
        <v>100</v>
      </c>
      <c r="V33" s="756" t="s">
        <v>28</v>
      </c>
      <c r="W33" s="757">
        <f t="shared" si="14"/>
        <v>100</v>
      </c>
      <c r="X33" s="758"/>
      <c r="Y33" s="3036"/>
      <c r="Z33" s="759" t="str">
        <f t="shared" si="15"/>
        <v>项目建筑规模</v>
      </c>
      <c r="AA33" s="1904">
        <f t="shared" si="3"/>
        <v>1.0204081632653061</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34" t="s">
        <v>2368</v>
      </c>
      <c r="Q38" s="1900" t="str">
        <f t="shared" si="11"/>
        <v>物业管理</v>
      </c>
      <c r="R38" s="753" t="s">
        <v>28</v>
      </c>
      <c r="S38" s="754">
        <f t="shared" si="12"/>
        <v>100</v>
      </c>
      <c r="T38" s="753" t="s">
        <v>28</v>
      </c>
      <c r="U38" s="754">
        <f t="shared" si="13"/>
        <v>100</v>
      </c>
      <c r="V38" s="753" t="s">
        <v>28</v>
      </c>
      <c r="W38" s="754">
        <f t="shared" si="14"/>
        <v>100</v>
      </c>
      <c r="X38" s="1901"/>
      <c r="Y38" s="3036"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34"/>
      <c r="Q42" s="1900" t="str">
        <f t="shared" si="11"/>
        <v>内部装修</v>
      </c>
      <c r="R42" s="753" t="s">
        <v>28</v>
      </c>
      <c r="S42" s="754">
        <f t="shared" si="12"/>
        <v>95</v>
      </c>
      <c r="T42" s="753" t="s">
        <v>28</v>
      </c>
      <c r="U42" s="754">
        <f t="shared" si="13"/>
        <v>95</v>
      </c>
      <c r="V42" s="753" t="s">
        <v>28</v>
      </c>
      <c r="W42" s="754">
        <f t="shared" si="14"/>
        <v>100</v>
      </c>
      <c r="X42" s="1901"/>
      <c r="Y42" s="3036"/>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4"/>
      <c r="Q44" s="1888">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26</v>
      </c>
      <c r="D47" s="1503"/>
      <c r="E47" s="1504">
        <f>ROUND(46417*F63,0)</f>
        <v>41775</v>
      </c>
      <c r="F47" s="1505"/>
      <c r="G47" s="1506">
        <f>ROUND(45377*F63,0)</f>
        <v>40839</v>
      </c>
      <c r="H47" s="1507"/>
      <c r="I47" s="1504">
        <f>ROUND(47878*F63,0)</f>
        <v>43090</v>
      </c>
      <c r="J47" s="1507"/>
      <c r="K47" s="2414"/>
      <c r="L47" s="1256"/>
      <c r="M47" s="1257"/>
      <c r="N47" s="1244"/>
      <c r="O47" s="1257"/>
      <c r="P47" s="3042" t="str">
        <f>A47</f>
        <v>成交单价（元/平方米）</v>
      </c>
      <c r="Q47" s="3042"/>
      <c r="R47" s="3043">
        <f>E47</f>
        <v>41775</v>
      </c>
      <c r="S47" s="3043"/>
      <c r="T47" s="3043">
        <f>G47</f>
        <v>40839</v>
      </c>
      <c r="U47" s="3043"/>
      <c r="V47" s="3043">
        <f>I47</f>
        <v>43090</v>
      </c>
      <c r="W47" s="3043"/>
      <c r="X47" s="738"/>
      <c r="Y47" s="760"/>
      <c r="Z47" s="738"/>
      <c r="AA47" s="738"/>
      <c r="AB47" s="738"/>
      <c r="AC47" s="738"/>
    </row>
    <row r="48" spans="1:29" ht="15.75" thickBot="1">
      <c r="A48" s="467" t="s">
        <v>2381</v>
      </c>
      <c r="B48" s="468"/>
      <c r="C48" s="1508">
        <f>R49</f>
        <v>45955</v>
      </c>
      <c r="D48" s="1509"/>
      <c r="E48" s="1510">
        <f>R48</f>
        <v>44453</v>
      </c>
      <c r="F48" s="1510"/>
      <c r="G48" s="1508">
        <f>T48</f>
        <v>46650</v>
      </c>
      <c r="H48" s="1509"/>
      <c r="I48" s="1510">
        <f>V48</f>
        <v>46761</v>
      </c>
      <c r="J48" s="1509"/>
      <c r="K48" s="2415"/>
      <c r="L48" s="1256"/>
      <c r="M48" s="1257"/>
      <c r="N48" s="1257"/>
      <c r="O48" s="1257"/>
      <c r="P48" s="3042" t="str">
        <f>A48</f>
        <v>比较价值（元/平方米）</v>
      </c>
      <c r="Q48" s="3042"/>
      <c r="R48" s="3043">
        <f>IF(E1="售价",ROUND(PRODUCT(R47,AA7:AA46),0),ROUND(PRODUCT(R47,AA7:AA46),1))</f>
        <v>44453</v>
      </c>
      <c r="S48" s="3043"/>
      <c r="T48" s="3046">
        <f>IF(E1="售价",ROUND(PRODUCT(T47,AB7:AB46),0),ROUND(PRODUCT(T47,AB7:AB46),1))</f>
        <v>46650</v>
      </c>
      <c r="U48" s="3047"/>
      <c r="V48" s="3043">
        <f>IF(E1="售价",ROUND(PRODUCT(V47,AC7:AC46),0),ROUND(PRODUCT(V47,AC7:AC46),1))</f>
        <v>46761</v>
      </c>
      <c r="W48" s="3043"/>
      <c r="X48" s="738"/>
      <c r="Y48" s="738"/>
      <c r="Z48" s="738"/>
      <c r="AA48" s="738"/>
      <c r="AB48" s="738"/>
      <c r="AC48" s="738"/>
    </row>
    <row r="49" spans="1:29" ht="15.75" thickBot="1">
      <c r="A49" s="473" t="s">
        <v>2382</v>
      </c>
      <c r="B49" s="474"/>
      <c r="C49" s="1511">
        <f>R49</f>
        <v>45955</v>
      </c>
      <c r="D49" s="1512"/>
      <c r="E49" s="1512"/>
      <c r="F49" s="1512"/>
      <c r="G49" s="1512"/>
      <c r="H49" s="1512"/>
      <c r="I49" s="1512"/>
      <c r="J49" s="1512"/>
      <c r="K49" s="2416"/>
      <c r="L49" s="1256"/>
      <c r="M49" s="1257"/>
      <c r="N49" s="1257"/>
      <c r="O49" s="1257"/>
      <c r="P49" s="3048" t="str">
        <f>A49</f>
        <v>估价对象XX用房的比较价值（楼面单价，元/平方米）</v>
      </c>
      <c r="Q49" s="3049"/>
      <c r="R49" s="3050">
        <f>IF(E1="售价",ROUND(AVERAGE(R48:V48),0),ROUND(AVERAGE(R48:V48),1))</f>
        <v>45955</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6.4105326152004816E-2</v>
      </c>
      <c r="F52" s="481" t="str">
        <f>IF(OR(E52&gt;=0.3,E52&lt;=-0.3),"超过30%","")</f>
        <v/>
      </c>
      <c r="G52" s="480">
        <f>IF(G47&lt;G48,G48/G47-1,G47/G48-1)</f>
        <v>0.14229045765077508</v>
      </c>
      <c r="H52" s="481" t="str">
        <f>IF(OR(G52&gt;=0.3,G52&lt;=-0.3),"超过30%","")</f>
        <v/>
      </c>
      <c r="I52" s="480">
        <f>IF(I47&lt;I48,I48/I47-1,I47/I48-1)</f>
        <v>8.5193780459503321E-2</v>
      </c>
      <c r="J52" s="481" t="str">
        <f>IF(OR(I52&gt;=0.3,I52&lt;=-0.3),"超过30%","")</f>
        <v/>
      </c>
      <c r="K52" s="1262"/>
      <c r="L52" s="1258"/>
      <c r="M52" s="1257"/>
      <c r="N52" s="1257"/>
      <c r="O52" s="1257"/>
    </row>
    <row r="53" spans="1:29" ht="13.5" customHeight="1">
      <c r="A53" s="1257"/>
      <c r="B53" s="1257"/>
      <c r="C53" s="478" t="s">
        <v>2384</v>
      </c>
      <c r="D53" s="482"/>
      <c r="E53" s="480">
        <f>IF(E48&lt;G48,G48/E48-1,E48/G48-1)</f>
        <v>4.9422986075180475E-2</v>
      </c>
      <c r="F53" s="481" t="str">
        <f>IF(OR(E53&gt;=0.2,E53&lt;=-0.2),"超过20%","")</f>
        <v/>
      </c>
      <c r="G53" s="480">
        <f>IF(G48&lt;I48,I48/G48-1,G48/I48-1)</f>
        <v>2.3794212218648525E-3</v>
      </c>
      <c r="H53" s="481" t="str">
        <f>IF(OR(G53&gt;=0.2,G53&lt;=-0.2),"超过20%","")</f>
        <v/>
      </c>
      <c r="I53" s="480">
        <f>IF(I48&lt;E48,E48/I48-1,I48/E48-1)</f>
        <v>5.19200053989608E-2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2.2919268346433652E-2</v>
      </c>
      <c r="F54" s="481" t="str">
        <f>IF(OR(E54&gt;=0.3,E54&lt;=-0.3),"超过30%","")</f>
        <v/>
      </c>
      <c r="G54" s="480">
        <f>IF(G47&lt;I47,I47/G47-1,G47/I47-1)</f>
        <v>5.5118881461348135E-2</v>
      </c>
      <c r="H54" s="481" t="str">
        <f>IF(OR(G54&gt;=0.3,G54&lt;=-0.3),"超过30%","")</f>
        <v/>
      </c>
      <c r="I54" s="480">
        <f>IF(I47&lt;E47,E47/I47-1,I47/E47-1)</f>
        <v>3.1478156792339895E-2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04">
        <v>0.9</v>
      </c>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26"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26"/>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26"/>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900" t="str">
        <f t="shared" si="6"/>
        <v>商业繁华度</v>
      </c>
      <c r="R15" s="753" t="s">
        <v>25</v>
      </c>
      <c r="S15" s="754">
        <f t="shared" si="0"/>
        <v>100</v>
      </c>
      <c r="T15" s="753" t="s">
        <v>25</v>
      </c>
      <c r="U15" s="754">
        <f t="shared" si="1"/>
        <v>100</v>
      </c>
      <c r="V15" s="753" t="s">
        <v>25</v>
      </c>
      <c r="W15" s="754">
        <f t="shared" si="2"/>
        <v>100</v>
      </c>
      <c r="X15" s="1901"/>
      <c r="Y15" s="303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5"/>
      <c r="Q24" s="1900"/>
      <c r="R24" s="753"/>
      <c r="S24" s="754"/>
      <c r="T24" s="753"/>
      <c r="U24" s="754"/>
      <c r="V24" s="753"/>
      <c r="W24" s="754"/>
      <c r="X24" s="1901"/>
      <c r="Y24" s="303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3" t="s">
        <v>2368</v>
      </c>
      <c r="Q32" s="1900" t="str">
        <f t="shared" si="11"/>
        <v>商业类型</v>
      </c>
      <c r="R32" s="753" t="s">
        <v>25</v>
      </c>
      <c r="S32" s="754">
        <f t="shared" si="12"/>
        <v>100</v>
      </c>
      <c r="T32" s="753" t="s">
        <v>25</v>
      </c>
      <c r="U32" s="754">
        <f t="shared" si="13"/>
        <v>100</v>
      </c>
      <c r="V32" s="753" t="s">
        <v>25</v>
      </c>
      <c r="W32" s="754">
        <f t="shared" si="14"/>
        <v>100</v>
      </c>
      <c r="X32" s="1901"/>
      <c r="Y32" s="303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4" t="s">
        <v>2368</v>
      </c>
      <c r="Q38" s="1900" t="str">
        <f t="shared" si="11"/>
        <v>业态</v>
      </c>
      <c r="R38" s="753" t="s">
        <v>25</v>
      </c>
      <c r="S38" s="754">
        <f t="shared" si="12"/>
        <v>100</v>
      </c>
      <c r="T38" s="753" t="s">
        <v>25</v>
      </c>
      <c r="U38" s="754">
        <f t="shared" si="13"/>
        <v>100</v>
      </c>
      <c r="V38" s="753" t="s">
        <v>25</v>
      </c>
      <c r="W38" s="754">
        <f t="shared" si="14"/>
        <v>100</v>
      </c>
      <c r="X38" s="1901"/>
      <c r="Y38" s="303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57"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58"/>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59"/>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303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3032"/>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3032"/>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303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3032"/>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303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303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3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3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3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900" t="str">
        <f t="shared" si="11"/>
        <v>市政基础设施</v>
      </c>
      <c r="R35" s="753" t="s">
        <v>25</v>
      </c>
      <c r="S35" s="754">
        <f t="shared" si="12"/>
        <v>100</v>
      </c>
      <c r="T35" s="753" t="s">
        <v>25</v>
      </c>
      <c r="U35" s="754">
        <f t="shared" si="13"/>
        <v>100</v>
      </c>
      <c r="V35" s="753" t="s">
        <v>25</v>
      </c>
      <c r="W35" s="754">
        <f t="shared" si="14"/>
        <v>100</v>
      </c>
      <c r="X35" s="1901"/>
      <c r="Y35" s="303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514"/>
      <c r="M5" s="425"/>
      <c r="N5" s="425"/>
      <c r="O5" s="425"/>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514"/>
      <c r="M6" s="425"/>
      <c r="N6" s="425"/>
      <c r="O6" s="425"/>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2368</v>
      </c>
      <c r="Q32" s="1900" t="str">
        <f t="shared" si="11"/>
        <v>车位类型</v>
      </c>
      <c r="R32" s="753" t="s">
        <v>25</v>
      </c>
      <c r="S32" s="754">
        <f t="shared" si="12"/>
        <v>100</v>
      </c>
      <c r="T32" s="753" t="s">
        <v>25</v>
      </c>
      <c r="U32" s="754">
        <f t="shared" si="13"/>
        <v>100</v>
      </c>
      <c r="V32" s="753" t="s">
        <v>25</v>
      </c>
      <c r="W32" s="754">
        <f t="shared" si="14"/>
        <v>100</v>
      </c>
      <c r="X32" s="1901"/>
      <c r="Y32" s="303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900">
        <f t="shared" si="11"/>
        <v>111</v>
      </c>
      <c r="R32" s="753" t="s">
        <v>25</v>
      </c>
      <c r="S32" s="754">
        <f t="shared" si="12"/>
        <v>100</v>
      </c>
      <c r="T32" s="753" t="s">
        <v>25</v>
      </c>
      <c r="U32" s="754">
        <f t="shared" si="13"/>
        <v>100</v>
      </c>
      <c r="V32" s="753" t="s">
        <v>25</v>
      </c>
      <c r="W32" s="754">
        <f t="shared" si="14"/>
        <v>100</v>
      </c>
      <c r="X32" s="1901"/>
      <c r="Y32" s="303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30"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30"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900" t="str">
        <f t="shared" si="6"/>
        <v>居住社区成熟度</v>
      </c>
      <c r="R15" s="753" t="s">
        <v>25</v>
      </c>
      <c r="S15" s="754">
        <f t="shared" si="0"/>
        <v>100</v>
      </c>
      <c r="T15" s="753" t="s">
        <v>25</v>
      </c>
      <c r="U15" s="754">
        <f t="shared" si="1"/>
        <v>100</v>
      </c>
      <c r="V15" s="753" t="s">
        <v>25</v>
      </c>
      <c r="W15" s="754">
        <f t="shared" si="2"/>
        <v>100</v>
      </c>
      <c r="X15" s="1901"/>
      <c r="Y15" s="303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2"/>
      <c r="Q24" s="1900"/>
      <c r="R24" s="753"/>
      <c r="S24" s="754"/>
      <c r="T24" s="753"/>
      <c r="U24" s="754"/>
      <c r="V24" s="753"/>
      <c r="W24" s="754"/>
      <c r="X24" s="1901"/>
      <c r="Y24" s="3032"/>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3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6" t="s">
        <v>2368</v>
      </c>
      <c r="Q42" s="1900" t="str">
        <f t="shared" si="14"/>
        <v>工程地质条件</v>
      </c>
      <c r="R42" s="753" t="s">
        <v>25</v>
      </c>
      <c r="S42" s="754">
        <f t="shared" si="10"/>
        <v>100</v>
      </c>
      <c r="T42" s="753" t="s">
        <v>25</v>
      </c>
      <c r="U42" s="754">
        <f t="shared" si="11"/>
        <v>100</v>
      </c>
      <c r="V42" s="753" t="s">
        <v>25</v>
      </c>
      <c r="W42" s="754">
        <f t="shared" si="12"/>
        <v>100</v>
      </c>
      <c r="X42" s="1901"/>
      <c r="Y42" s="303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2" t="str">
        <f>A46</f>
        <v>成交单价</v>
      </c>
      <c r="Q46" s="3042"/>
      <c r="R46" s="3026">
        <f>E46</f>
        <v>0</v>
      </c>
      <c r="S46" s="3026"/>
      <c r="T46" s="3026">
        <f>G46</f>
        <v>0</v>
      </c>
      <c r="U46" s="3026"/>
      <c r="V46" s="3026">
        <f>I46</f>
        <v>0</v>
      </c>
      <c r="W46" s="302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3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6" t="s">
        <v>2368</v>
      </c>
      <c r="Q37" s="1900" t="str">
        <f t="shared" si="14"/>
        <v>工程地质条件</v>
      </c>
      <c r="R37" s="753" t="s">
        <v>25</v>
      </c>
      <c r="S37" s="754">
        <f t="shared" si="10"/>
        <v>100</v>
      </c>
      <c r="T37" s="753" t="s">
        <v>25</v>
      </c>
      <c r="U37" s="754">
        <f t="shared" si="11"/>
        <v>100</v>
      </c>
      <c r="V37" s="753" t="s">
        <v>25</v>
      </c>
      <c r="W37" s="754">
        <f t="shared" si="12"/>
        <v>100</v>
      </c>
      <c r="X37" s="1901"/>
      <c r="Y37" s="303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2" t="str">
        <f>A41</f>
        <v>成交单价</v>
      </c>
      <c r="Q41" s="3042"/>
      <c r="R41" s="3026">
        <f>E41</f>
        <v>0</v>
      </c>
      <c r="S41" s="3026"/>
      <c r="T41" s="3026">
        <f>G41</f>
        <v>0</v>
      </c>
      <c r="U41" s="3026"/>
      <c r="V41" s="3026">
        <f>I41</f>
        <v>0</v>
      </c>
      <c r="W41" s="302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受贵公司委托，我公司对北京市北京经济技术开发区天华园一里三区16幢1单元904室住宅用房房地产进行了预评估。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估价对象为北京市北京经济技术开发区天华园一里三区16幢1单元904室住宅用房房地产，为李彩云所有。根据《房屋所有权证》[X京房权证开私字第0390739号]，估价对象建筑面积为149.23平方米。估价对象用途为。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7"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68"/>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80" t="s">
        <v>2630</v>
      </c>
      <c r="X8" s="3081"/>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8"/>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2"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8"/>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8"/>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2"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7"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2"/>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7"/>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7"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8"/>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7"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9" t="s">
        <v>2777</v>
      </c>
      <c r="B90" s="3069"/>
      <c r="C90" s="3069"/>
      <c r="D90" s="3069"/>
      <c r="E90" s="3069"/>
      <c r="F90" s="3069"/>
      <c r="G90" s="3069"/>
      <c r="H90" s="3069"/>
      <c r="I90" s="3069"/>
      <c r="J90" s="3069"/>
      <c r="K90" s="2684"/>
      <c r="L90" s="2684"/>
      <c r="M90" s="2684"/>
      <c r="N90" s="2684"/>
    </row>
    <row r="91" spans="1:37">
      <c r="A91" s="3071" t="s">
        <v>2778</v>
      </c>
      <c r="B91" s="3071" t="s">
        <v>2779</v>
      </c>
      <c r="C91" s="2632" t="s">
        <v>2780</v>
      </c>
      <c r="D91" s="2633"/>
      <c r="E91" s="2633"/>
      <c r="F91" s="2633"/>
      <c r="G91" s="2633"/>
      <c r="H91" s="2633"/>
      <c r="I91" s="2633"/>
      <c r="J91" s="2685"/>
      <c r="K91" s="2686"/>
      <c r="L91" s="2686"/>
      <c r="M91" s="2686"/>
      <c r="N91" s="2686"/>
    </row>
    <row r="92" spans="1:37">
      <c r="A92" s="3071"/>
      <c r="B92" s="307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3"/>
      <c r="B108" s="307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4"/>
      <c r="B109" s="307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0" t="s">
        <v>2785</v>
      </c>
      <c r="B110" s="3070"/>
      <c r="C110" s="3070"/>
      <c r="D110" s="3070"/>
      <c r="E110" s="3070"/>
      <c r="F110" s="3070"/>
      <c r="G110" s="3070"/>
      <c r="H110" s="3070"/>
      <c r="I110" s="3070"/>
      <c r="J110" s="307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5"/>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5"/>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6"/>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4">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5"/>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5"/>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6"/>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4">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5"/>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5"/>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6"/>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4">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5"/>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5"/>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6"/>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4">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5">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5">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6">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4">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5">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5">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6">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4">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5">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5">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6">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4">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5">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5">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6">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4">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5">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5">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6">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4">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5">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5">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6">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4">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5">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5">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6">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4">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5">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5">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6">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5">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5">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5">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5">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6">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1"/>
      <c r="B3" s="1931"/>
      <c r="C3" s="1931"/>
      <c r="D3" s="1931"/>
      <c r="E3" s="1931"/>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8"/>
      <c r="B5" s="1932" t="s">
        <v>742</v>
      </c>
      <c r="C5" s="2752" t="s">
        <v>784</v>
      </c>
      <c r="D5" s="2753"/>
      <c r="E5" s="1928"/>
    </row>
    <row r="6" spans="1:5" ht="28.5">
      <c r="A6" s="1928"/>
      <c r="B6" s="1933" t="str">
        <f>项目基本情况!I1</f>
        <v>北京市北京经济技术开发区天华园一里三区16幢1单元904室住宅用房房地产</v>
      </c>
      <c r="C6" s="2754">
        <f>项目基本情况!C12</f>
        <v>149.22999999999999</v>
      </c>
      <c r="D6" s="2754"/>
      <c r="E6" s="1928"/>
    </row>
    <row r="7" spans="1:5" ht="14.25">
      <c r="A7" s="1928"/>
      <c r="B7" s="2748" t="s">
        <v>785</v>
      </c>
      <c r="C7" s="1934" t="str">
        <f>IF('数据-取费表'!B3="万元","总价（万元）","总价（元）")</f>
        <v>总价（万元）</v>
      </c>
      <c r="D7" s="1935">
        <f ca="1">IF('数据-取费表'!E3="否",结果表!I102,'结果表 (1修多)'!I103)</f>
        <v>549</v>
      </c>
      <c r="E7" s="1928"/>
    </row>
    <row r="8" spans="1:5" ht="14.25">
      <c r="A8" s="1928"/>
      <c r="B8" s="2748"/>
      <c r="C8" s="1936" t="s">
        <v>1177</v>
      </c>
      <c r="D8" s="1937" t="str">
        <f ca="1">IF('数据-取费表'!B3="万元",NUMBERSTRING(INT(D7*10000),2)&amp;"元整",NUMBERSTRING(INT(D7),2)&amp;"元整")</f>
        <v>伍佰肆拾玖万元整</v>
      </c>
      <c r="E8" s="1928"/>
    </row>
    <row r="9" spans="1:5" ht="14.25">
      <c r="A9" s="1928"/>
      <c r="B9" s="2748"/>
      <c r="C9" s="1938" t="s">
        <v>1275</v>
      </c>
      <c r="D9" s="1935">
        <f ca="1">IF('数据-取费表'!E3="否",结果表!I103,'结果表 (1修多)'!I104)</f>
        <v>36789</v>
      </c>
      <c r="E9" s="1928"/>
    </row>
    <row r="10" spans="1:5" ht="14.25">
      <c r="A10" s="1928"/>
      <c r="B10" s="2755"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5"/>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5" t="str">
        <f>IF('数据-取费表'!E3="否",结果表!F110,'结果表 (1修多)'!F111)</f>
        <v>3.房地产抵押价值</v>
      </c>
      <c r="C15" s="1929" t="str">
        <f>C7</f>
        <v>总价（万元）</v>
      </c>
      <c r="D15" s="1935">
        <f ca="1">IF('数据-取费表'!E3="否",结果表!I110,'结果表 (1修多)'!I111)</f>
        <v>549</v>
      </c>
      <c r="E15" s="1928"/>
    </row>
    <row r="16" spans="1:5" ht="14.25">
      <c r="A16" s="1928"/>
      <c r="B16" s="2755"/>
      <c r="C16" s="1936" t="s">
        <v>1177</v>
      </c>
      <c r="D16" s="1935" t="str">
        <f ca="1">IF('数据-取费表'!B3="万元",NUMBERSTRING(INT(D15*10000),2)&amp;"元整",NUMBERSTRING(INT(D15),2)&amp;"元整")</f>
        <v>伍佰肆拾玖万元整</v>
      </c>
      <c r="E16" s="1928"/>
    </row>
    <row r="17" spans="1:5" ht="14.25">
      <c r="A17" s="1928"/>
      <c r="B17" s="2755"/>
      <c r="C17" s="1938" t="s">
        <v>1275</v>
      </c>
      <c r="D17" s="1935">
        <f ca="1">IF('数据-取费表'!E3="否",结果表!I111,'结果表 (1修多)'!I112)</f>
        <v>36789</v>
      </c>
      <c r="E17" s="1928"/>
    </row>
    <row r="18" spans="1:5" ht="14.25">
      <c r="A18" s="1928"/>
      <c r="B18" s="2755" t="str">
        <f>IF('数据-取费表'!E3="否",结果表!F112,'结果表 (1修多)'!F113)</f>
        <v>——</v>
      </c>
      <c r="C18" s="1929" t="str">
        <f>C7</f>
        <v>总价（万元）</v>
      </c>
      <c r="D18" s="1935" t="str">
        <f>IF('数据-取费表'!E3="否",结果表!I112,'结果表 (1修多)'!I113)</f>
        <v>——</v>
      </c>
      <c r="E18" s="1928"/>
    </row>
    <row r="19" spans="1:5" ht="14.25">
      <c r="A19" s="1928"/>
      <c r="B19" s="2755"/>
      <c r="C19" s="1936" t="s">
        <v>1177</v>
      </c>
      <c r="D19" s="1935" t="e">
        <f>IF('数据-取费表'!B3="万元",NUMBERSTRING(INT(D18*10000),2)&amp;"元整",NUMBERSTRING(INT(D18),2)&amp;"元整")</f>
        <v>#VALUE!</v>
      </c>
      <c r="E19" s="1928"/>
    </row>
    <row r="20" spans="1:5" ht="14.25">
      <c r="A20" s="1928"/>
      <c r="B20" s="2755"/>
      <c r="C20" s="1938" t="s">
        <v>1275</v>
      </c>
      <c r="D20" s="1935" t="str">
        <f>IF('数据-取费表'!E3="否",结果表!I113,'结果表 (1修多)'!I114)</f>
        <v>——</v>
      </c>
      <c r="E20" s="1928"/>
    </row>
    <row r="21" spans="1:5" ht="14.25">
      <c r="A21" s="1928"/>
      <c r="B21" s="2748" t="str">
        <f>IF('数据-取费表'!E3="否",结果表!F114,'结果表 (1修多)'!F115)</f>
        <v>——</v>
      </c>
      <c r="C21" s="1934" t="str">
        <f>C7</f>
        <v>总价（万元）</v>
      </c>
      <c r="D21" s="1935" t="str">
        <f>IF('数据-取费表'!E3="否",结果表!I114,'结果表 (1修多)'!I115)</f>
        <v>——</v>
      </c>
      <c r="E21" s="1928"/>
    </row>
    <row r="22" spans="1:5" ht="14.25">
      <c r="A22" s="1928"/>
      <c r="B22" s="2748"/>
      <c r="C22" s="1936" t="s">
        <v>1177</v>
      </c>
      <c r="D22" s="1937" t="e">
        <f>IF('数据-取费表'!B3="万元",NUMBERSTRING(INT(D21*10000),2)&amp;"元整",NUMBERSTRING(INT(D21),2)&amp;"元整")</f>
        <v>#VALUE!</v>
      </c>
      <c r="E22" s="1928"/>
    </row>
    <row r="23" spans="1:5" ht="15" thickBot="1">
      <c r="A23" s="1928"/>
      <c r="B23" s="274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3" t="s">
        <v>1276</v>
      </c>
      <c r="C25" s="2763"/>
      <c r="D25" s="2763"/>
      <c r="E25" s="1928"/>
    </row>
    <row r="26" spans="1:5" ht="18.75" customHeight="1" thickTop="1">
      <c r="A26" s="1928"/>
      <c r="B26" s="2766" t="s">
        <v>1176</v>
      </c>
      <c r="C26" s="2767"/>
      <c r="D26" s="2764" t="s">
        <v>1175</v>
      </c>
      <c r="E26" s="1928"/>
    </row>
    <row r="27" spans="1:5" ht="18.75" customHeight="1">
      <c r="A27" s="1928"/>
      <c r="B27" s="2768"/>
      <c r="C27" s="2769"/>
      <c r="D27" s="2765"/>
      <c r="E27" s="1928"/>
    </row>
    <row r="28" spans="1:5" ht="14.25">
      <c r="A28" s="1928"/>
      <c r="B28" s="2756" t="s">
        <v>785</v>
      </c>
      <c r="C28" s="1945" t="s">
        <v>1178</v>
      </c>
      <c r="D28" s="1946">
        <f ca="1">IF('数据-取费表'!E3="否",结果表!I102,'结果表 (1修多)'!I103)</f>
        <v>549</v>
      </c>
      <c r="E28" s="1928"/>
    </row>
    <row r="29" spans="1:5" ht="14.25">
      <c r="A29" s="1928"/>
      <c r="B29" s="2757"/>
      <c r="C29" s="1947" t="s">
        <v>1177</v>
      </c>
      <c r="D29" s="1948" t="str">
        <f ca="1">IF('数据-取费表'!B3="万元",NUMBERSTRING(INT(D28*10000),2)&amp;"元整",NUMBERSTRING(INT(D28),2)&amp;"元整")</f>
        <v>伍佰肆拾玖万元整</v>
      </c>
      <c r="E29" s="1928"/>
    </row>
    <row r="30" spans="1:5" ht="14.25">
      <c r="A30" s="1928"/>
      <c r="B30" s="2758"/>
      <c r="C30" s="1938" t="s">
        <v>1180</v>
      </c>
      <c r="D30" s="1949">
        <f ca="1">IF('数据-取费表'!E3="否",结果表!I103,'结果表 (1修多)'!I104)</f>
        <v>36789</v>
      </c>
      <c r="E30" s="1928"/>
    </row>
    <row r="31" spans="1:5" ht="14.25">
      <c r="A31" s="1928"/>
      <c r="B31" s="2761" t="str">
        <f>B10</f>
        <v>2.估价师所知悉的法定优先受偿款</v>
      </c>
      <c r="C31" s="1950" t="s">
        <v>1179</v>
      </c>
      <c r="D31" s="1951">
        <f>IF('数据-取费表'!E3="否",结果表!I105,'结果表 (1修多)'!I106)</f>
        <v>0</v>
      </c>
      <c r="E31" s="1928"/>
    </row>
    <row r="32" spans="1:5" ht="14.25">
      <c r="A32" s="1928"/>
      <c r="B32" s="277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9" t="str">
        <f>B15</f>
        <v>3.房地产抵押价值</v>
      </c>
      <c r="C36" s="1950" t="str">
        <f>C28</f>
        <v>总价</v>
      </c>
      <c r="D36" s="1951">
        <f ca="1">IF('数据-取费表'!E3="否",结果表!I110,'结果表 (1修多)'!I111)</f>
        <v>549</v>
      </c>
      <c r="E36" s="1928"/>
    </row>
    <row r="37" spans="1:5" ht="14.25">
      <c r="A37" s="1928"/>
      <c r="B37" s="2759"/>
      <c r="C37" s="1947" t="s">
        <v>1177</v>
      </c>
      <c r="D37" s="1952" t="str">
        <f ca="1">IF('数据-取费表'!B3="万元",NUMBERSTRING(INT(D36*10000),2)&amp;"元整",NUMBERSTRING(INT(D36),2)&amp;"元整")</f>
        <v>伍佰肆拾玖万元整</v>
      </c>
      <c r="E37" s="1928"/>
    </row>
    <row r="38" spans="1:5" ht="14.25">
      <c r="A38" s="1928"/>
      <c r="B38" s="2759"/>
      <c r="C38" s="1938" t="s">
        <v>1181</v>
      </c>
      <c r="D38" s="1949">
        <f ca="1">IF('数据-取费表'!E3="否",结果表!D113,'结果表 (1修多)'!D116)</f>
        <v>36789</v>
      </c>
      <c r="E38" s="1928"/>
    </row>
    <row r="39" spans="1:5" ht="14.25">
      <c r="A39" s="1928"/>
      <c r="B39" s="2760" t="str">
        <f>B18</f>
        <v>——</v>
      </c>
      <c r="C39" s="1950" t="str">
        <f>C28</f>
        <v>总价</v>
      </c>
      <c r="D39" s="1951" t="str">
        <f>IF('数据-取费表'!E3="否",结果表!I112,'结果表 (1修多)'!I113)</f>
        <v>——</v>
      </c>
      <c r="E39" s="1928"/>
    </row>
    <row r="40" spans="1:5" ht="14.25">
      <c r="A40" s="1928"/>
      <c r="B40" s="2760"/>
      <c r="C40" s="1947" t="s">
        <v>1177</v>
      </c>
      <c r="D40" s="1952" t="e">
        <f>IF('数据-取费表'!B3="万元",NUMBERSTRING(INT(D39*10000),2)&amp;"元整",NUMBERSTRING(INT(D39),2)&amp;"元整")</f>
        <v>#VALUE!</v>
      </c>
      <c r="E40" s="1928"/>
    </row>
    <row r="41" spans="1:5" ht="14.25">
      <c r="A41" s="1928"/>
      <c r="B41" s="2760"/>
      <c r="C41" s="1938" t="s">
        <v>1181</v>
      </c>
      <c r="D41" s="1949" t="str">
        <f>IF('数据-取费表'!E3="否",结果表!D115,'结果表 (1修多)'!D118)</f>
        <v>——</v>
      </c>
      <c r="E41" s="1928"/>
    </row>
    <row r="42" spans="1:5" ht="14.25">
      <c r="A42" s="1928"/>
      <c r="B42" s="2759" t="str">
        <f>B21</f>
        <v>——</v>
      </c>
      <c r="C42" s="1950" t="str">
        <f>C28</f>
        <v>总价</v>
      </c>
      <c r="D42" s="1951" t="str">
        <f>IF('数据-取费表'!E3="否",结果表!I114,'结果表 (1修多)'!I115)</f>
        <v>——</v>
      </c>
      <c r="E42" s="1928"/>
    </row>
    <row r="43" spans="1:5" ht="14.25">
      <c r="A43" s="1928"/>
      <c r="B43" s="2761"/>
      <c r="C43" s="1947" t="s">
        <v>1177</v>
      </c>
      <c r="D43" s="1953" t="e">
        <f>IF('数据-取费表'!B3="万元",NUMBERSTRING(INT(D42*10000),2)&amp;"元整",NUMBERSTRING(INT(D42),2)&amp;"元整")</f>
        <v>#VALUE!</v>
      </c>
      <c r="E43" s="1928"/>
    </row>
    <row r="44" spans="1:5" ht="15" thickBot="1">
      <c r="A44" s="1928"/>
      <c r="B44" s="276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北京市北京经济技术开发区天华园一里三区16幢1单元904室住宅用房房地产</v>
      </c>
      <c r="B4" s="1049">
        <f>结果表!B121</f>
        <v>149.22999999999999</v>
      </c>
      <c r="C4" s="1049">
        <f>结果表!C121</f>
        <v>0</v>
      </c>
      <c r="D4" s="1049">
        <f ca="1">IF('数据-取费表'!E3="否",结果表!D121,'结果表 (1修多)'!D124)</f>
        <v>201</v>
      </c>
      <c r="E4" s="1049">
        <f ca="1">IF('数据-取费表'!E3="否",结果表!E121,'结果表 (1修多)'!E124)</f>
        <v>13469</v>
      </c>
      <c r="F4" s="1049">
        <f ca="1">IF('数据-取费表'!E3="否",结果表!F121,'结果表 (1修多)'!F124)</f>
        <v>348</v>
      </c>
      <c r="G4" s="1049">
        <f ca="1">IF('数据-取费表'!E3="否",结果表!G121,'结果表 (1修多)'!G124)</f>
        <v>23320</v>
      </c>
      <c r="H4" s="1049">
        <f ca="1">IF('数据-取费表'!E3="否",结果表!H121,'结果表 (1修多)'!H124)</f>
        <v>549</v>
      </c>
      <c r="I4" s="1049">
        <f ca="1">IF('数据-取费表'!E3="否",结果表!I121,'结果表 (1修多)'!I124)</f>
        <v>36789</v>
      </c>
    </row>
    <row r="5" spans="1:9" ht="15">
      <c r="A5" s="2773" t="s">
        <v>1285</v>
      </c>
      <c r="B5" s="2773"/>
      <c r="C5" s="2773"/>
      <c r="D5" s="2771" t="str">
        <f ca="1">IF('数据-取费表'!E3="否",结果表!D122,'结果表 (1修多)'!D125)</f>
        <v>贰佰零壹万元整</v>
      </c>
      <c r="E5" s="2771"/>
      <c r="F5" s="2771" t="str">
        <f ca="1">IF('数据-取费表'!E3="否",结果表!F122,'结果表 (1修多)'!F125)</f>
        <v>叁佰肆拾捌万元整</v>
      </c>
      <c r="G5" s="2771"/>
      <c r="H5" s="2771" t="str">
        <f ca="1">IF('数据-取费表'!E3="否",结果表!H122,'结果表 (1修多)'!H125)</f>
        <v>伍佰肆拾玖万元整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549</v>
      </c>
      <c r="E8" s="2772"/>
      <c r="F8" s="2772"/>
      <c r="G8" s="2772"/>
      <c r="H8" s="2772"/>
      <c r="I8" s="2772"/>
    </row>
    <row r="9" spans="1:9" ht="15">
      <c r="A9" s="2773" t="s">
        <v>1285</v>
      </c>
      <c r="B9" s="2773"/>
      <c r="C9" s="2773"/>
      <c r="D9" s="2771">
        <f ca="1">IF('数据-取费表'!E3="否",结果表!D126,'结果表 (1修多)'!D129)</f>
        <v>36789</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6" t="s">
        <v>1299</v>
      </c>
      <c r="B1" s="2786"/>
      <c r="C1" s="2786"/>
      <c r="D1" s="2786"/>
    </row>
    <row r="2" spans="1:4" ht="18">
      <c r="A2" s="2785" t="s">
        <v>1287</v>
      </c>
      <c r="B2" s="2785"/>
      <c r="C2" s="2785"/>
      <c r="D2" s="2785"/>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5" t="s">
        <v>1292</v>
      </c>
      <c r="B7" s="2785"/>
      <c r="C7" s="2785"/>
      <c r="D7" s="278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16幢1单元904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2018-01-18T02:24:52Z</dcterms:modified>
</cp:coreProperties>
</file>