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15" windowWidth="14805" windowHeight="1311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汇总" sheetId="79"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r:id="rId39"/>
    <sheet name="典型户型修正" sheetId="31" r:id="rId40"/>
    <sheet name="成本法（废）" sheetId="11" state="hidden" r:id="rId41"/>
    <sheet name="区片价" sheetId="44" state="hidden" r:id="rId42"/>
    <sheet name="因素修正幅度" sheetId="65" state="hidden" r:id="rId43"/>
    <sheet name="存贷款利率" sheetId="73" r:id="rId44"/>
    <sheet name="区片价（范围）" sheetId="75" state="hidden" r:id="rId45"/>
    <sheet name="面积表" sheetId="78"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Y6" i="1" l="1"/>
  <c r="G40" i="78"/>
  <c r="G39" i="78"/>
  <c r="G38" i="78"/>
  <c r="G9" i="78"/>
  <c r="G10" i="78"/>
  <c r="G11" i="78"/>
  <c r="G12" i="78"/>
  <c r="G13" i="78"/>
  <c r="G14" i="78"/>
  <c r="G15" i="78"/>
  <c r="G16" i="78"/>
  <c r="G17" i="78"/>
  <c r="G18" i="78"/>
  <c r="G19" i="78"/>
  <c r="G20" i="78"/>
  <c r="G21" i="78"/>
  <c r="G22" i="78"/>
  <c r="G23" i="78"/>
  <c r="G24" i="78"/>
  <c r="G25" i="78"/>
  <c r="G26" i="78"/>
  <c r="G27" i="78"/>
  <c r="G28" i="78"/>
  <c r="G29" i="78"/>
  <c r="G30" i="78"/>
  <c r="G31" i="78"/>
  <c r="G32" i="78"/>
  <c r="G33" i="78"/>
  <c r="G34" i="78"/>
  <c r="G35" i="78"/>
  <c r="G36" i="78"/>
  <c r="G37" i="78"/>
  <c r="G8" i="78"/>
  <c r="F37" i="78"/>
  <c r="F34" i="78"/>
  <c r="F35" i="78"/>
  <c r="F36" i="78"/>
  <c r="F9" i="78"/>
  <c r="F10" i="78"/>
  <c r="F11" i="78"/>
  <c r="F12" i="78"/>
  <c r="F13" i="78"/>
  <c r="F14" i="78"/>
  <c r="F15" i="78"/>
  <c r="F16" i="78"/>
  <c r="F17" i="78"/>
  <c r="F18" i="78"/>
  <c r="F19" i="78"/>
  <c r="F20" i="78"/>
  <c r="F21" i="78"/>
  <c r="F22" i="78"/>
  <c r="F23" i="78"/>
  <c r="F24" i="78"/>
  <c r="F25" i="78"/>
  <c r="F26" i="78"/>
  <c r="F27" i="78"/>
  <c r="F28" i="78"/>
  <c r="F29" i="78"/>
  <c r="F30" i="78"/>
  <c r="F31" i="78"/>
  <c r="F32" i="78"/>
  <c r="F33" i="78"/>
  <c r="F8" i="78"/>
  <c r="G4" i="78"/>
  <c r="G5" i="78"/>
  <c r="G6" i="78"/>
  <c r="G7" i="78"/>
  <c r="G3" i="78"/>
  <c r="G2" i="78"/>
  <c r="F4" i="79" l="1"/>
  <c r="G4" i="79" s="1"/>
  <c r="S27" i="1" l="1"/>
  <c r="T27" i="1"/>
  <c r="I16" i="74" l="1"/>
  <c r="I15" i="74"/>
  <c r="G15" i="74"/>
  <c r="G16" i="74" s="1"/>
  <c r="C16" i="74"/>
  <c r="B16" i="74"/>
  <c r="C15" i="74"/>
  <c r="B15" i="74"/>
  <c r="T21" i="1" l="1"/>
  <c r="T24" i="1"/>
  <c r="T25" i="1"/>
  <c r="T26" i="1"/>
  <c r="T23" i="1"/>
  <c r="N6" i="1" l="1"/>
  <c r="N22" i="1"/>
  <c r="N20" i="1"/>
  <c r="G19" i="6"/>
  <c r="F19" i="6"/>
  <c r="C11" i="4" l="1"/>
  <c r="B7" i="4"/>
  <c r="D3" i="4"/>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23" i="71"/>
  <c r="P23" i="71"/>
  <c r="O23" i="71"/>
  <c r="N23" i="71"/>
  <c r="A15" i="51"/>
  <c r="B12" i="72" s="1"/>
  <c r="C76" i="9"/>
  <c r="I107" i="40"/>
  <c r="K6" i="4"/>
  <c r="M56" i="9" s="1"/>
  <c r="B22" i="31"/>
  <c r="N56" i="9"/>
  <c r="K56" i="9"/>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s="1"/>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s="1"/>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s="1"/>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17" i="3"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s="1"/>
  <c r="J11" i="39"/>
  <c r="W11" i="39"/>
  <c r="F11" i="39"/>
  <c r="AA11" i="39"/>
  <c r="S11" i="39"/>
  <c r="G4" i="4"/>
  <c r="I4" i="4"/>
  <c r="K5" i="4" s="1"/>
  <c r="B47" i="48" s="1"/>
  <c r="A2" i="9"/>
  <c r="F59" i="43"/>
  <c r="H62" i="43" s="1"/>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1" i="3"/>
  <c r="AZ376" i="3"/>
  <c r="AZ390" i="3"/>
  <c r="AZ382" i="3"/>
  <c r="AZ493" i="3"/>
  <c r="U36" i="40"/>
  <c r="F36" i="43"/>
  <c r="F81" i="43"/>
  <c r="H83" i="43" s="1"/>
  <c r="H113" i="43"/>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K6" i="1"/>
  <c r="M6" i="1" s="1"/>
  <c r="O6" i="1" s="1"/>
  <c r="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S12" i="1"/>
  <c r="AR12" i="1" s="1"/>
  <c r="R12" i="1"/>
  <c r="B12" i="1"/>
  <c r="E12" i="1"/>
  <c r="S10" i="1"/>
  <c r="AQ10" i="1" s="1"/>
  <c r="R10" i="1"/>
  <c r="B10" i="1"/>
  <c r="E10" i="1"/>
  <c r="AZ80" i="3"/>
  <c r="AZ84" i="3"/>
  <c r="AZ88" i="3"/>
  <c r="AZ107" i="3"/>
  <c r="AZ111" i="3"/>
  <c r="K12" i="1"/>
  <c r="M12" i="1" s="1"/>
  <c r="S13" i="1"/>
  <c r="AR13" i="1" s="1"/>
  <c r="R13" i="1"/>
  <c r="S11" i="1"/>
  <c r="AQ11" i="1" s="1"/>
  <c r="R11" i="1"/>
  <c r="S9" i="1"/>
  <c r="R9" i="1"/>
  <c r="J51" i="67"/>
  <c r="C42" i="1"/>
  <c r="C13" i="12"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BA13" i="3"/>
  <c r="E10" i="6"/>
  <c r="BL17" i="3"/>
  <c r="AZ17" i="3" s="1"/>
  <c r="BL13" i="3"/>
  <c r="G30" i="6"/>
  <c r="G31" i="6" s="1"/>
  <c r="J56" i="9"/>
  <c r="J57" i="9" s="1"/>
  <c r="J59" i="9" s="1"/>
  <c r="J61" i="9" s="1"/>
  <c r="A24" i="51"/>
  <c r="B18" i="72" s="1"/>
  <c r="U29" i="34"/>
  <c r="E5" i="6"/>
  <c r="E32" i="6"/>
  <c r="L19" i="6"/>
  <c r="G1" i="68"/>
  <c r="K1" i="12"/>
  <c r="E28" i="6"/>
  <c r="E19" i="69"/>
  <c r="E19" i="68"/>
  <c r="E19" i="11"/>
  <c r="E1" i="73"/>
  <c r="G22" i="69"/>
  <c r="G22" i="68"/>
  <c r="G26" i="12"/>
  <c r="G22" i="11"/>
  <c r="C100" i="43"/>
  <c r="E11" i="43"/>
  <c r="E10" i="43"/>
  <c r="E9" i="43"/>
  <c r="E8" i="43"/>
  <c r="C7" i="43"/>
  <c r="E81" i="43"/>
  <c r="B79" i="43"/>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c r="C7" i="39"/>
  <c r="C68" i="39" s="1"/>
  <c r="C7" i="35"/>
  <c r="C7" i="33"/>
  <c r="C58" i="33" s="1"/>
  <c r="C7" i="21"/>
  <c r="C58" i="21" s="1"/>
  <c r="C7" i="40"/>
  <c r="C63" i="40" s="1"/>
  <c r="M47" i="9"/>
  <c r="G19" i="43"/>
  <c r="O19" i="43" s="1"/>
  <c r="C19" i="43" s="1"/>
  <c r="C46" i="36"/>
  <c r="D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B6" i="1"/>
  <c r="E6" i="1"/>
  <c r="S8" i="1"/>
  <c r="AQ8" i="1" s="1"/>
  <c r="K11" i="1"/>
  <c r="M11" i="1" s="1"/>
  <c r="AP6" i="1"/>
  <c r="B9" i="1"/>
  <c r="E9" i="1"/>
  <c r="K7" i="1"/>
  <c r="H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F30" i="11"/>
  <c r="C48" i="11" s="1"/>
  <c r="AR11" i="1"/>
  <c r="T13" i="1"/>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T8" i="1"/>
  <c r="R22" i="31"/>
  <c r="AP7"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R8" i="1"/>
  <c r="AE7" i="1"/>
  <c r="AE8" i="1"/>
  <c r="AG6" i="1"/>
  <c r="H112" i="9"/>
  <c r="D21" i="53" s="1"/>
  <c r="B39" i="72" s="1"/>
  <c r="H111" i="9"/>
  <c r="D126" i="9" s="1"/>
  <c r="I14" i="74" s="1"/>
  <c r="B8" i="74" s="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C20" i="43" s="1"/>
  <c r="G17" i="43"/>
  <c r="V17" i="71"/>
  <c r="C17" i="71"/>
  <c r="D18" i="71"/>
  <c r="E41" i="43"/>
  <c r="C41" i="43" s="1"/>
  <c r="D15" i="71"/>
  <c r="T17" i="71"/>
  <c r="D16" i="71"/>
  <c r="D17" i="71"/>
  <c r="U17" i="71"/>
  <c r="F34" i="68"/>
  <c r="AO12" i="1"/>
  <c r="M29" i="67"/>
  <c r="F9" i="15"/>
  <c r="E11" i="76"/>
  <c r="M26" i="15"/>
  <c r="M24" i="67"/>
  <c r="F7" i="67"/>
  <c r="D2" i="33"/>
  <c r="E13" i="76"/>
  <c r="E2" i="69"/>
  <c r="D2" i="34"/>
  <c r="B7" i="76"/>
  <c r="F9" i="67"/>
  <c r="B11" i="76"/>
  <c r="M8" i="15"/>
  <c r="B12" i="76"/>
  <c r="AO11" i="1"/>
  <c r="F41" i="67"/>
  <c r="L47" i="15"/>
  <c r="F35" i="67"/>
  <c r="B8" i="76"/>
  <c r="E12" i="76"/>
  <c r="AO13" i="1"/>
  <c r="F20" i="31"/>
  <c r="F8" i="67"/>
  <c r="F8" i="15"/>
  <c r="F6" i="73"/>
  <c r="F7" i="15"/>
  <c r="F13" i="15"/>
  <c r="D7" i="73"/>
  <c r="C76" i="15"/>
  <c r="F26" i="15"/>
  <c r="F40" i="15"/>
  <c r="AO8" i="1"/>
  <c r="M23" i="67"/>
  <c r="L48" i="15"/>
  <c r="M28" i="15"/>
  <c r="L48" i="67"/>
  <c r="F16" i="15"/>
  <c r="AO10" i="1"/>
  <c r="M6" i="15"/>
  <c r="F37" i="67"/>
  <c r="M22" i="67"/>
  <c r="M28" i="67"/>
  <c r="F43" i="67"/>
  <c r="D4" i="73"/>
  <c r="M9" i="67"/>
  <c r="M21" i="67"/>
  <c r="F13" i="67"/>
  <c r="D9" i="68"/>
  <c r="F42" i="15"/>
  <c r="F36" i="67"/>
  <c r="F6" i="67"/>
  <c r="D3" i="73"/>
  <c r="M8" i="67"/>
  <c r="M29" i="15"/>
  <c r="E10" i="76"/>
  <c r="F36" i="15"/>
  <c r="F40" i="67"/>
  <c r="F7" i="73"/>
  <c r="E7" i="76"/>
  <c r="B9" i="76"/>
  <c r="M27" i="15"/>
  <c r="F26" i="67"/>
  <c r="M6" i="67"/>
  <c r="E9" i="76"/>
  <c r="F42" i="67"/>
  <c r="F5" i="73"/>
  <c r="E2" i="68"/>
  <c r="M24" i="15"/>
  <c r="M22" i="15"/>
  <c r="D2" i="36"/>
  <c r="F43" i="15"/>
  <c r="AO7" i="1"/>
  <c r="D2" i="37"/>
  <c r="J15" i="15"/>
  <c r="D2" i="35"/>
  <c r="F16" i="67"/>
  <c r="D2" i="21"/>
  <c r="J15" i="67"/>
  <c r="M27" i="67"/>
  <c r="F6" i="15"/>
  <c r="M26" i="67"/>
  <c r="B13" i="76"/>
  <c r="D5" i="73"/>
  <c r="E8" i="76"/>
  <c r="F38" i="15"/>
  <c r="AO9" i="1"/>
  <c r="F37" i="15"/>
  <c r="C76" i="67"/>
  <c r="F4" i="73"/>
  <c r="B10" i="76"/>
  <c r="F3" i="73"/>
  <c r="L47" i="67"/>
  <c r="F38" i="67"/>
  <c r="D6" i="73"/>
  <c r="M23" i="15"/>
  <c r="M9" i="15"/>
  <c r="P61" i="15" l="1"/>
  <c r="L27" i="6"/>
  <c r="G3" i="43"/>
  <c r="I7" i="6"/>
  <c r="C94" i="9"/>
  <c r="C92" i="9"/>
  <c r="F30" i="69"/>
  <c r="C77" i="9"/>
  <c r="C74" i="9" s="1"/>
  <c r="M18" i="15"/>
  <c r="F52" i="9"/>
  <c r="F54" i="9"/>
  <c r="F32" i="15"/>
  <c r="F60" i="15" s="1"/>
  <c r="F32" i="67"/>
  <c r="F60" i="67" s="1"/>
  <c r="F28" i="67"/>
  <c r="C28" i="67" s="1"/>
  <c r="C30" i="11"/>
  <c r="D68" i="9"/>
  <c r="F28" i="15"/>
  <c r="C28" i="15" s="1"/>
  <c r="C48" i="69"/>
  <c r="M18" i="67"/>
  <c r="F31" i="12"/>
  <c r="C31" i="12" s="1"/>
  <c r="F30" i="68"/>
  <c r="F53" i="9"/>
  <c r="C21" i="69"/>
  <c r="D22" i="67"/>
  <c r="C9" i="68"/>
  <c r="BA26" i="3"/>
  <c r="AZ26" i="3" s="1"/>
  <c r="BA27" i="3"/>
  <c r="BL27" i="3"/>
  <c r="BA29" i="3"/>
  <c r="BL29" i="3"/>
  <c r="BA35" i="3"/>
  <c r="BL35" i="3"/>
  <c r="BA42" i="3"/>
  <c r="BL42" i="3"/>
  <c r="BA44" i="3"/>
  <c r="AZ44" i="3" s="1"/>
  <c r="BA45" i="3"/>
  <c r="AZ45" i="3" s="1"/>
  <c r="BA46" i="3"/>
  <c r="AZ46" i="3" s="1"/>
  <c r="BA47" i="3"/>
  <c r="AZ47" i="3" s="1"/>
  <c r="BA48" i="3"/>
  <c r="BL48" i="3"/>
  <c r="AR10" i="1"/>
  <c r="T11" i="1"/>
  <c r="AQ12" i="1"/>
  <c r="AZ43" i="3"/>
  <c r="AZ42" i="3"/>
  <c r="AZ41" i="3"/>
  <c r="F29" i="6"/>
  <c r="F30" i="6" s="1"/>
  <c r="AZ35" i="3"/>
  <c r="E14" i="6"/>
  <c r="E64" i="39" s="1"/>
  <c r="E11" i="6"/>
  <c r="E56" i="40" s="1"/>
  <c r="AZ29" i="3"/>
  <c r="AZ28" i="3"/>
  <c r="E2" i="70"/>
  <c r="AR8" i="1"/>
  <c r="G5" i="3"/>
  <c r="B3" i="3" s="1"/>
  <c r="E114" i="3" s="1"/>
  <c r="AZ27" i="3"/>
  <c r="AZ25" i="3"/>
  <c r="BL5" i="3"/>
  <c r="C34" i="69"/>
  <c r="C35" i="69" s="1"/>
  <c r="C36" i="69"/>
  <c r="D19" i="12"/>
  <c r="C19" i="12" s="1"/>
  <c r="Q16" i="1"/>
  <c r="E12" i="6"/>
  <c r="E57" i="40" s="1"/>
  <c r="F27" i="6"/>
  <c r="E51" i="40"/>
  <c r="E56" i="39"/>
  <c r="AZ18" i="3"/>
  <c r="BA5" i="3"/>
  <c r="E27" i="6" s="1"/>
  <c r="K21" i="6" s="1"/>
  <c r="M21" i="6" s="1"/>
  <c r="I21" i="6" s="1"/>
  <c r="S21" i="6" s="1"/>
  <c r="T7" i="1"/>
  <c r="AQ7" i="1"/>
  <c r="M7" i="1"/>
  <c r="O7" i="1" s="1"/>
  <c r="E29" i="6"/>
  <c r="E30" i="6" s="1"/>
  <c r="E15" i="6"/>
  <c r="E60" i="40" s="1"/>
  <c r="E61" i="39"/>
  <c r="E124" i="3"/>
  <c r="AR9" i="1"/>
  <c r="AQ9" i="1"/>
  <c r="T9" i="1"/>
  <c r="E261" i="3"/>
  <c r="D9" i="11"/>
  <c r="C9" i="11" s="1"/>
  <c r="D9" i="69"/>
  <c r="C9" i="69" s="1"/>
  <c r="AQ13" i="1"/>
  <c r="T10" i="1"/>
  <c r="T12" i="1"/>
  <c r="E13" i="6"/>
  <c r="O14" i="1"/>
  <c r="P14" i="1" s="1"/>
  <c r="F22" i="43"/>
  <c r="B113" i="43"/>
  <c r="B115" i="43" s="1"/>
  <c r="C115" i="43" s="1"/>
  <c r="C101" i="43"/>
  <c r="C106" i="43" s="1"/>
  <c r="N104" i="46"/>
  <c r="L101" i="43"/>
  <c r="G22" i="43"/>
  <c r="AH11" i="43"/>
  <c r="AH13" i="43" s="1"/>
  <c r="AD11" i="43"/>
  <c r="AD13" i="43" s="1"/>
  <c r="Z11" i="43"/>
  <c r="Z13" i="43" s="1"/>
  <c r="AI11" i="43"/>
  <c r="AI13" i="43" s="1"/>
  <c r="AE11" i="43"/>
  <c r="AE13" i="43" s="1"/>
  <c r="AA11" i="43"/>
  <c r="AA13" i="43" s="1"/>
  <c r="G101" i="43"/>
  <c r="G105" i="43" s="1"/>
  <c r="J101" i="43"/>
  <c r="J105" i="43" s="1"/>
  <c r="H101" i="43"/>
  <c r="H109" i="43" s="1"/>
  <c r="AJ11" i="43"/>
  <c r="AJ13" i="43" s="1"/>
  <c r="AF11" i="43"/>
  <c r="AF13" i="43" s="1"/>
  <c r="AB11" i="43"/>
  <c r="AB13" i="43" s="1"/>
  <c r="Z7" i="43"/>
  <c r="AG11" i="43"/>
  <c r="AG13" i="43" s="1"/>
  <c r="AC11" i="43"/>
  <c r="AC13" i="43" s="1"/>
  <c r="Y11" i="43"/>
  <c r="Y13" i="43" s="1"/>
  <c r="J22" i="43"/>
  <c r="F27" i="11"/>
  <c r="K15" i="1"/>
  <c r="K16" i="1" s="1"/>
  <c r="O9" i="1"/>
  <c r="P9" i="1" s="1"/>
  <c r="O11" i="1"/>
  <c r="P11" i="1" s="1"/>
  <c r="O12" i="1"/>
  <c r="P12" i="1" s="1"/>
  <c r="O8" i="1"/>
  <c r="P8" i="1" s="1"/>
  <c r="G102" i="43"/>
  <c r="E101" i="43"/>
  <c r="I101" i="43"/>
  <c r="M101" i="43"/>
  <c r="D101" i="43"/>
  <c r="H22" i="43"/>
  <c r="E22" i="43"/>
  <c r="N101" i="43"/>
  <c r="F101" i="43"/>
  <c r="K101" i="43"/>
  <c r="T35" i="4"/>
  <c r="A19" i="51" s="1"/>
  <c r="B14" i="72" s="1"/>
  <c r="C16" i="43"/>
  <c r="H75" i="43"/>
  <c r="A15" i="62"/>
  <c r="B61" i="72" s="1"/>
  <c r="D19" i="53"/>
  <c r="D12" i="52"/>
  <c r="D127" i="9"/>
  <c r="D13" i="52" s="1"/>
  <c r="Y5" i="71"/>
  <c r="Z5" i="71" s="1"/>
  <c r="X5" i="71"/>
  <c r="AB5" i="71"/>
  <c r="AA5" i="71"/>
  <c r="D68" i="39"/>
  <c r="C70" i="39"/>
  <c r="C5" i="43"/>
  <c r="T11" i="43" s="1"/>
  <c r="V11" i="43" s="1"/>
  <c r="D5" i="43"/>
  <c r="T14" i="43"/>
  <c r="V14" i="43" s="1"/>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2" i="71"/>
  <c r="C11" i="71"/>
  <c r="T12" i="43"/>
  <c r="V12" i="43" s="1"/>
  <c r="Y13" i="71"/>
  <c r="Z13" i="71" s="1"/>
  <c r="Y12" i="71"/>
  <c r="AA13" i="71"/>
  <c r="AB3" i="71"/>
  <c r="C35" i="43"/>
  <c r="E35" i="43" s="1"/>
  <c r="C36" i="43"/>
  <c r="E36" i="43" s="1"/>
  <c r="T9" i="43"/>
  <c r="V9" i="43" s="1"/>
  <c r="C39" i="43"/>
  <c r="C37" i="43"/>
  <c r="E37" i="43" s="1"/>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C34" i="43"/>
  <c r="T10" i="43"/>
  <c r="V10" i="43" s="1"/>
  <c r="C33" i="43"/>
  <c r="T13" i="43"/>
  <c r="V13" i="43" s="1"/>
  <c r="C38" i="43"/>
  <c r="G36" i="43"/>
  <c r="I36"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67"/>
  <c r="C17" i="67"/>
  <c r="C17" i="15"/>
  <c r="C16" i="15"/>
  <c r="F27" i="68"/>
  <c r="C14" i="15"/>
  <c r="C16" i="67"/>
  <c r="C36" i="68"/>
  <c r="G1" i="73"/>
  <c r="F48" i="69" l="1"/>
  <c r="C30" i="69"/>
  <c r="F48" i="68"/>
  <c r="C30" i="68"/>
  <c r="C48" i="68"/>
  <c r="AZ5" i="3"/>
  <c r="AY6" i="3" s="1"/>
  <c r="AZ48" i="3"/>
  <c r="F31" i="6"/>
  <c r="E31" i="6"/>
  <c r="C104" i="43"/>
  <c r="P7" i="1"/>
  <c r="M16" i="1"/>
  <c r="E62" i="39"/>
  <c r="E65" i="39"/>
  <c r="E536" i="3"/>
  <c r="F28" i="12"/>
  <c r="C29" i="12" s="1"/>
  <c r="D28" i="12" s="1"/>
  <c r="E503" i="3"/>
  <c r="E568" i="3"/>
  <c r="E347" i="3"/>
  <c r="E59" i="40"/>
  <c r="E183" i="3"/>
  <c r="E549" i="3"/>
  <c r="I6" i="3"/>
  <c r="E397" i="3"/>
  <c r="E399" i="3"/>
  <c r="E153" i="3"/>
  <c r="C105" i="43"/>
  <c r="H107" i="43"/>
  <c r="H104" i="43"/>
  <c r="F27" i="69"/>
  <c r="E528" i="3"/>
  <c r="E361" i="3"/>
  <c r="E434" i="3"/>
  <c r="AK6" i="3"/>
  <c r="E16" i="3"/>
  <c r="E511" i="3"/>
  <c r="E314" i="3"/>
  <c r="E293" i="3"/>
  <c r="E280" i="3"/>
  <c r="AA6" i="3"/>
  <c r="E508" i="3"/>
  <c r="E53" i="3"/>
  <c r="C29" i="68"/>
  <c r="D27" i="68" s="1"/>
  <c r="F45" i="68"/>
  <c r="C102" i="43"/>
  <c r="H106" i="43"/>
  <c r="G103" i="43"/>
  <c r="E3" i="6"/>
  <c r="E237" i="3"/>
  <c r="E304" i="3"/>
  <c r="E565" i="3"/>
  <c r="E213" i="3"/>
  <c r="E17" i="3"/>
  <c r="E302" i="3"/>
  <c r="E402" i="3"/>
  <c r="E578" i="3"/>
  <c r="E586" i="3"/>
  <c r="AI6" i="3"/>
  <c r="AN6" i="3"/>
  <c r="E518" i="3"/>
  <c r="E495" i="3"/>
  <c r="E385" i="3"/>
  <c r="E353" i="3"/>
  <c r="E128" i="3"/>
  <c r="E165" i="3"/>
  <c r="E246" i="3"/>
  <c r="E336" i="3"/>
  <c r="X6" i="3"/>
  <c r="E583" i="3"/>
  <c r="E328" i="3"/>
  <c r="E426" i="3"/>
  <c r="E501" i="3"/>
  <c r="E205" i="3"/>
  <c r="E227" i="3"/>
  <c r="E352" i="3"/>
  <c r="E461" i="3"/>
  <c r="E510" i="3"/>
  <c r="E567" i="3"/>
  <c r="E545" i="3"/>
  <c r="E539" i="3"/>
  <c r="E329" i="3"/>
  <c r="AJ6" i="3"/>
  <c r="N6" i="3"/>
  <c r="E305" i="3"/>
  <c r="E343" i="3"/>
  <c r="E319" i="3"/>
  <c r="E530" i="3"/>
  <c r="E175" i="3"/>
  <c r="C38" i="69"/>
  <c r="E322" i="3"/>
  <c r="E282" i="3"/>
  <c r="E268" i="3"/>
  <c r="E553" i="3"/>
  <c r="E526" i="3"/>
  <c r="E366" i="3"/>
  <c r="E217" i="3"/>
  <c r="E125" i="3"/>
  <c r="E269" i="3"/>
  <c r="E393" i="3"/>
  <c r="E390" i="3"/>
  <c r="E564" i="3"/>
  <c r="E116" i="3"/>
  <c r="E296" i="3"/>
  <c r="E563" i="3"/>
  <c r="E493" i="3"/>
  <c r="E105" i="3"/>
  <c r="E45" i="3"/>
  <c r="E136" i="3"/>
  <c r="E418" i="3"/>
  <c r="E569" i="3"/>
  <c r="E555" i="3"/>
  <c r="T6" i="3"/>
  <c r="E534" i="3"/>
  <c r="E525" i="3"/>
  <c r="E369" i="3"/>
  <c r="E173" i="3"/>
  <c r="E224" i="3"/>
  <c r="E89" i="3"/>
  <c r="E236" i="3"/>
  <c r="E262" i="3"/>
  <c r="E306" i="3"/>
  <c r="E523" i="3"/>
  <c r="E229" i="3"/>
  <c r="E239" i="3"/>
  <c r="E337" i="3"/>
  <c r="E260" i="3"/>
  <c r="E560" i="3"/>
  <c r="E573" i="3"/>
  <c r="Q6" i="3"/>
  <c r="E532" i="3"/>
  <c r="K6" i="3"/>
  <c r="E519" i="3"/>
  <c r="E330" i="3"/>
  <c r="E313" i="3"/>
  <c r="E133" i="3"/>
  <c r="E193" i="3"/>
  <c r="E177" i="3"/>
  <c r="E277" i="3"/>
  <c r="E120" i="3"/>
  <c r="E122" i="3"/>
  <c r="E148" i="3"/>
  <c r="E156" i="3"/>
  <c r="E196" i="3"/>
  <c r="E244" i="3"/>
  <c r="E368" i="3"/>
  <c r="E453" i="3"/>
  <c r="E506" i="3"/>
  <c r="S6" i="3"/>
  <c r="E151" i="3"/>
  <c r="E396" i="3"/>
  <c r="E516" i="3"/>
  <c r="E445" i="3"/>
  <c r="E69" i="3"/>
  <c r="E410" i="3"/>
  <c r="E388" i="3"/>
  <c r="E415" i="3"/>
  <c r="D117" i="43"/>
  <c r="E117" i="43" s="1"/>
  <c r="F117" i="43" s="1"/>
  <c r="G117" i="43" s="1"/>
  <c r="H117" i="43" s="1"/>
  <c r="K20" i="6"/>
  <c r="M20" i="6" s="1"/>
  <c r="I20" i="6" s="1"/>
  <c r="S20" i="6" s="1"/>
  <c r="E197" i="3"/>
  <c r="E238" i="3"/>
  <c r="E223" i="3"/>
  <c r="E85" i="3"/>
  <c r="E140" i="3"/>
  <c r="E157" i="3"/>
  <c r="E181" i="3"/>
  <c r="E228" i="3"/>
  <c r="E188" i="3"/>
  <c r="E99" i="3"/>
  <c r="E191" i="3"/>
  <c r="E159" i="3"/>
  <c r="E245" i="3"/>
  <c r="E301" i="3"/>
  <c r="E263" i="3"/>
  <c r="E303" i="3"/>
  <c r="E382" i="3"/>
  <c r="E350" i="3"/>
  <c r="E423" i="3"/>
  <c r="E538" i="3"/>
  <c r="E561" i="3"/>
  <c r="AR6" i="3"/>
  <c r="E533" i="3"/>
  <c r="E270" i="3"/>
  <c r="E201" i="3"/>
  <c r="E247" i="3"/>
  <c r="E431" i="3"/>
  <c r="E579" i="3"/>
  <c r="E509" i="3"/>
  <c r="E535" i="3"/>
  <c r="E172" i="3"/>
  <c r="E278" i="3"/>
  <c r="E285" i="3"/>
  <c r="E359" i="3"/>
  <c r="E574" i="3"/>
  <c r="O6" i="3"/>
  <c r="E550" i="3"/>
  <c r="E395" i="3"/>
  <c r="E143" i="3"/>
  <c r="E358" i="3"/>
  <c r="E559" i="3"/>
  <c r="E551" i="3"/>
  <c r="V6" i="3"/>
  <c r="E407" i="3"/>
  <c r="E387" i="3"/>
  <c r="E320" i="3"/>
  <c r="E335" i="3"/>
  <c r="E294" i="3"/>
  <c r="E215" i="3"/>
  <c r="E230" i="3"/>
  <c r="E189" i="3"/>
  <c r="E130" i="3"/>
  <c r="E134" i="3"/>
  <c r="E254" i="3"/>
  <c r="E91" i="3"/>
  <c r="E221" i="3"/>
  <c r="E180" i="3"/>
  <c r="E97" i="3"/>
  <c r="E311" i="3"/>
  <c r="E514" i="3"/>
  <c r="E570" i="3"/>
  <c r="M6" i="3"/>
  <c r="AB6" i="3"/>
  <c r="E439" i="3"/>
  <c r="E338" i="3"/>
  <c r="E380" i="3"/>
  <c r="E321" i="3"/>
  <c r="E231" i="3"/>
  <c r="E298" i="3"/>
  <c r="E216" i="3"/>
  <c r="E169" i="3"/>
  <c r="E185" i="3"/>
  <c r="E61" i="3"/>
  <c r="E135" i="3"/>
  <c r="E290" i="3"/>
  <c r="E161" i="3"/>
  <c r="E117" i="3"/>
  <c r="E149" i="3"/>
  <c r="E77" i="3"/>
  <c r="E212" i="3"/>
  <c r="E253" i="3"/>
  <c r="E167" i="3"/>
  <c r="E199" i="3"/>
  <c r="E141" i="3"/>
  <c r="E286" i="3"/>
  <c r="E312" i="3"/>
  <c r="E575" i="3"/>
  <c r="AD6" i="3"/>
  <c r="E499" i="3"/>
  <c r="E542" i="3"/>
  <c r="R6" i="3"/>
  <c r="E552"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252" i="3"/>
  <c r="E204" i="3"/>
  <c r="E164" i="3"/>
  <c r="E327" i="3"/>
  <c r="E576" i="3"/>
  <c r="Z6" i="3"/>
  <c r="AG6"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207" i="3"/>
  <c r="E271" i="3"/>
  <c r="E145" i="3"/>
  <c r="E107" i="3"/>
  <c r="E379" i="3"/>
  <c r="E585" i="3"/>
  <c r="U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D118" i="43"/>
  <c r="E118" i="43" s="1"/>
  <c r="F118" i="43" s="1"/>
  <c r="K22" i="6"/>
  <c r="M22" i="6" s="1"/>
  <c r="I22" i="6" s="1"/>
  <c r="S22" i="6" s="1"/>
  <c r="K23" i="6"/>
  <c r="M23" i="6" s="1"/>
  <c r="I23" i="6" s="1"/>
  <c r="S23" i="6" s="1"/>
  <c r="K24" i="6"/>
  <c r="M24" i="6" s="1"/>
  <c r="I24" i="6" s="1"/>
  <c r="S24" i="6" s="1"/>
  <c r="K26" i="6"/>
  <c r="M26" i="6" s="1"/>
  <c r="I26" i="6" s="1"/>
  <c r="S26" i="6" s="1"/>
  <c r="K19" i="6"/>
  <c r="S6" i="1" s="1"/>
  <c r="K25" i="6"/>
  <c r="M25" i="6" s="1"/>
  <c r="I25" i="6" s="1"/>
  <c r="S25" i="6" s="1"/>
  <c r="E58" i="40"/>
  <c r="E63" i="39"/>
  <c r="E16" i="6"/>
  <c r="C47" i="68"/>
  <c r="D45" i="68" s="1"/>
  <c r="D115" i="43"/>
  <c r="E115" i="43" s="1"/>
  <c r="F115" i="43" s="1"/>
  <c r="G115" i="43" s="1"/>
  <c r="H115" i="43" s="1"/>
  <c r="I118" i="43"/>
  <c r="J118" i="43" s="1"/>
  <c r="K118" i="43" s="1"/>
  <c r="L118" i="43" s="1"/>
  <c r="M118" i="43" s="1"/>
  <c r="J106" i="43"/>
  <c r="J102" i="43"/>
  <c r="J107" i="43"/>
  <c r="I115" i="43"/>
  <c r="G118" i="43"/>
  <c r="H118" i="43" s="1"/>
  <c r="B118" i="43"/>
  <c r="C118" i="43" s="1"/>
  <c r="I116" i="43"/>
  <c r="J116" i="43" s="1"/>
  <c r="K116" i="43" s="1"/>
  <c r="L116" i="43" s="1"/>
  <c r="M116" i="43" s="1"/>
  <c r="D116" i="43"/>
  <c r="E116" i="43" s="1"/>
  <c r="F116" i="43" s="1"/>
  <c r="G116" i="43" s="1"/>
  <c r="H116" i="43" s="1"/>
  <c r="B116" i="43"/>
  <c r="C116" i="43" s="1"/>
  <c r="I117" i="43"/>
  <c r="J117" i="43" s="1"/>
  <c r="K117" i="43" s="1"/>
  <c r="L117" i="43" s="1"/>
  <c r="M117" i="43" s="1"/>
  <c r="B117" i="43"/>
  <c r="C117" i="43" s="1"/>
  <c r="D22" i="43"/>
  <c r="J109" i="43"/>
  <c r="J103" i="43"/>
  <c r="J104" i="43"/>
  <c r="C29" i="11"/>
  <c r="D27" i="11" s="1"/>
  <c r="C47" i="11"/>
  <c r="D45" i="11" s="1"/>
  <c r="H102" i="43"/>
  <c r="H103" i="43"/>
  <c r="H105" i="43"/>
  <c r="G104" i="43"/>
  <c r="G109" i="43"/>
  <c r="G107" i="43"/>
  <c r="G106" i="43"/>
  <c r="L109" i="43"/>
  <c r="L102" i="43"/>
  <c r="L105" i="43"/>
  <c r="L104" i="43"/>
  <c r="L106" i="43"/>
  <c r="L107" i="43"/>
  <c r="L103" i="43"/>
  <c r="C103" i="43"/>
  <c r="C109" i="43"/>
  <c r="C107" i="43"/>
  <c r="C18" i="15"/>
  <c r="C15" i="15"/>
  <c r="O16" i="1"/>
  <c r="AY87" i="3"/>
  <c r="AY144" i="3"/>
  <c r="AY152" i="3"/>
  <c r="AY253" i="3"/>
  <c r="AY303" i="3"/>
  <c r="AY460" i="3"/>
  <c r="AY529" i="3"/>
  <c r="AY18" i="3"/>
  <c r="AY90" i="3"/>
  <c r="AY75" i="3"/>
  <c r="AY387" i="3"/>
  <c r="AY444" i="3"/>
  <c r="AY180" i="3"/>
  <c r="AY228" i="3"/>
  <c r="AY358" i="3"/>
  <c r="AY465" i="3"/>
  <c r="AY433" i="3"/>
  <c r="BK6" i="3"/>
  <c r="AY541" i="3"/>
  <c r="AY108" i="3"/>
  <c r="AY45" i="3"/>
  <c r="AY28" i="3"/>
  <c r="AY201" i="3"/>
  <c r="AY138" i="3"/>
  <c r="AY118" i="3"/>
  <c r="AY294" i="3"/>
  <c r="AY103" i="3"/>
  <c r="AY183" i="3"/>
  <c r="AY319" i="3"/>
  <c r="AY269" i="3"/>
  <c r="AY311" i="3"/>
  <c r="AY535" i="3"/>
  <c r="AY555" i="3"/>
  <c r="AY68" i="3"/>
  <c r="AY178" i="3"/>
  <c r="AY117" i="3"/>
  <c r="AY270"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196" i="3"/>
  <c r="AY74" i="3"/>
  <c r="AY204" i="3"/>
  <c r="AY363" i="3"/>
  <c r="AY412" i="3"/>
  <c r="AY116" i="3"/>
  <c r="AY212" i="3"/>
  <c r="AY343" i="3"/>
  <c r="AY478" i="3"/>
  <c r="AY417" i="3"/>
  <c r="AY573" i="3"/>
  <c r="AY539" i="3"/>
  <c r="AY100" i="3"/>
  <c r="AY84" i="3"/>
  <c r="AY20" i="3"/>
  <c r="AY193" i="3"/>
  <c r="AY173" i="3"/>
  <c r="AY134" i="3"/>
  <c r="AY286" i="3"/>
  <c r="AY231" i="3"/>
  <c r="AY246" i="3"/>
  <c r="AY214"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P16" i="1"/>
  <c r="C11" i="12" s="1"/>
  <c r="D3" i="34"/>
  <c r="D3" i="33"/>
  <c r="E6" i="6"/>
  <c r="D37" i="11"/>
  <c r="C37" i="11" s="1"/>
  <c r="D14" i="12"/>
  <c r="M18" i="9"/>
  <c r="B118" i="9" s="1"/>
  <c r="B14" i="74" s="1"/>
  <c r="B1" i="74" s="1"/>
  <c r="C8" i="74" s="1"/>
  <c r="D3" i="21"/>
  <c r="D19" i="11"/>
  <c r="C19" i="11" s="1"/>
  <c r="D3" i="37"/>
  <c r="C17" i="4"/>
  <c r="B4" i="52" s="1"/>
  <c r="B43" i="72" s="1"/>
  <c r="L18" i="9"/>
  <c r="M104" i="43"/>
  <c r="M107" i="43"/>
  <c r="M105" i="43"/>
  <c r="M109" i="43"/>
  <c r="M102" i="43"/>
  <c r="M103" i="43"/>
  <c r="M106" i="43"/>
  <c r="E104" i="43"/>
  <c r="E107" i="43"/>
  <c r="E105" i="43"/>
  <c r="E106" i="43"/>
  <c r="E109" i="43"/>
  <c r="E102" i="43"/>
  <c r="E103" i="43"/>
  <c r="K107" i="43"/>
  <c r="K104" i="43"/>
  <c r="K106" i="43"/>
  <c r="K109" i="43"/>
  <c r="K103" i="43"/>
  <c r="K102" i="43"/>
  <c r="K105" i="43"/>
  <c r="N103" i="43"/>
  <c r="N106" i="43"/>
  <c r="N107" i="43"/>
  <c r="N109" i="43"/>
  <c r="N102" i="43"/>
  <c r="N105" i="43"/>
  <c r="N104" i="43"/>
  <c r="F107" i="43"/>
  <c r="F106" i="43"/>
  <c r="F103" i="43"/>
  <c r="F109" i="43"/>
  <c r="F104" i="43"/>
  <c r="F102" i="43"/>
  <c r="F105" i="43"/>
  <c r="D103" i="43"/>
  <c r="D104" i="43"/>
  <c r="D107" i="43"/>
  <c r="D109" i="43"/>
  <c r="D105" i="43"/>
  <c r="D106" i="43"/>
  <c r="D102" i="43"/>
  <c r="I102" i="43"/>
  <c r="I106" i="43"/>
  <c r="I103" i="43"/>
  <c r="I109" i="43"/>
  <c r="I104" i="43"/>
  <c r="I107" i="43"/>
  <c r="I105" i="43"/>
  <c r="J10" i="40"/>
  <c r="AC10" i="40" s="1"/>
  <c r="H10" i="39"/>
  <c r="AB10" i="39" s="1"/>
  <c r="F10" i="40"/>
  <c r="S10" i="40" s="1"/>
  <c r="J10" i="39"/>
  <c r="AC10" i="39" s="1"/>
  <c r="H10" i="40"/>
  <c r="U10" i="40" s="1"/>
  <c r="B38" i="72"/>
  <c r="D20" i="53"/>
  <c r="B40" i="72" s="1"/>
  <c r="D70" i="39"/>
  <c r="E68" i="39"/>
  <c r="T8" i="43"/>
  <c r="V8" i="43" s="1"/>
  <c r="T16" i="43"/>
  <c r="V16" i="43" s="1"/>
  <c r="T15" i="43"/>
  <c r="V15" i="43" s="1"/>
  <c r="F59" i="67"/>
  <c r="G35" i="43"/>
  <c r="I35" i="43" s="1"/>
  <c r="H7" i="37"/>
  <c r="AB7" i="37" s="1"/>
  <c r="T42" i="37" s="1"/>
  <c r="G42" i="37" s="1"/>
  <c r="B40" i="1"/>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W10" i="40"/>
  <c r="F7" i="33"/>
  <c r="E58" i="21"/>
  <c r="AC7" i="36"/>
  <c r="V36" i="36" s="1"/>
  <c r="I36" i="36" s="1"/>
  <c r="W7" i="36"/>
  <c r="F7" i="37"/>
  <c r="W7" i="34"/>
  <c r="AC7" i="34"/>
  <c r="V49" i="34" s="1"/>
  <c r="I49" i="34" s="1"/>
  <c r="G37" i="43"/>
  <c r="I37" i="43" s="1"/>
  <c r="D11" i="71"/>
  <c r="C10" i="71"/>
  <c r="M17" i="67"/>
  <c r="M17" i="15"/>
  <c r="F59" i="15"/>
  <c r="P24" i="43"/>
  <c r="B66" i="40" s="1"/>
  <c r="P21" i="43"/>
  <c r="C49" i="67"/>
  <c r="E39" i="43"/>
  <c r="G39" i="43"/>
  <c r="I39" i="43" s="1"/>
  <c r="P25" i="43"/>
  <c r="P23" i="43"/>
  <c r="B71" i="39" s="1"/>
  <c r="E38" i="43"/>
  <c r="G38" i="43"/>
  <c r="I38" i="43" s="1"/>
  <c r="G34" i="43"/>
  <c r="I34" i="43" s="1"/>
  <c r="E34" i="43"/>
  <c r="G33" i="43"/>
  <c r="I33" i="43" s="1"/>
  <c r="E33" i="43"/>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Q6" i="1" l="1"/>
  <c r="AR6" i="1"/>
  <c r="S16" i="1"/>
  <c r="T6" i="1"/>
  <c r="AY51" i="3"/>
  <c r="AY34" i="3"/>
  <c r="AY95" i="3"/>
  <c r="AY111" i="3"/>
  <c r="AY382" i="3"/>
  <c r="AY473" i="3"/>
  <c r="AY441" i="3"/>
  <c r="AY98" i="3"/>
  <c r="AY171" i="3"/>
  <c r="AY163" i="3"/>
  <c r="AY237" i="3"/>
  <c r="AY334" i="3"/>
  <c r="AY526" i="3"/>
  <c r="AY245" i="3"/>
  <c r="AY395" i="3"/>
  <c r="AY342" i="3"/>
  <c r="AY452" i="3"/>
  <c r="AY513" i="3"/>
  <c r="AY569" i="3"/>
  <c r="AY553" i="3"/>
  <c r="AY77" i="3"/>
  <c r="AY60" i="3"/>
  <c r="AY206" i="3"/>
  <c r="AY170" i="3"/>
  <c r="AY149" i="3"/>
  <c r="AY299" i="3"/>
  <c r="AY263" i="3"/>
  <c r="AY160" i="3"/>
  <c r="AY284" i="3"/>
  <c r="AY497" i="3"/>
  <c r="AY390" i="3"/>
  <c r="AY447" i="3"/>
  <c r="AY574" i="3"/>
  <c r="AY85" i="3"/>
  <c r="AY25" i="3"/>
  <c r="AY157" i="3"/>
  <c r="AY271"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67" i="3"/>
  <c r="AY139" i="3"/>
  <c r="AY123" i="3"/>
  <c r="AY252" i="3"/>
  <c r="AY489" i="3"/>
  <c r="AY43" i="3"/>
  <c r="AY229" i="3"/>
  <c r="AY379" i="3"/>
  <c r="AY326" i="3"/>
  <c r="AY436" i="3"/>
  <c r="AY557" i="3"/>
  <c r="AY540" i="3"/>
  <c r="AY105" i="3"/>
  <c r="AY69" i="3"/>
  <c r="AY52" i="3"/>
  <c r="AY198" i="3"/>
  <c r="AY162" i="3"/>
  <c r="AY141" i="3"/>
  <c r="AY291" i="3"/>
  <c r="AY255" i="3"/>
  <c r="AY262" i="3"/>
  <c r="AY230" i="3"/>
  <c r="AY219" i="3"/>
  <c r="AY366" i="3"/>
  <c r="AY236" i="3"/>
  <c r="AY168" i="3"/>
  <c r="AY281" i="3"/>
  <c r="AY42" i="3"/>
  <c r="AY124" i="3"/>
  <c r="AY207" i="3"/>
  <c r="C34" i="11"/>
  <c r="N16" i="1"/>
  <c r="L16" i="1"/>
  <c r="AY83" i="3"/>
  <c r="AY66" i="3"/>
  <c r="AY23" i="3"/>
  <c r="AY176" i="3"/>
  <c r="AY155" i="3"/>
  <c r="AY115" i="3"/>
  <c r="AY59" i="3"/>
  <c r="AY188" i="3"/>
  <c r="AY131" i="3"/>
  <c r="AY276" i="3"/>
  <c r="AY58" i="3"/>
  <c r="AY297" i="3"/>
  <c r="AY268" i="3"/>
  <c r="AY225" i="3"/>
  <c r="AY371" i="3"/>
  <c r="AY335" i="3"/>
  <c r="AY318" i="3"/>
  <c r="AY470" i="3"/>
  <c r="AY428" i="3"/>
  <c r="AY409" i="3"/>
  <c r="AY106" i="3"/>
  <c r="AY82" i="3"/>
  <c r="AY191" i="3"/>
  <c r="AY132" i="3"/>
  <c r="AY31" i="3"/>
  <c r="AY292" i="3"/>
  <c r="AY147" i="3"/>
  <c r="AY220" i="3"/>
  <c r="AY350" i="3"/>
  <c r="AY486" i="3"/>
  <c r="AY425"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50" i="3"/>
  <c r="AY289" i="3"/>
  <c r="AY261" i="3"/>
  <c r="AY209" i="3"/>
  <c r="AY455" i="3"/>
  <c r="AY199" i="3"/>
  <c r="AY244" i="3"/>
  <c r="AY355" i="3"/>
  <c r="AY481" i="3"/>
  <c r="AY404" i="3"/>
  <c r="AY562" i="3"/>
  <c r="BO6" i="3"/>
  <c r="AY89" i="3"/>
  <c r="AY53" i="3"/>
  <c r="AY36" i="3"/>
  <c r="AY182" i="3"/>
  <c r="AY146" i="3"/>
  <c r="AY126" i="3"/>
  <c r="AY302" i="3"/>
  <c r="AY239" i="3"/>
  <c r="AY254" i="3"/>
  <c r="E66" i="39"/>
  <c r="AC6" i="3"/>
  <c r="C47" i="69"/>
  <c r="D45" i="69" s="1"/>
  <c r="C29" i="69"/>
  <c r="D27" i="69" s="1"/>
  <c r="F45" i="69"/>
  <c r="H6" i="3"/>
  <c r="E6" i="3" s="1"/>
  <c r="S6" i="43"/>
  <c r="T6" i="43" s="1"/>
  <c r="V6" i="43" s="1"/>
  <c r="U10" i="39"/>
  <c r="C23" i="43"/>
  <c r="C21" i="43" s="1"/>
  <c r="C29" i="43" s="1"/>
  <c r="C30" i="43" s="1"/>
  <c r="E30" i="43" s="1"/>
  <c r="W10" i="39"/>
  <c r="S7" i="43"/>
  <c r="T7" i="43" s="1"/>
  <c r="V7" i="43" s="1"/>
  <c r="S3" i="43"/>
  <c r="T3" i="43" s="1"/>
  <c r="V3" i="43" s="1"/>
  <c r="S2" i="43"/>
  <c r="T2" i="43" s="1"/>
  <c r="V2" i="43" s="1"/>
  <c r="S5" i="43"/>
  <c r="T5" i="43" s="1"/>
  <c r="V5" i="43" s="1"/>
  <c r="S4" i="43"/>
  <c r="T4" i="43" s="1"/>
  <c r="V4" i="43" s="1"/>
  <c r="K27" i="6"/>
  <c r="M19" i="6"/>
  <c r="C19" i="15"/>
  <c r="C20" i="15" s="1"/>
  <c r="C26" i="15" s="1"/>
  <c r="C26" i="43"/>
  <c r="AA10" i="40"/>
  <c r="AB10" i="40"/>
  <c r="J115" i="43"/>
  <c r="K115" i="43" s="1"/>
  <c r="L115" i="43" s="1"/>
  <c r="M115" i="43" s="1"/>
  <c r="C15" i="12"/>
  <c r="C12" i="12"/>
  <c r="M19" i="9"/>
  <c r="C118" i="9" s="1"/>
  <c r="C14" i="74" s="1"/>
  <c r="B2" i="74" s="1"/>
  <c r="D8" i="74" s="1"/>
  <c r="D25" i="6"/>
  <c r="D15" i="6"/>
  <c r="D22" i="6"/>
  <c r="D21" i="6"/>
  <c r="D24" i="6"/>
  <c r="D20" i="6"/>
  <c r="H20" i="6"/>
  <c r="D19" i="6"/>
  <c r="D26" i="6"/>
  <c r="C18" i="4"/>
  <c r="D8" i="6"/>
  <c r="D23" i="6"/>
  <c r="D14" i="6"/>
  <c r="D5" i="6"/>
  <c r="D12" i="6"/>
  <c r="D11" i="6"/>
  <c r="D13" i="6"/>
  <c r="D28" i="6"/>
  <c r="E61" i="40"/>
  <c r="H23" i="6"/>
  <c r="H26" i="6"/>
  <c r="D6" i="6"/>
  <c r="D9" i="6"/>
  <c r="D10" i="6"/>
  <c r="L19" i="9"/>
  <c r="D29" i="6"/>
  <c r="H25" i="6"/>
  <c r="H22" i="6"/>
  <c r="H21" i="6"/>
  <c r="H24" i="6"/>
  <c r="C20" i="11"/>
  <c r="C28" i="11" s="1"/>
  <c r="C27" i="11" s="1"/>
  <c r="D17" i="12"/>
  <c r="C17" i="12" s="1"/>
  <c r="C14" i="12"/>
  <c r="D10" i="11"/>
  <c r="C10" i="11" s="1"/>
  <c r="D20" i="12"/>
  <c r="C20" i="12" s="1"/>
  <c r="C18" i="12" s="1"/>
  <c r="D10" i="69"/>
  <c r="F68" i="39"/>
  <c r="E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C27" i="43"/>
  <c r="J26" i="67"/>
  <c r="J29" i="67" s="1"/>
  <c r="J24" i="67"/>
  <c r="J24" i="15"/>
  <c r="J26" i="15"/>
  <c r="C53" i="67"/>
  <c r="C48" i="67" s="1"/>
  <c r="C10" i="67"/>
  <c r="C5" i="67" s="1"/>
  <c r="C53" i="15"/>
  <c r="C48" i="15" s="1"/>
  <c r="C10" i="15"/>
  <c r="C5" i="15" s="1"/>
  <c r="F25" i="12"/>
  <c r="F22" i="69"/>
  <c r="F41" i="69" s="1"/>
  <c r="F24" i="67"/>
  <c r="C24" i="67" s="1"/>
  <c r="F22" i="11"/>
  <c r="F22" i="68"/>
  <c r="F24" i="15"/>
  <c r="C24" i="15" s="1"/>
  <c r="F41" i="15"/>
  <c r="E6" i="76"/>
  <c r="C34" i="68"/>
  <c r="D10" i="68"/>
  <c r="F69" i="15" l="1"/>
  <c r="J29" i="15"/>
  <c r="C35" i="68"/>
  <c r="C38" i="68"/>
  <c r="T16" i="1"/>
  <c r="D113" i="43"/>
  <c r="F50" i="11"/>
  <c r="F50" i="68"/>
  <c r="F50" i="69"/>
  <c r="C38" i="11"/>
  <c r="C35" i="11"/>
  <c r="E29" i="43"/>
  <c r="M27" i="6"/>
  <c r="I19" i="6"/>
  <c r="D30" i="6"/>
  <c r="D16" i="6"/>
  <c r="C16" i="12"/>
  <c r="C21" i="12" s="1"/>
  <c r="R20" i="6"/>
  <c r="C10" i="68"/>
  <c r="C8" i="68" s="1"/>
  <c r="C5" i="68" s="1"/>
  <c r="D19" i="68"/>
  <c r="R26" i="6"/>
  <c r="R24" i="6"/>
  <c r="R22" i="6"/>
  <c r="R25" i="6"/>
  <c r="C10" i="69"/>
  <c r="C8" i="69" s="1"/>
  <c r="C5" i="69" s="1"/>
  <c r="C23" i="69" s="1"/>
  <c r="D19" i="69"/>
  <c r="R23" i="6"/>
  <c r="A7" i="51"/>
  <c r="B7" i="72" s="1"/>
  <c r="A10" i="51"/>
  <c r="B9" i="72" s="1"/>
  <c r="C4" i="52"/>
  <c r="B45" i="72" s="1"/>
  <c r="D27" i="6"/>
  <c r="D31" i="6" s="1"/>
  <c r="R21" i="6"/>
  <c r="G68" i="39"/>
  <c r="F70" i="39"/>
  <c r="D8" i="71"/>
  <c r="C7" i="7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E2" i="76"/>
  <c r="B2" i="43"/>
  <c r="C60" i="15"/>
  <c r="C66" i="15"/>
  <c r="C23" i="15"/>
  <c r="C29" i="15" s="1"/>
  <c r="C26" i="69"/>
  <c r="D22" i="69" s="1"/>
  <c r="C44" i="69"/>
  <c r="D41" i="69" s="1"/>
  <c r="C44" i="68"/>
  <c r="D41" i="68" s="1"/>
  <c r="C23" i="68"/>
  <c r="C26" i="68"/>
  <c r="D22" i="68" s="1"/>
  <c r="C26" i="12"/>
  <c r="D25" i="12" s="1"/>
  <c r="C44" i="11"/>
  <c r="D41" i="11" s="1"/>
  <c r="C23" i="11"/>
  <c r="C24" i="11"/>
  <c r="C25" i="11"/>
  <c r="C26" i="11"/>
  <c r="D22" i="11" s="1"/>
  <c r="C38" i="67"/>
  <c r="C38" i="15"/>
  <c r="C66" i="67"/>
  <c r="C60" i="67"/>
  <c r="C23" i="67"/>
  <c r="C29" i="67" s="1"/>
  <c r="B6" i="76"/>
  <c r="C33" i="11" l="1"/>
  <c r="C39" i="11" s="1"/>
  <c r="S19" i="6"/>
  <c r="S27" i="6" s="1"/>
  <c r="I27" i="6"/>
  <c r="H19" i="6"/>
  <c r="C22" i="12"/>
  <c r="C30" i="12" s="1"/>
  <c r="C28" i="12" s="1"/>
  <c r="C19" i="69"/>
  <c r="C24" i="69" s="1"/>
  <c r="D37" i="69"/>
  <c r="C37" i="69" s="1"/>
  <c r="C33" i="69" s="1"/>
  <c r="C19" i="68"/>
  <c r="D37" i="68"/>
  <c r="C37" i="68" s="1"/>
  <c r="C33" i="68" s="1"/>
  <c r="I5" i="6"/>
  <c r="I6" i="6"/>
  <c r="C20" i="69"/>
  <c r="G70" i="39"/>
  <c r="H68" i="39"/>
  <c r="D7" i="71"/>
  <c r="C6" i="71"/>
  <c r="C5" i="71" s="1"/>
  <c r="D5" i="71" s="1"/>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76" s="1"/>
  <c r="B3" i="43"/>
  <c r="J14" i="15"/>
  <c r="C57" i="15"/>
  <c r="C61" i="15" s="1"/>
  <c r="C36" i="15"/>
  <c r="C33" i="15"/>
  <c r="C13" i="15"/>
  <c r="F3" i="79" s="1"/>
  <c r="Q49" i="15"/>
  <c r="J19" i="15"/>
  <c r="J59" i="15"/>
  <c r="J60" i="15" s="1"/>
  <c r="C22" i="11"/>
  <c r="C31" i="11" s="1"/>
  <c r="C36" i="67"/>
  <c r="C33" i="67"/>
  <c r="C31" i="67" s="1"/>
  <c r="J14" i="67"/>
  <c r="C13" i="67"/>
  <c r="J19" i="67"/>
  <c r="J17" i="67" s="1"/>
  <c r="C57" i="67"/>
  <c r="C61" i="67" s="1"/>
  <c r="Q49" i="67"/>
  <c r="J59" i="67"/>
  <c r="J60" i="67" s="1"/>
  <c r="G3" i="79" l="1"/>
  <c r="F5" i="79"/>
  <c r="C42" i="11"/>
  <c r="C46" i="11"/>
  <c r="C45" i="11" s="1"/>
  <c r="C43" i="11"/>
  <c r="H27" i="6"/>
  <c r="R19" i="6"/>
  <c r="C27" i="12"/>
  <c r="C25" i="12" s="1"/>
  <c r="C32" i="12" s="1"/>
  <c r="B2" i="12" s="1"/>
  <c r="B3" i="12" s="1"/>
  <c r="C39" i="68"/>
  <c r="C42" i="68"/>
  <c r="C39" i="69"/>
  <c r="C43" i="69" s="1"/>
  <c r="C42" i="69"/>
  <c r="C28" i="69"/>
  <c r="C27" i="69" s="1"/>
  <c r="C25" i="69"/>
  <c r="C22" i="69" s="1"/>
  <c r="C20" i="68"/>
  <c r="C25" i="68" s="1"/>
  <c r="C24" i="68"/>
  <c r="I68" i="39"/>
  <c r="H70" i="39"/>
  <c r="D6" i="71"/>
  <c r="M20" i="43"/>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C22" i="68" l="1"/>
  <c r="C41" i="69"/>
  <c r="C31" i="69"/>
  <c r="C41" i="11"/>
  <c r="C49" i="11" s="1"/>
  <c r="C51" i="11" s="1"/>
  <c r="C52" i="11" s="1"/>
  <c r="B2" i="11" s="1"/>
  <c r="B3" i="11" s="1"/>
  <c r="R27" i="6"/>
  <c r="R6" i="1"/>
  <c r="C46" i="69"/>
  <c r="C45" i="69" s="1"/>
  <c r="C28" i="68"/>
  <c r="C27" i="68" s="1"/>
  <c r="C46" i="68"/>
  <c r="C45" i="68" s="1"/>
  <c r="C43" i="68"/>
  <c r="C41" i="68" s="1"/>
  <c r="I70" i="39"/>
  <c r="J68" i="39"/>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F35" i="15"/>
  <c r="M21" i="15"/>
  <c r="C49" i="69" l="1"/>
  <c r="C51" i="69" s="1"/>
  <c r="C52" i="69" s="1"/>
  <c r="J20" i="15"/>
  <c r="J17" i="15" s="1"/>
  <c r="J16" i="15" s="1"/>
  <c r="J25" i="15" s="1"/>
  <c r="C34" i="15"/>
  <c r="C31" i="15" s="1"/>
  <c r="C30" i="15" s="1"/>
  <c r="C39" i="15" s="1"/>
  <c r="F63" i="15"/>
  <c r="C62" i="15" s="1"/>
  <c r="C59" i="15" s="1"/>
  <c r="C58" i="15" s="1"/>
  <c r="C67" i="15" s="1"/>
  <c r="C68" i="15" s="1"/>
  <c r="C71" i="15" s="1"/>
  <c r="R16" i="1"/>
  <c r="C31" i="68"/>
  <c r="C49" i="68"/>
  <c r="C51" i="68" s="1"/>
  <c r="C56" i="11"/>
  <c r="C57" i="11" s="1"/>
  <c r="B2" i="69"/>
  <c r="B3" i="69" s="1"/>
  <c r="K68" i="39"/>
  <c r="J70"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L51" i="15"/>
  <c r="C57" i="69" l="1"/>
  <c r="C56" i="69" s="1"/>
  <c r="L57" i="15"/>
  <c r="L60" i="15" s="1"/>
  <c r="L46" i="15" s="1"/>
  <c r="Q67" i="15"/>
  <c r="C52" i="68"/>
  <c r="B2" i="68" s="1"/>
  <c r="C40" i="15"/>
  <c r="C80" i="15"/>
  <c r="C79" i="15" s="1"/>
  <c r="Q69" i="15"/>
  <c r="Q68" i="15" s="1"/>
  <c r="C57" i="68"/>
  <c r="C56" i="68" s="1"/>
  <c r="K70" i="39"/>
  <c r="L68"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C19" i="9"/>
  <c r="B3" i="68"/>
  <c r="D35" i="9" s="1"/>
  <c r="D34" i="9"/>
  <c r="C102" i="9" l="1"/>
  <c r="C21" i="9"/>
  <c r="Q57" i="15"/>
  <c r="Q66" i="15"/>
  <c r="B2" i="15"/>
  <c r="Q65" i="15"/>
  <c r="Q75" i="15" s="1"/>
  <c r="Q47" i="15"/>
  <c r="Q53" i="15" s="1"/>
  <c r="C46" i="15"/>
  <c r="Q56" i="15"/>
  <c r="Q62" i="15" s="1"/>
  <c r="C43" i="15"/>
  <c r="C83" i="15"/>
  <c r="C82" i="15" s="1"/>
  <c r="L70" i="39"/>
  <c r="M68" i="39"/>
  <c r="R39" i="35"/>
  <c r="E38" i="35"/>
  <c r="M63" i="40"/>
  <c r="L65" i="40"/>
  <c r="AO6" i="1"/>
  <c r="C20" i="9"/>
  <c r="D19" i="9"/>
  <c r="C103" i="9" l="1"/>
  <c r="D102" i="9"/>
  <c r="D21" i="9"/>
  <c r="D22" i="9"/>
  <c r="G19" i="9"/>
  <c r="B6" i="70"/>
  <c r="B2" i="70" s="1"/>
  <c r="B3" i="70" s="1"/>
  <c r="B3" i="15"/>
  <c r="M70" i="39"/>
  <c r="N68" i="39"/>
  <c r="C39" i="35"/>
  <c r="B2" i="35" s="1"/>
  <c r="B3" i="35" s="1"/>
  <c r="C38" i="35"/>
  <c r="N63" i="40"/>
  <c r="M65" i="40"/>
  <c r="E43" i="35"/>
  <c r="F43" i="35" s="1"/>
  <c r="E42" i="35"/>
  <c r="F42" i="35" s="1"/>
  <c r="I43" i="35"/>
  <c r="J43" i="35" s="1"/>
  <c r="D20" i="9"/>
  <c r="G21" i="9" l="1"/>
  <c r="D103" i="9"/>
  <c r="G20" i="9"/>
  <c r="O68" i="39"/>
  <c r="O70" i="39" s="1"/>
  <c r="N70" i="39"/>
  <c r="F7" i="39" s="1"/>
  <c r="H7" i="39"/>
  <c r="J7" i="39"/>
  <c r="O63" i="40"/>
  <c r="O65" i="40" s="1"/>
  <c r="N65" i="40"/>
  <c r="C32" i="9" l="1"/>
  <c r="C35" i="9" s="1"/>
  <c r="C34" i="9" s="1"/>
  <c r="U27" i="1"/>
  <c r="U22" i="1" s="1"/>
  <c r="W7" i="39"/>
  <c r="AC7" i="39"/>
  <c r="V47" i="39" s="1"/>
  <c r="I47" i="39" s="1"/>
  <c r="S7" i="39"/>
  <c r="AA7" i="39"/>
  <c r="R47" i="39" s="1"/>
  <c r="U7" i="39"/>
  <c r="AB7" i="39"/>
  <c r="T47" i="39" s="1"/>
  <c r="G47" i="39" s="1"/>
  <c r="J7" i="40"/>
  <c r="F7" i="40"/>
  <c r="H7" i="40"/>
  <c r="G51" i="39" l="1"/>
  <c r="H51" i="39" s="1"/>
  <c r="G52" i="39"/>
  <c r="H52" i="39" s="1"/>
  <c r="E47" i="39"/>
  <c r="I52" i="39" s="1"/>
  <c r="J52" i="39" s="1"/>
  <c r="R48" i="39"/>
  <c r="I51" i="39"/>
  <c r="J51" i="39" s="1"/>
  <c r="U7" i="40"/>
  <c r="AB7" i="40"/>
  <c r="T42" i="40" s="1"/>
  <c r="G42" i="40" s="1"/>
  <c r="AA7" i="40"/>
  <c r="R42" i="40" s="1"/>
  <c r="S7" i="40"/>
  <c r="AC7" i="40"/>
  <c r="V42" i="40" s="1"/>
  <c r="I42" i="40" s="1"/>
  <c r="W7" i="40"/>
  <c r="C48" i="39" l="1"/>
  <c r="C47" i="39"/>
  <c r="E52" i="39"/>
  <c r="F52" i="39" s="1"/>
  <c r="E51" i="39"/>
  <c r="F51" i="39" s="1"/>
  <c r="I46" i="40"/>
  <c r="J46" i="40" s="1"/>
  <c r="R43" i="40"/>
  <c r="E42" i="40"/>
  <c r="G47" i="40"/>
  <c r="H47" i="40" s="1"/>
  <c r="G46" i="40"/>
  <c r="H46" i="40" s="1"/>
  <c r="B56" i="39" l="1"/>
  <c r="F56" i="39" s="1"/>
  <c r="F66" i="39" s="1"/>
  <c r="B2" i="39" s="1"/>
  <c r="B3" i="39" s="1"/>
  <c r="B64" i="39"/>
  <c r="F64" i="39" s="1"/>
  <c r="B65" i="39"/>
  <c r="F65" i="39" s="1"/>
  <c r="B61" i="39"/>
  <c r="F61" i="39" s="1"/>
  <c r="B60" i="39"/>
  <c r="F60" i="39" s="1"/>
  <c r="B57" i="39"/>
  <c r="F57" i="39" s="1"/>
  <c r="B58" i="39"/>
  <c r="F58" i="39" s="1"/>
  <c r="B63" i="39"/>
  <c r="F63" i="39" s="1"/>
  <c r="B59" i="39"/>
  <c r="F59" i="39" s="1"/>
  <c r="B62" i="39"/>
  <c r="F62" i="39" s="1"/>
  <c r="C42" i="40"/>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107" i="9"/>
  <c r="D13" i="53" s="1"/>
  <c r="D122" i="9"/>
  <c r="G14" i="74" s="1"/>
  <c r="B30" i="72" l="1"/>
  <c r="D14" i="53"/>
  <c r="B32" i="72" s="1"/>
  <c r="D123" i="9"/>
  <c r="D9" i="52" s="1"/>
  <c r="H108" i="9"/>
  <c r="D15" i="53" s="1"/>
  <c r="B31" i="72" s="1"/>
  <c r="D8" i="52"/>
  <c r="D118" i="9" l="1"/>
  <c r="D4" i="52" s="1"/>
  <c r="B47" i="72" s="1"/>
  <c r="F118" i="9"/>
  <c r="G118" i="9" s="1"/>
  <c r="G4" i="52" s="1"/>
  <c r="B52" i="72" s="1"/>
  <c r="H118" i="9"/>
  <c r="I118" i="9" s="1"/>
  <c r="I4" i="52" l="1"/>
  <c r="H102" i="9"/>
  <c r="D7" i="53" s="1"/>
  <c r="B21" i="72" s="1"/>
  <c r="C105" i="9"/>
  <c r="E118" i="9"/>
  <c r="E4" i="52" s="1"/>
  <c r="B48" i="72" s="1"/>
  <c r="H101" i="9"/>
  <c r="F119" i="9"/>
  <c r="F5" i="52" s="1"/>
  <c r="B53" i="72" s="1"/>
  <c r="F4" i="52"/>
  <c r="B51" i="72" s="1"/>
  <c r="H4" i="52"/>
  <c r="C104" i="9"/>
  <c r="D14" i="74"/>
  <c r="H3" i="79" s="1"/>
  <c r="H119" i="9"/>
  <c r="H5" i="52" s="1"/>
  <c r="D119" i="9"/>
  <c r="D5" i="52" s="1"/>
  <c r="B49" i="72" s="1"/>
  <c r="I3" i="79" l="1"/>
  <c r="E3" i="79" s="1"/>
  <c r="D3" i="79"/>
  <c r="E14" i="74"/>
  <c r="F14" i="74"/>
  <c r="M48" i="9"/>
  <c r="D5" i="53"/>
  <c r="H109" i="9"/>
  <c r="D45" i="9"/>
  <c r="D53" i="9" l="1"/>
  <c r="C78" i="9"/>
  <c r="C73" i="9" s="1"/>
  <c r="C64" i="9"/>
  <c r="C63" i="9" s="1"/>
  <c r="C67" i="9" s="1"/>
  <c r="D52" i="9"/>
  <c r="C93" i="9"/>
  <c r="C86" i="9" s="1"/>
  <c r="C72" i="9"/>
  <c r="C79" i="9" s="1"/>
  <c r="D55" i="9"/>
  <c r="M53" i="9" s="1"/>
  <c r="C85" i="9"/>
  <c r="B20" i="72"/>
  <c r="D6" i="53"/>
  <c r="B22" i="72" s="1"/>
  <c r="D124" i="9"/>
  <c r="B6" i="74" s="1"/>
  <c r="H110" i="9"/>
  <c r="D18" i="53" s="1"/>
  <c r="B35" i="72" s="1"/>
  <c r="D16" i="53"/>
  <c r="M49" i="9"/>
  <c r="C6" i="74" l="1"/>
  <c r="D6" i="74"/>
  <c r="C95" i="9"/>
  <c r="C80" i="9"/>
  <c r="E80" i="9" s="1"/>
  <c r="E81" i="9" s="1"/>
  <c r="L65" i="9"/>
  <c r="M65" i="9" s="1"/>
  <c r="L67" i="9"/>
  <c r="M67" i="9" s="1"/>
  <c r="L63" i="9"/>
  <c r="M63" i="9" s="1"/>
  <c r="L64" i="9"/>
  <c r="M64" i="9" s="1"/>
  <c r="L68" i="9"/>
  <c r="M68" i="9" s="1"/>
  <c r="L66" i="9"/>
  <c r="M66" i="9" s="1"/>
  <c r="B34" i="72"/>
  <c r="D17" i="53"/>
  <c r="B36" i="72" s="1"/>
  <c r="D10" i="52"/>
  <c r="D125" i="9"/>
  <c r="H14" i="74"/>
  <c r="D59" i="9"/>
  <c r="M55" i="9" s="1"/>
  <c r="C68" i="9"/>
  <c r="D54" i="9" s="1"/>
  <c r="D11" i="52" l="1"/>
  <c r="C81" i="9"/>
  <c r="M69" i="9"/>
  <c r="N69" i="9" s="1"/>
  <c r="C96" i="9"/>
  <c r="E96" i="9" s="1"/>
  <c r="E97" i="9" s="1"/>
  <c r="C97" i="9" l="1"/>
  <c r="D58" i="9" s="1"/>
  <c r="D56" i="9" s="1"/>
  <c r="M54" i="9" s="1"/>
  <c r="N57" i="9" s="1"/>
  <c r="N58" i="9" s="1"/>
  <c r="P57" i="9" l="1"/>
  <c r="N59" i="9"/>
  <c r="N60" i="9" s="1"/>
  <c r="N61" i="9" l="1"/>
  <c r="D15" i="74" l="1"/>
  <c r="H15" i="74" l="1"/>
  <c r="E15" i="74"/>
  <c r="F15" i="74"/>
  <c r="D16" i="74" l="1"/>
  <c r="H4" i="79" s="1"/>
  <c r="H5" i="79" s="1"/>
  <c r="I4" i="79" l="1"/>
  <c r="E4" i="79" s="1"/>
  <c r="D4" i="79"/>
  <c r="D5" i="79" s="1"/>
  <c r="H16" i="74"/>
  <c r="B7" i="74" s="1"/>
  <c r="E16" i="74"/>
  <c r="F16" i="74"/>
  <c r="B5" i="74"/>
  <c r="C5" i="74" l="1"/>
  <c r="D5" i="74"/>
  <c r="D7" i="74"/>
  <c r="C7"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<sst xmlns="http://schemas.openxmlformats.org/spreadsheetml/2006/main" count="7733" uniqueCount="3244">
  <si>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</si>
  <si>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</si>
  <si>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</si>
  <si>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</si>
  <si>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</si>
  <si>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</si>
  <si>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</si>
  <si>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</si>
  <si>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</si>
  <si>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</si>
  <si>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</si>
  <si>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</si>
  <si>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</si>
  <si>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</si>
  <si>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</si>
  <si>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</si>
  <si>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</si>
  <si>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</si>
  <si>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</si>
  <si>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</si>
  <si>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</si>
  <si>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</si>
  <si>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</si>
  <si>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</si>
  <si>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</si>
  <si>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</si>
  <si>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</si>
  <si>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</si>
  <si>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</si>
  <si>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</si>
  <si>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</si>
  <si>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</si>
  <si>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</si>
  <si>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</si>
  <si>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</si>
  <si>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</si>
  <si>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</si>
  <si>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</si>
  <si>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</si>
  <si>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</si>
  <si>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</si>
  <si>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</si>
  <si>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</si>
  <si>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</si>
  <si>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</si>
  <si>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</si>
  <si>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</si>
  <si>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</si>
  <si>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</si>
  <si>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</si>
  <si>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</si>
  <si>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</si>
  <si>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</si>
  <si>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</si>
  <si>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</si>
  <si>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</si>
  <si>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</si>
  <si>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</si>
  <si>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</si>
  <si>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</si>
  <si>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</si>
  <si>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</si>
  <si>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</si>
  <si>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</si>
  <si>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</si>
  <si>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</si>
  <si>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</si>
  <si>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</si>
  <si>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</si>
  <si>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</si>
  <si>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</si>
  <si>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</si>
  <si>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</si>
  <si>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</si>
  <si>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</si>
  <si>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</si>
  <si>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</si>
  <si>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</si>
  <si>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</si>
  <si>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</si>
  <si>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</si>
  <si>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</si>
  <si>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</si>
  <si>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</si>
  <si>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</si>
  <si>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</si>
  <si>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</si>
  <si>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</si>
  <si>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</si>
  <si>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</si>
  <si>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</si>
  <si>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</si>
  <si>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</si>
  <si>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</si>
  <si>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</si>
  <si>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</si>
  <si>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</si>
  <si>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</si>
  <si>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</si>
  <si>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</si>
  <si>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</si>
  <si>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</si>
  <si>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</si>
  <si>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</si>
  <si>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</si>
  <si>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</si>
  <si>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</si>
  <si>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</si>
  <si>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</si>
  <si>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</si>
  <si>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</si>
  <si>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</si>
  <si>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</si>
  <si>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</si>
  <si>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</si>
  <si>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</si>
  <si>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</si>
  <si>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</si>
  <si>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</si>
  <si>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</si>
  <si>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</si>
  <si>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</si>
  <si>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</si>
  <si>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</si>
  <si>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</si>
  <si>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</si>
  <si>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</si>
  <si>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</si>
  <si>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</si>
  <si>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</si>
  <si>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</si>
  <si>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</si>
  <si>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</si>
  <si>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</si>
  <si>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</si>
  <si>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</si>
  <si>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</si>
  <si>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</si>
  <si>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</si>
  <si>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</si>
  <si>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</si>
  <si>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</si>
  <si>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</si>
  <si>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</si>
  <si>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</si>
  <si>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</si>
  <si>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</si>
  <si>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</si>
  <si>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</si>
  <si>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</si>
  <si>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</si>
  <si>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</si>
  <si>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</si>
  <si>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</si>
  <si>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</si>
  <si>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</si>
  <si>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</si>
  <si>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</si>
  <si>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</si>
  <si>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</si>
  <si>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</si>
  <si>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</si>
  <si>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</si>
  <si>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</si>
  <si>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</si>
  <si>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</si>
  <si>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</si>
  <si>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</si>
  <si>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</si>
  <si>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</si>
  <si>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</si>
  <si>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</si>
  <si>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</si>
  <si>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</si>
  <si>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</si>
  <si>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</si>
  <si>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</si>
  <si>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</si>
  <si>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</si>
  <si>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</si>
  <si>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</si>
  <si>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</si>
  <si>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</si>
  <si>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</si>
  <si>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</si>
  <si>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</si>
  <si>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</si>
  <si>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</si>
  <si>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</si>
  <si>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</si>
  <si>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</si>
  <si>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</si>
  <si>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</si>
  <si>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</si>
  <si>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</si>
  <si>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</si>
  <si>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</si>
  <si>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</si>
  <si>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</si>
  <si>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</si>
  <si>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</si>
  <si>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</si>
  <si>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</si>
  <si>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</si>
  <si>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</si>
  <si>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</si>
  <si>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</si>
  <si>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</si>
  <si>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</si>
  <si>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</si>
  <si>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</si>
  <si>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</si>
  <si>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</si>
  <si>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</si>
  <si>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</si>
  <si>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</si>
  <si>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</si>
  <si>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</si>
  <si>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</si>
  <si>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</si>
  <si>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</si>
  <si>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</si>
  <si>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</si>
  <si>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</si>
  <si>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</si>
  <si>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</si>
  <si>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</si>
  <si>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</si>
  <si>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</si>
  <si>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</si>
  <si>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</si>
  <si>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</si>
  <si>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</si>
  <si>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</si>
  <si>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</si>
  <si>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</si>
  <si>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</si>
  <si>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</si>
  <si>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</si>
  <si>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</si>
  <si>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</si>
  <si>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</si>
  <si>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</si>
  <si>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</si>
  <si>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</si>
  <si>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</si>
  <si>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</si>
  <si>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</si>
  <si>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</si>
  <si>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</si>
  <si>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</si>
  <si>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</si>
  <si>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</si>
  <si>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</si>
  <si>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</si>
  <si>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</si>
  <si>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</si>
  <si>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</si>
  <si>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</si>
  <si>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</si>
  <si>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</si>
  <si>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</si>
  <si>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</si>
  <si>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</si>
  <si>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</si>
  <si>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</si>
  <si>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</si>
  <si>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</si>
  <si>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</si>
  <si>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</si>
  <si>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</si>
  <si>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</si>
  <si>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</si>
  <si>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</si>
  <si>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</si>
  <si>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</si>
  <si>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</si>
  <si>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</si>
  <si>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</si>
  <si>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</si>
  <si>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</si>
  <si>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</si>
  <si>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</si>
  <si>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</si>
  <si>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</si>
  <si>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</si>
  <si>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</si>
  <si>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</si>
  <si>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</si>
  <si>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</si>
  <si>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</si>
  <si>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</si>
  <si>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</si>
  <si>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</si>
  <si>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</si>
  <si>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</si>
  <si>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</si>
  <si>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</si>
  <si>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</si>
  <si>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</si>
  <si>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</si>
  <si>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</si>
  <si>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</si>
  <si>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</si>
  <si>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</si>
  <si>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</si>
  <si>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</si>
  <si>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</si>
  <si>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</si>
  <si>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</si>
  <si>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</si>
  <si>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</si>
  <si>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</si>
  <si>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</si>
  <si>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</si>
  <si>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</si>
  <si>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</si>
  <si>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</si>
  <si>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</si>
  <si>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</si>
  <si>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</si>
  <si>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</si>
  <si>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</si>
  <si>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</si>
  <si>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</si>
  <si>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</si>
  <si>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</si>
  <si>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</si>
  <si>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</si>
  <si>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</si>
  <si>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</si>
  <si>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</si>
  <si>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</si>
  <si>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</si>
  <si>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</si>
  <si>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</si>
  <si>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</si>
  <si>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</si>
  <si>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</si>
  <si>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</si>
  <si>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</si>
  <si>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</si>
  <si>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</si>
  <si>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</si>
  <si>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</si>
  <si>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</si>
  <si>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</si>
  <si>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</si>
  <si>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</si>
  <si>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</si>
  <si>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</si>
  <si>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</si>
  <si>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</si>
  <si>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</si>
  <si>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</si>
  <si>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</si>
  <si>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</si>
  <si>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</si>
  <si>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</si>
  <si>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</si>
  <si>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</si>
  <si>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</si>
  <si>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</si>
  <si>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</si>
  <si>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</si>
  <si>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</si>
  <si>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</si>
  <si>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</si>
  <si>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</si>
  <si>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</si>
  <si>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</si>
  <si>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</si>
  <si>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</si>
  <si>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</si>
  <si>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</si>
  <si>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</si>
  <si>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</si>
  <si>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</si>
  <si>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</si>
  <si>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</si>
  <si>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</si>
  <si>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</si>
  <si>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</si>
  <si>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</si>
  <si>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</si>
  <si>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</si>
  <si>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</si>
  <si>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</si>
  <si>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</si>
  <si>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</si>
  <si>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</si>
  <si>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</si>
  <si>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</si>
  <si>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</si>
  <si>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</si>
  <si>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</si>
  <si>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</si>
  <si>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</si>
  <si>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</si>
  <si>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</si>
  <si>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</si>
  <si>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</si>
  <si>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</si>
  <si>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</si>
  <si>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</si>
  <si>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</si>
  <si>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</si>
  <si>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</si>
  <si>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</si>
  <si>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</si>
  <si>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</si>
  <si>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</si>
  <si>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</si>
  <si>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</si>
  <si>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</si>
  <si>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</si>
  <si>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</si>
  <si>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</si>
  <si>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</si>
  <si>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</si>
  <si>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</si>
  <si>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</si>
  <si>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</si>
  <si>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</si>
  <si>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</si>
  <si>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</si>
  <si>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</si>
  <si>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</si>
  <si>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</si>
  <si>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</si>
  <si>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</si>
  <si>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</si>
  <si>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</si>
  <si>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</si>
  <si>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</si>
  <si>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</si>
  <si>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</si>
  <si>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</si>
  <si>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</si>
  <si>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</si>
  <si>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</si>
  <si>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</si>
  <si>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</si>
  <si>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</si>
  <si>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</si>
  <si>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</si>
  <si>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</si>
  <si>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</si>
  <si>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</si>
  <si>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</si>
  <si>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</si>
  <si>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</si>
  <si>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</si>
  <si>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</si>
  <si>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</si>
  <si>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</si>
  <si>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</si>
  <si>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</si>
  <si>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</si>
  <si>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</si>
  <si>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</si>
  <si>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</si>
  <si>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</si>
  <si>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</si>
  <si>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</si>
  <si>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</si>
  <si>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</si>
  <si>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</si>
  <si>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</si>
  <si>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</si>
  <si>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</si>
  <si>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</si>
  <si>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</si>
  <si>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</si>
  <si>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</si>
  <si>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</si>
  <si>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</si>
  <si>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</si>
  <si>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</si>
  <si>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</si>
  <si>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</si>
  <si>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</si>
  <si>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</si>
  <si>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</si>
  <si>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</si>
  <si>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</si>
  <si>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</si>
  <si>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</si>
  <si>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</si>
  <si>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</si>
  <si>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</si>
  <si>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</si>
  <si>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</si>
  <si>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</si>
  <si>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</si>
  <si>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</si>
  <si>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</si>
  <si>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</si>
  <si>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</si>
  <si>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</si>
  <si>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</si>
  <si>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</si>
  <si>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</si>
  <si>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</si>
  <si>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</si>
  <si>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</si>
  <si>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</si>
  <si>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</si>
  <si>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</si>
  <si>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</si>
  <si>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</si>
  <si>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</si>
  <si>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</si>
  <si>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</si>
  <si>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</si>
  <si>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</si>
  <si>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</si>
  <si>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</si>
  <si>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</si>
  <si>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</si>
  <si>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</si>
  <si>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</si>
  <si>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</si>
  <si>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</si>
  <si>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</si>
  <si>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</si>
  <si>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</si>
  <si>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</si>
  <si>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</si>
  <si>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</si>
  <si>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</si>
  <si>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</si>
  <si>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</si>
  <si>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</si>
  <si>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</si>
  <si>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</si>
  <si>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</si>
  <si>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</si>
  <si>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</si>
  <si>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</si>
  <si>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</si>
  <si>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</si>
  <si>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</si>
  <si>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</si>
  <si>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</si>
  <si>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</si>
  <si>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</si>
  <si>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</si>
  <si>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</si>
  <si>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</si>
  <si>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</si>
  <si>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</si>
  <si>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</si>
  <si>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</si>
  <si>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</si>
  <si>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</si>
  <si>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</si>
  <si>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</si>
  <si>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</si>
  <si>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</si>
  <si>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</si>
  <si>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</si>
  <si>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</si>
  <si>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</si>
  <si>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</si>
  <si>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</si>
  <si>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</si>
  <si>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</si>
  <si>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</si>
  <si>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</si>
  <si>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</si>
  <si>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</si>
  <si>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</si>
  <si>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</si>
  <si>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</si>
  <si>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</si>
  <si>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</si>
  <si>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</si>
  <si>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</si>
  <si>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</si>
  <si>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</si>
  <si>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</si>
  <si>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</si>
  <si>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</si>
  <si>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</si>
  <si>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</si>
  <si>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</si>
  <si>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</si>
  <si>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</si>
  <si>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</si>
  <si>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</si>
  <si>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</si>
  <si>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</si>
  <si>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</si>
  <si>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</si>
  <si>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</si>
  <si>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</si>
  <si>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</si>
  <si>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</si>
  <si>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</si>
  <si>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</si>
  <si>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</si>
  <si>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</si>
  <si>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</si>
  <si>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</si>
  <si>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</si>
  <si>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</si>
  <si>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</si>
  <si>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</si>
  <si>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</si>
  <si>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</si>
  <si>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</si>
  <si>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</si>
  <si>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</si>
  <si>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</si>
  <si>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</si>
  <si>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</si>
  <si>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</si>
  <si>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</si>
  <si>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</si>
  <si>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</si>
  <si>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</si>
  <si>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</si>
  <si>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</si>
  <si>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</si>
  <si>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</si>
  <si>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</si>
  <si>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</si>
  <si>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</si>
  <si>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</si>
  <si>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</si>
  <si>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</si>
  <si>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</si>
  <si>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</si>
  <si>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</si>
  <si>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</si>
  <si>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</si>
  <si>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</si>
  <si>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</si>
  <si>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</si>
  <si>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</si>
  <si>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</si>
  <si>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</si>
  <si>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</si>
  <si>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</si>
  <si>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</si>
  <si>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</si>
  <si>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</si>
  <si>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</si>
  <si>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</si>
  <si>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</si>
  <si>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</si>
  <si>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</si>
  <si>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</si>
  <si>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</si>
  <si>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</si>
  <si>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</si>
  <si>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</si>
  <si>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</si>
  <si>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</si>
  <si>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</si>
  <si>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</si>
  <si>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</si>
  <si>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</si>
  <si>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</si>
  <si>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</si>
  <si>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</si>
  <si>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</si>
  <si>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</si>
  <si>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</si>
  <si>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</si>
  <si>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</si>
  <si>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</si>
  <si>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</si>
  <si>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</si>
  <si>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</si>
  <si>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</si>
  <si>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</si>
  <si>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</si>
  <si>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</si>
  <si>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</si>
  <si>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</si>
  <si>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</si>
  <si>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</si>
  <si>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</si>
  <si>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</si>
  <si>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</si>
  <si>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</si>
  <si>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</si>
  <si>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</si>
  <si>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</si>
  <si>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</si>
  <si>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</si>
  <si>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</si>
  <si>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</si>
  <si>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</si>
  <si>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</si>
  <si>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</si>
  <si>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</si>
  <si>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</si>
  <si>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</si>
  <si>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</si>
  <si>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</si>
  <si>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</si>
  <si>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</si>
  <si>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</si>
  <si>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</si>
  <si>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</si>
  <si>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</si>
  <si>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</si>
  <si>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</si>
  <si>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</si>
  <si>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</si>
  <si>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</si>
  <si>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</si>
  <si>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</si>
  <si>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</si>
  <si>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</si>
  <si>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</si>
  <si>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</si>
  <si>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</si>
  <si>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</si>
  <si>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</si>
  <si>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</si>
  <si>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</si>
  <si>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</si>
  <si>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</si>
  <si>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</si>
  <si>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</si>
  <si>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</si>
  <si>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</si>
  <si>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</si>
  <si>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</si>
  <si>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</si>
  <si>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</si>
  <si>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</si>
  <si>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</si>
  <si>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</si>
  <si>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</si>
  <si>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</si>
  <si>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</si>
  <si>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</si>
  <si>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</si>
  <si>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</si>
  <si>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</si>
  <si>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</si>
  <si>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</si>
  <si>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</si>
  <si>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</si>
  <si>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</si>
  <si>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</si>
  <si>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</si>
  <si>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</si>
  <si>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</si>
  <si>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</si>
  <si>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</si>
  <si>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</si>
  <si>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</si>
  <si>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</si>
  <si>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</si>
  <si>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</si>
  <si>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</si>
  <si>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</si>
  <si>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</si>
  <si>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</si>
  <si>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</si>
  <si>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</si>
  <si>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</si>
  <si>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</si>
  <si>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</si>
  <si>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</si>
  <si>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</si>
  <si>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</si>
  <si>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</si>
  <si>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</si>
  <si>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</si>
  <si>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</si>
  <si>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</si>
  <si>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</si>
  <si>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</si>
  <si>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</si>
  <si>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</si>
  <si>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</si>
  <si>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</si>
  <si>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</si>
  <si>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</si>
  <si>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</si>
  <si>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</si>
  <si>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</si>
  <si>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</si>
  <si>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</si>
  <si>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</si>
  <si>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</si>
  <si>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</si>
  <si>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</si>
  <si>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</si>
  <si>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</si>
  <si>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</si>
  <si>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</si>
  <si>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</si>
  <si>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</si>
  <si>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</si>
  <si>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</si>
  <si>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</si>
  <si>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</si>
  <si>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</si>
  <si>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</si>
  <si>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</si>
  <si>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</si>
  <si>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</si>
  <si>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</si>
  <si>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</si>
  <si>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</si>
  <si>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</si>
  <si>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</si>
  <si>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</si>
  <si>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</si>
  <si>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</si>
  <si>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</si>
  <si>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</si>
  <si>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</si>
  <si>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</si>
  <si>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</si>
  <si>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</si>
  <si>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</si>
  <si>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</si>
  <si>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</si>
  <si>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</si>
  <si>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</si>
  <si>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</si>
  <si>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</si>
  <si>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</si>
  <si>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</si>
  <si>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</si>
  <si>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</si>
  <si>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</si>
  <si>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</si>
  <si>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</si>
  <si>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</si>
  <si>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</si>
  <si>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</si>
  <si>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</si>
  <si>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</si>
  <si>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</si>
  <si>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</si>
  <si>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</si>
  <si>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</si>
  <si>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</si>
  <si>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</si>
  <si>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</si>
  <si>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</si>
  <si>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</si>
  <si>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</si>
  <si>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</si>
  <si>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</si>
  <si>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</si>
  <si>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</si>
  <si>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</si>
  <si>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</si>
  <si>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</si>
  <si>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</si>
  <si>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</si>
  <si>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</si>
  <si>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</si>
  <si>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</si>
  <si>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</si>
  <si>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</si>
  <si>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</si>
  <si>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</si>
  <si>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</si>
  <si>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</si>
  <si>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</si>
  <si>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</si>
  <si>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</si>
  <si>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</si>
  <si>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</si>
  <si>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</si>
  <si>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</si>
  <si>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</si>
  <si>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</si>
  <si>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</si>
  <si>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</si>
  <si>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</si>
  <si>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</si>
  <si>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</si>
  <si>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</si>
  <si>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</si>
  <si>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</si>
  <si>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</si>
  <si>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</si>
  <si>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</si>
  <si>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</si>
  <si>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</si>
  <si>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</si>
  <si>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</si>
  <si>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</si>
  <si>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</si>
  <si>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</si>
  <si>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</si>
  <si>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</si>
  <si>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</si>
  <si>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</si>
  <si>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</si>
  <si>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</si>
  <si>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</si>
  <si>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</si>
  <si>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</si>
  <si>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</si>
  <si>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</si>
  <si>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</si>
  <si>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</si>
  <si>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</si>
  <si>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</si>
  <si>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</si>
  <si>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</si>
  <si>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</si>
  <si>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</si>
  <si>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</si>
  <si>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</si>
  <si>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</si>
  <si>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</si>
  <si>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</si>
  <si>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</si>
  <si>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</si>
  <si>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</si>
  <si>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</si>
  <si>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</si>
  <si>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</si>
  <si>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</si>
  <si>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</si>
  <si>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</si>
  <si>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</si>
  <si>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</si>
  <si>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</si>
  <si>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</si>
  <si>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</si>
  <si>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</si>
  <si>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</si>
  <si>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</si>
  <si>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</si>
  <si>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</si>
  <si>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</si>
  <si>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</si>
  <si>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</si>
  <si>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</si>
  <si>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</si>
  <si>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</si>
  <si>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</si>
  <si>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</si>
  <si>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</si>
  <si>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</si>
  <si>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</si>
  <si>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</si>
  <si>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</si>
  <si>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</si>
  <si>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</si>
  <si>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</si>
  <si>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</si>
  <si>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</si>
  <si>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</si>
  <si>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</si>
  <si>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</si>
  <si>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</si>
  <si>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</si>
  <si>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</si>
  <si>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</si>
  <si>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</si>
  <si>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</si>
  <si>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</si>
  <si>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</si>
  <si>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</si>
  <si>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</si>
  <si>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</si>
  <si>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</si>
  <si>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</si>
  <si>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</si>
  <si>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</si>
  <si>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</si>
  <si>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</si>
  <si>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</si>
  <si>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</si>
  <si>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</si>
  <si>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</si>
  <si>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</si>
  <si>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</si>
  <si>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</si>
  <si>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</si>
  <si>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</si>
  <si>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</si>
  <si>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</si>
  <si>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</si>
  <si>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</si>
  <si>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</si>
  <si>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</si>
  <si>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</si>
  <si>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</si>
  <si>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</si>
  <si>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</si>
  <si>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</si>
  <si>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</si>
  <si>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</si>
  <si>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</si>
  <si>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</si>
  <si>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</si>
  <si>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</si>
  <si>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</si>
  <si>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</si>
  <si>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</si>
  <si>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</si>
  <si>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</si>
  <si>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</si>
  <si>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</si>
  <si>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</si>
  <si>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</si>
  <si>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</si>
  <si>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</si>
  <si>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</si>
  <si>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</si>
  <si>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</si>
  <si>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</si>
  <si>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</si>
  <si>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</si>
  <si>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</si>
  <si>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</si>
  <si>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</si>
  <si>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</si>
  <si>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</si>
  <si>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</si>
  <si>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</si>
  <si>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</si>
  <si>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</si>
  <si>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</si>
  <si>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</si>
  <si>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</si>
  <si>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</si>
  <si>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</si>
  <si>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</si>
  <si>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</si>
  <si>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</si>
  <si>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</si>
  <si>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</si>
  <si>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</si>
  <si>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</si>
  <si>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</si>
  <si>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</si>
  <si>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</si>
  <si>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</si>
  <si>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</si>
  <si>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</si>
  <si>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</si>
  <si>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</si>
  <si>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</si>
  <si>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</si>
  <si>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</si>
  <si>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</si>
  <si>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</si>
  <si>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</si>
  <si>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</si>
  <si>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</si>
  <si>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</si>
  <si>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</si>
  <si>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</si>
  <si>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</si>
  <si>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</si>
  <si>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</si>
  <si>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</si>
  <si>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</si>
  <si>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</si>
  <si>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</si>
  <si>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</si>
  <si>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</si>
  <si>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</si>
  <si>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</si>
  <si>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</si>
  <si>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</si>
  <si>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</si>
  <si>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</si>
  <si>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</si>
  <si>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</si>
  <si>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</si>
  <si>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</si>
  <si>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</si>
  <si>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</si>
  <si>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</si>
  <si>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</si>
  <si>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</si>
  <si>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</si>
  <si>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</si>
  <si>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</si>
  <si>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</si>
  <si>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</si>
  <si>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</si>
  <si>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</si>
  <si>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</si>
  <si>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</si>
  <si>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</si>
  <si>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</si>
  <si>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</si>
  <si>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</si>
  <si>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</si>
  <si>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</si>
  <si>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</si>
  <si>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</si>
  <si>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</si>
  <si>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</si>
  <si>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</si>
  <si>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</si>
  <si>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</si>
  <si>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</si>
  <si>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</si>
  <si>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</si>
  <si>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</si>
  <si>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</si>
  <si>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</si>
  <si>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</si>
  <si>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</si>
  <si>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</si>
  <si>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</si>
  <si>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</si>
  <si>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</si>
  <si>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</si>
  <si>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</si>
  <si>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</si>
  <si>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</si>
  <si>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</si>
  <si>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</si>
  <si>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</si>
  <si>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</si>
  <si>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</si>
  <si>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</si>
  <si>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</si>
  <si>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</si>
  <si>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</si>
  <si>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</si>
  <si>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</si>
  <si>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</si>
  <si>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</si>
  <si>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</si>
  <si>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</si>
  <si>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</si>
  <si>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</si>
  <si>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</si>
  <si>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</si>
  <si>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</si>
  <si>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</si>
  <si>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</si>
  <si>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</si>
  <si>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</si>
  <si>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</si>
  <si>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</si>
  <si>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</si>
  <si>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</si>
  <si>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</si>
  <si>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</si>
  <si>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</si>
  <si>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</si>
  <si>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</si>
  <si>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</si>
  <si>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</si>
  <si>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</si>
  <si>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</si>
  <si>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</si>
  <si>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</si>
  <si>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</si>
  <si>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</si>
  <si>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</si>
  <si>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</si>
  <si>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</si>
  <si>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</si>
  <si>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</si>
  <si>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</si>
  <si>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</si>
  <si>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</si>
  <si>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</si>
  <si>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</si>
  <si>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</si>
  <si>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</si>
  <si>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</si>
  <si>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</si>
  <si>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</si>
  <si>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</si>
  <si>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</si>
  <si>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</si>
  <si>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</si>
  <si>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</si>
  <si>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</si>
  <si>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</si>
  <si>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</si>
  <si>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</si>
  <si>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</si>
  <si>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</si>
  <si>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</si>
  <si>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</si>
  <si>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</si>
  <si>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</si>
  <si>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</si>
  <si>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</si>
  <si>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</si>
  <si>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</si>
  <si>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</si>
  <si>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</si>
  <si>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</si>
  <si>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</si>
  <si>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</si>
  <si>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</si>
  <si>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</si>
  <si>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</si>
  <si>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</si>
  <si>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</si>
  <si>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</si>
  <si>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</si>
  <si>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</si>
  <si>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</si>
  <si>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</si>
  <si>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</si>
  <si>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</si>
  <si>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</si>
  <si>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</si>
  <si>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</si>
  <si>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</si>
  <si>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</si>
  <si>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</si>
  <si>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</si>
  <si>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</si>
  <si>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</si>
  <si>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</si>
  <si>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</si>
  <si>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</si>
  <si>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</si>
  <si>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</si>
  <si>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</si>
  <si>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</si>
  <si>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</si>
  <si>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</si>
  <si>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</si>
  <si>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</si>
  <si>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</si>
  <si>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</si>
  <si>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</si>
  <si>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</si>
  <si>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</si>
  <si>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</si>
  <si>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</si>
  <si>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</si>
  <si>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</si>
  <si>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</si>
  <si>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</si>
  <si>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</si>
  <si>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</si>
  <si>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</si>
  <si>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</si>
  <si>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</si>
  <si>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</si>
  <si>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</si>
  <si>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</si>
  <si>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</si>
  <si>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</si>
  <si>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</si>
  <si>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</si>
  <si>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</si>
  <si>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</si>
  <si>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</si>
  <si>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</si>
  <si>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</si>
  <si>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</si>
  <si>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</si>
  <si>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</si>
  <si>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</si>
  <si>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</si>
  <si>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</si>
  <si>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</si>
  <si>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</si>
  <si>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</si>
  <si>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</si>
  <si>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</si>
  <si>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</si>
  <si>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</si>
  <si>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</si>
  <si>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</si>
  <si>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</si>
  <si>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</si>
  <si>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</si>
  <si>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</si>
  <si>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</si>
  <si>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</si>
  <si>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</si>
  <si>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</si>
  <si>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</si>
  <si>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</si>
  <si>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</si>
  <si>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</si>
  <si>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</si>
  <si>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</si>
  <si>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</si>
  <si>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</si>
  <si>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</si>
  <si>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</si>
  <si>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</si>
  <si>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</si>
  <si>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</si>
  <si>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</si>
  <si>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</si>
  <si>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</si>
  <si>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</si>
  <si>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</si>
  <si>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</si>
  <si>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</si>
  <si>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</si>
  <si>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</si>
  <si>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</si>
  <si>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</si>
  <si>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</si>
  <si>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</si>
  <si>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</si>
  <si>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</si>
  <si>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</si>
  <si>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</si>
  <si>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</si>
  <si>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</si>
  <si>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</si>
  <si>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</si>
  <si>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</si>
  <si>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</si>
  <si>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</si>
  <si>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</si>
  <si>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</si>
  <si>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</si>
  <si>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</si>
  <si>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</si>
  <si>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</si>
  <si>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</si>
  <si>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</si>
  <si>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</si>
  <si>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</si>
  <si>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</si>
  <si>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</si>
  <si>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</si>
  <si>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</si>
  <si>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</si>
  <si>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</si>
  <si>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</si>
  <si>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</si>
  <si>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</si>
  <si>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</si>
  <si>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</si>
  <si>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</si>
  <si>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</si>
  <si>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</si>
  <si>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</si>
  <si>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</si>
  <si>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</si>
  <si>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</si>
  <si>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</si>
  <si>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</si>
  <si>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</si>
  <si>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</si>
  <si>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</si>
  <si>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</si>
  <si>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</si>
  <si>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</si>
  <si>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</si>
  <si>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</si>
  <si>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</si>
  <si>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</si>
  <si>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</si>
  <si>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</si>
  <si>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</si>
  <si>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</si>
  <si>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</si>
  <si>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</si>
  <si>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</si>
  <si>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</si>
  <si>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</si>
  <si>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</si>
  <si>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</si>
  <si>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</si>
  <si>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</si>
  <si>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</si>
  <si>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</si>
  <si>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</si>
  <si>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</si>
  <si>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</si>
  <si>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</si>
  <si>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</si>
  <si>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</si>
  <si>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</si>
  <si>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</si>
  <si>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</si>
  <si>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</si>
  <si>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</si>
  <si>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</si>
  <si>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</si>
  <si>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</si>
  <si>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</si>
  <si>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</si>
  <si>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</si>
  <si>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</si>
  <si>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</si>
  <si>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</si>
  <si>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</si>
  <si>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</si>
  <si>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</si>
  <si>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</si>
  <si>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</si>
  <si>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</si>
  <si>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</si>
  <si>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</si>
  <si>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</si>
  <si>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</si>
  <si>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</si>
  <si>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</si>
  <si>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</si>
  <si>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</si>
  <si>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</si>
  <si>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</si>
  <si>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</si>
  <si>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</si>
  <si>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</si>
  <si>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</si>
  <si>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</si>
  <si>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</si>
  <si>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</si>
  <si>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</si>
  <si>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</si>
  <si>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</si>
  <si>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</si>
  <si>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</si>
  <si>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</si>
  <si>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</si>
  <si>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</si>
  <si>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</si>
  <si>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</si>
  <si>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</si>
  <si>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</si>
  <si>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</si>
  <si>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</si>
  <si>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</si>
  <si>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</si>
  <si>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</si>
  <si>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</si>
  <si>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</si>
  <si>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</si>
  <si>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</si>
  <si>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</si>
  <si>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</si>
  <si>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</si>
  <si>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</si>
  <si>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</si>
  <si>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</si>
  <si>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</si>
  <si>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</si>
  <si>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</si>
  <si>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</si>
  <si>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</si>
  <si>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</si>
  <si>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</si>
  <si>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</si>
  <si>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</si>
  <si>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</si>
  <si>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</si>
  <si>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</si>
  <si>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</si>
  <si>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</si>
  <si>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</si>
  <si>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</si>
  <si>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</si>
  <si>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</si>
  <si>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</si>
  <si>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</si>
  <si>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</si>
  <si>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</si>
  <si>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</si>
  <si>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</si>
  <si>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</si>
  <si>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</si>
  <si>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</si>
  <si>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</si>
  <si>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</si>
  <si>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</si>
  <si>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</si>
  <si>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</si>
  <si>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</si>
  <si>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</si>
  <si>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</si>
  <si>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</si>
  <si>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</si>
  <si>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</si>
  <si>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</si>
  <si>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</si>
  <si>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</si>
  <si>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</si>
  <si>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</si>
  <si>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</si>
  <si>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</si>
  <si>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</si>
  <si>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</si>
  <si>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</si>
  <si>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</si>
  <si>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</si>
  <si>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</si>
  <si>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</si>
  <si>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</si>
  <si>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</si>
  <si>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</si>
  <si>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</si>
  <si>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</si>
  <si>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</si>
  <si>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</si>
  <si>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</si>
  <si>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</si>
  <si>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</si>
  <si>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</si>
  <si>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</si>
  <si>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</si>
  <si>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</si>
  <si>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</si>
  <si>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</si>
  <si>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</si>
  <si>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</si>
  <si>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</si>
  <si>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</si>
  <si>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</si>
  <si>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</si>
  <si>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</si>
  <si>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</si>
  <si>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</si>
  <si>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</si>
  <si>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</si>
  <si>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</si>
  <si>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</si>
  <si>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</si>
  <si>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</si>
  <si>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</si>
  <si>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</si>
  <si>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</si>
  <si>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</si>
  <si>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</si>
  <si>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</si>
  <si>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</si>
  <si>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</si>
  <si>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</si>
  <si>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</si>
  <si>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</si>
  <si>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</si>
  <si>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</si>
  <si>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</si>
  <si>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</si>
  <si>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</si>
  <si>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</si>
  <si>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</si>
  <si>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</si>
  <si>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</si>
  <si>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</si>
  <si>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</si>
  <si>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</si>
  <si>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</si>
  <si>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</si>
  <si>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</si>
  <si>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</si>
  <si>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</si>
  <si>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</si>
  <si>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</si>
  <si>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</si>
  <si>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</si>
  <si>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</si>
  <si>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</si>
  <si>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</si>
  <si>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</si>
  <si>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</si>
  <si>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</si>
  <si>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</si>
  <si>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</si>
  <si>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</si>
  <si>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</si>
  <si>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</si>
  <si>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</si>
  <si>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</si>
  <si>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</si>
  <si>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</si>
  <si>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</si>
  <si>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</si>
  <si>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</si>
  <si>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</si>
  <si>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</si>
  <si>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</si>
  <si>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</si>
  <si>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</si>
  <si>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</si>
  <si>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</si>
  <si>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</si>
  <si>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</si>
  <si>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</si>
  <si>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</si>
  <si>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</si>
  <si>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</si>
  <si>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</si>
  <si>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</si>
  <si>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</si>
  <si>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</si>
  <si>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</si>
  <si>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</si>
  <si>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</si>
  <si>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</si>
  <si>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</si>
  <si>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</si>
  <si>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</si>
  <si>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</si>
  <si>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</si>
  <si>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</si>
  <si>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</si>
  <si>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</si>
  <si>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</si>
  <si>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</si>
  <si>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</si>
  <si>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</si>
  <si>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</si>
  <si>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</si>
  <si>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</si>
  <si>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</si>
  <si>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</si>
  <si>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</si>
  <si>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</si>
  <si>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</si>
  <si>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</si>
  <si>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</si>
  <si>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</si>
  <si>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</si>
  <si>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</si>
  <si>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</si>
  <si>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</si>
  <si>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</si>
  <si>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</si>
  <si>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</si>
  <si>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</si>
  <si>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</si>
  <si>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</si>
  <si>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</si>
  <si>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</si>
  <si>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</si>
  <si>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</si>
  <si>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</si>
  <si>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</si>
  <si>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</si>
  <si>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</si>
  <si>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</si>
  <si>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</si>
  <si>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</si>
  <si>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</si>
  <si>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</si>
  <si>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</si>
  <si>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</si>
  <si>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</si>
  <si>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</si>
  <si>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</si>
  <si>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</si>
  <si>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</si>
  <si>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</si>
  <si>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</si>
  <si>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</si>
  <si>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</si>
  <si>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</si>
  <si>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</si>
  <si>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</si>
  <si>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</si>
  <si>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</si>
  <si>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</si>
  <si>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</si>
  <si>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</si>
  <si>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</si>
  <si>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</si>
  <si>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</si>
  <si>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</si>
  <si>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</si>
  <si>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</si>
  <si>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</si>
  <si>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</si>
  <si>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</si>
  <si>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</si>
  <si>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</si>
  <si>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</si>
  <si>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</si>
  <si>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</si>
  <si>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</si>
  <si>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</si>
  <si>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</si>
  <si>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</si>
  <si>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</si>
  <si>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</si>
  <si>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</si>
  <si>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</si>
  <si>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</si>
  <si>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</si>
  <si>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</si>
  <si>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</si>
  <si>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</si>
  <si>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</si>
  <si>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</si>
  <si>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</si>
  <si>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</si>
  <si>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</si>
  <si>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</si>
  <si>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</si>
  <si>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</si>
  <si>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</si>
  <si>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</si>
  <si>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</si>
  <si>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</si>
  <si>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</si>
  <si>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</si>
  <si>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</si>
  <si>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</si>
  <si>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</si>
  <si>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</si>
  <si>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</si>
  <si>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</si>
  <si>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</si>
  <si>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</si>
  <si>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</si>
  <si>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</si>
  <si>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</si>
  <si>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</si>
  <si>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</si>
  <si>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</si>
  <si>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</si>
  <si>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</si>
  <si>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</si>
  <si>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</si>
  <si>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</si>
  <si>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</si>
  <si>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</si>
  <si>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</si>
  <si>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</si>
  <si>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</si>
  <si>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</si>
  <si>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</si>
  <si>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</si>
  <si>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</si>
  <si>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</si>
  <si>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</si>
  <si>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</si>
  <si>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</si>
  <si>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</si>
  <si>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</si>
  <si>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</si>
  <si>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</si>
  <si>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</si>
  <si>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</si>
  <si>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</si>
  <si>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</si>
  <si>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</si>
  <si>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</si>
  <si>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</si>
  <si>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</si>
  <si>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</si>
  <si>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</si>
  <si>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</si>
  <si>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</si>
  <si>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</si>
  <si>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</si>
  <si>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</si>
  <si>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</si>
  <si>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</si>
  <si>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</si>
  <si>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</si>
  <si>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</si>
  <si>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</si>
  <si>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</si>
  <si>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</si>
  <si>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</si>
  <si>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</si>
  <si>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</si>
  <si>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</si>
  <si>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</si>
  <si>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</si>
  <si>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</si>
  <si>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</si>
  <si>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</si>
  <si>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</si>
  <si>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</si>
  <si>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</si>
  <si>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</si>
  <si>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</si>
  <si>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</si>
  <si>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</si>
  <si>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</si>
  <si>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</si>
  <si>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</si>
  <si>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</si>
  <si>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</si>
  <si>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</si>
  <si>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</si>
  <si>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</si>
  <si>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</si>
  <si>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</si>
  <si>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</si>
  <si>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</si>
  <si>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</si>
  <si>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</si>
  <si>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</si>
  <si>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</si>
  <si>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</si>
  <si>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</si>
  <si>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</si>
  <si>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</si>
  <si>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</si>
  <si>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</si>
  <si>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</si>
  <si>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</si>
  <si>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</si>
  <si>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</si>
  <si>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</si>
  <si>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</si>
  <si>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</si>
  <si>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</si>
  <si>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</si>
  <si>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</si>
  <si>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</si>
  <si>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</si>
  <si>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</si>
  <si>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</si>
  <si>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</si>
  <si>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</si>
  <si>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</si>
  <si>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</si>
  <si>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</si>
  <si>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</si>
  <si>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</si>
  <si>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</si>
  <si>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</si>
  <si>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</si>
  <si>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</si>
  <si>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</si>
  <si>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</si>
  <si>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</si>
  <si>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</si>
  <si>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</si>
  <si>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</si>
  <si>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</si>
  <si>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</si>
  <si>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</si>
  <si>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</si>
  <si>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</si>
  <si>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</si>
  <si>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</si>
  <si>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</si>
  <si>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</si>
  <si>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</si>
  <si>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</si>
  <si>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</si>
  <si>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</si>
  <si>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</si>
  <si>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</si>
  <si>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</si>
  <si>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</si>
  <si>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</si>
  <si>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</si>
  <si>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</si>
  <si>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</si>
  <si>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</si>
  <si>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</si>
  <si>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</si>
  <si>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</si>
  <si>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</si>
  <si>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</si>
  <si>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</si>
  <si>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</si>
  <si>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</si>
  <si>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</si>
  <si>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</si>
  <si>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</si>
  <si>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</si>
  <si>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</si>
  <si>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</si>
  <si>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</si>
  <si>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</si>
  <si>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</si>
  <si>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</si>
  <si>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</si>
  <si>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</si>
  <si>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</si>
  <si>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</si>
  <si>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</si>
  <si>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</si>
  <si>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</si>
  <si>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</si>
  <si>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</si>
  <si>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</si>
  <si>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</si>
  <si>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</si>
  <si>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</si>
  <si>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</si>
  <si>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</si>
  <si>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</si>
  <si>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</si>
  <si>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</si>
  <si>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</si>
  <si>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</si>
  <si>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</si>
  <si>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</si>
  <si>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</si>
  <si>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</si>
  <si>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</si>
  <si>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</si>
  <si>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</si>
  <si>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</si>
  <si>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</si>
  <si>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</si>
  <si>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</si>
  <si>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</si>
  <si>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</si>
  <si>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</si>
  <si>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</si>
  <si>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</si>
  <si>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</si>
  <si>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</si>
  <si>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</si>
  <si>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</si>
  <si>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</si>
  <si>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</si>
  <si>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</si>
  <si>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</si>
  <si>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</si>
  <si>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</si>
  <si>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</si>
  <si>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</si>
  <si>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</si>
  <si>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</si>
  <si>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</si>
  <si>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</si>
  <si>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</si>
  <si>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</si>
  <si>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</si>
  <si>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</si>
  <si>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</si>
  <si>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</si>
  <si>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</si>
  <si>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</si>
  <si>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</si>
  <si>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</si>
  <si>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</si>
  <si>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</si>
  <si>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</si>
  <si>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</si>
  <si>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</si>
  <si>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</si>
  <si>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</si>
  <si>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</si>
  <si>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</si>
  <si>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</si>
  <si>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</si>
  <si>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</si>
  <si>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</si>
  <si>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</si>
  <si>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</si>
  <si>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</si>
  <si>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</si>
  <si>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</si>
  <si>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</si>
  <si>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</si>
  <si>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</si>
  <si>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</si>
  <si>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</si>
  <si>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</si>
  <si>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</si>
  <si>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</si>
  <si>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</si>
  <si>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</si>
  <si>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</si>
  <si>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</si>
  <si>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</si>
  <si>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</si>
  <si>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</si>
  <si>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</si>
  <si>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</si>
  <si>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</si>
  <si>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</si>
  <si>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</si>
  <si>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</si>
  <si>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</si>
  <si>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</si>
  <si>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</si>
  <si>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</si>
  <si>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</si>
  <si>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</si>
  <si>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</si>
  <si>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</si>
  <si>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</si>
  <si>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</si>
  <si>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</si>
  <si>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</si>
  <si>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</si>
  <si>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</si>
  <si>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</si>
  <si>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</si>
  <si>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</si>
  <si>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</si>
  <si>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</si>
  <si>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</si>
  <si>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</si>
  <si>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</si>
  <si>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</si>
  <si>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</si>
  <si>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</si>
  <si>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</si>
  <si>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</si>
  <si>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</si>
  <si>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</si>
  <si>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</si>
  <si>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</si>
  <si>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</si>
  <si>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</si>
  <si>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</si>
  <si>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</si>
  <si>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</si>
  <si>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</si>
  <si>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</si>
  <si>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</si>
  <si>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</si>
  <si>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</si>
  <si>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</si>
  <si>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</si>
  <si>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</si>
  <si>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</si>
  <si>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</si>
  <si>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</si>
  <si>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</si>
  <si>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</si>
  <si>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</si>
  <si>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</si>
  <si>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</si>
  <si>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</si>
  <si>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</si>
  <si>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</si>
  <si>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</si>
  <si>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</si>
  <si>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</si>
  <si>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</si>
  <si>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</si>
  <si>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</si>
  <si>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</si>
  <si>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</si>
  <si>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</si>
  <si>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</si>
  <si>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</si>
  <si>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</si>
  <si>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</si>
  <si>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</si>
  <si>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</si>
  <si>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</si>
  <si>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</si>
  <si>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</si>
  <si>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</si>
  <si>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</si>
  <si>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</si>
  <si>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</si>
  <si>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</si>
  <si>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</si>
  <si>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</si>
  <si>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</si>
  <si>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</si>
  <si>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</si>
  <si>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</si>
  <si>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</si>
  <si>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</si>
  <si>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</si>
  <si>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</si>
  <si>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</si>
  <si>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</si>
  <si>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</si>
  <si>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</si>
  <si>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</si>
  <si>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</si>
  <si>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</si>
  <si>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</si>
  <si>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</si>
  <si>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</si>
  <si>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</si>
  <si>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</si>
  <si>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</si>
  <si>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</si>
  <si>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</si>
  <si>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</si>
  <si>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</si>
  <si>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</si>
  <si>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</si>
  <si>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</si>
  <si>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</si>
  <si>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</si>
  <si>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</si>
  <si>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</si>
  <si>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</si>
  <si>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</si>
  <si>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</si>
  <si>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</si>
  <si>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</si>
  <si>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</si>
  <si>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</si>
  <si>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</si>
  <si>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</si>
  <si>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</si>
  <si>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</si>
  <si>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</si>
  <si>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</si>
  <si>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</si>
  <si>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</si>
  <si>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</si>
  <si>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</si>
  <si>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</si>
  <si>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</si>
  <si>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</si>
  <si>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</si>
  <si>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</si>
  <si>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</si>
  <si>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</si>
  <si>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</si>
  <si>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</si>
  <si>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</si>
  <si>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</si>
  <si>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</si>
  <si>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</si>
  <si>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</si>
  <si>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</si>
  <si>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</si>
  <si>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</si>
  <si>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</si>
  <si>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</si>
  <si>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</si>
  <si>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</si>
  <si>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</si>
  <si>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</si>
  <si>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</si>
  <si>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</si>
  <si>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</si>
  <si>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</si>
  <si>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</si>
  <si>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</si>
  <si>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</si>
  <si>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</si>
  <si>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</si>
  <si>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</si>
  <si>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</si>
  <si>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</si>
  <si>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</si>
  <si>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</si>
  <si>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</si>
  <si>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</si>
  <si>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</si>
  <si>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</si>
  <si>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</si>
  <si>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</si>
  <si>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</si>
  <si>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</si>
  <si>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</si>
  <si>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</si>
  <si>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</si>
  <si>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</si>
  <si>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</si>
  <si>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</si>
  <si>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</si>
  <si>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</si>
  <si>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</si>
  <si>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</si>
  <si>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</si>
  <si>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</si>
  <si>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</si>
  <si>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</si>
  <si>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</si>
  <si>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</si>
  <si>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</si>
  <si>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</si>
  <si>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</si>
  <si>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</si>
  <si>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</si>
  <si>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</si>
  <si>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</si>
  <si>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</si>
  <si>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</si>
  <si>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</si>
  <si>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</si>
  <si>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</si>
  <si>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</si>
  <si>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</si>
  <si>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</si>
  <si>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</si>
  <si>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</si>
  <si>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</si>
  <si>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</si>
  <si>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</si>
  <si>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</si>
  <si>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</si>
  <si>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</si>
  <si>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</si>
  <si>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</si>
  <si>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</si>
  <si>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</si>
  <si>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</si>
  <si>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</si>
  <si>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</si>
  <si>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</si>
  <si>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</si>
  <si>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</si>
  <si>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</si>
  <si>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</si>
  <si>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</si>
  <si>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</si>
  <si>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</si>
  <si>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</si>
  <si>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</si>
  <si>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</si>
  <si>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</si>
  <si>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</si>
  <si>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</si>
  <si>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</si>
  <si>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</si>
  <si>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</si>
  <si>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</si>
  <si>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</si>
  <si>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</si>
  <si>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</si>
  <si>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</si>
  <si>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</si>
  <si>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</si>
  <si>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</si>
  <si>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</si>
  <si>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</si>
  <si>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</si>
  <si>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</si>
  <si>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</si>
  <si>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</si>
  <si>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</si>
  <si>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</si>
  <si>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</si>
  <si>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</si>
  <si>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</si>
  <si>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</si>
  <si>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</si>
  <si>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</si>
  <si>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</si>
  <si>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</si>
  <si>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</si>
  <si>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</si>
  <si>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</si>
  <si>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</si>
  <si>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</si>
  <si>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</si>
  <si>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</si>
  <si>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</si>
  <si>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</si>
  <si>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</si>
  <si>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</si>
  <si>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</si>
  <si>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</si>
  <si>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</si>
  <si>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</si>
  <si>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</si>
  <si>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</si>
  <si>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</si>
  <si>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</si>
  <si>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</si>
  <si>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</si>
  <si>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</si>
  <si>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</si>
  <si>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</si>
  <si>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</si>
  <si>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</si>
  <si>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</si>
  <si>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</si>
  <si>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</si>
  <si>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</si>
  <si>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</si>
  <si>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</si>
  <si>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</si>
  <si>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</si>
  <si>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</si>
  <si>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</si>
  <si>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</si>
  <si>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</si>
  <si>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</si>
  <si>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</si>
  <si>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</si>
  <si>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</si>
  <si>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</si>
  <si>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</si>
  <si>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</si>
  <si>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</si>
  <si>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</si>
  <si>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</si>
  <si>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</si>
  <si>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</si>
  <si>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</si>
  <si>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</si>
  <si>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</si>
  <si>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</si>
  <si>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</si>
  <si>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</si>
  <si>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</si>
  <si>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</si>
  <si>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</si>
  <si>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</si>
  <si>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</si>
  <si>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</si>
  <si>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</si>
  <si>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</si>
  <si>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</si>
  <si>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</si>
  <si>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</si>
  <si>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</si>
  <si>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</si>
  <si>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</si>
  <si>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</si>
  <si>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</si>
  <si>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</si>
  <si>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</si>
  <si>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</si>
  <si>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</si>
  <si>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</si>
  <si>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</si>
  <si>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</si>
  <si>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</si>
  <si>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</si>
  <si>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</si>
  <si>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</si>
  <si>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</si>
  <si>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</si>
  <si>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</si>
  <si>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</si>
  <si>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</si>
  <si>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</si>
  <si>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</si>
  <si>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</si>
  <si>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</si>
  <si>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</si>
  <si>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</si>
  <si>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</si>
  <si>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</si>
  <si>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</si>
  <si>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</si>
  <si>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</si>
  <si>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</si>
  <si>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</si>
  <si>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</si>
  <si>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</si>
  <si>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</si>
  <si>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</si>
  <si>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</si>
  <si>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</si>
  <si>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</si>
  <si>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</si>
  <si>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</si>
  <si>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</si>
  <si>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</si>
  <si>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</si>
  <si>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</si>
  <si>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</si>
  <si>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</si>
  <si>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</si>
  <si>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</si>
  <si>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</si>
  <si>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</si>
  <si>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</si>
  <si>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</si>
  <si>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</si>
  <si>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</si>
  <si>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</si>
  <si>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</si>
  <si>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</si>
  <si>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</si>
  <si>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</si>
  <si>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</si>
  <si>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</si>
  <si>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</si>
  <si>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</si>
  <si>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</si>
  <si>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</si>
  <si>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</si>
  <si>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</si>
  <si>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</si>
  <si>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</si>
  <si>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</si>
  <si>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</si>
  <si>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</si>
  <si>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</si>
  <si>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</si>
  <si>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</si>
  <si>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</si>
  <si>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</si>
  <si>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</si>
  <si>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</si>
  <si>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</si>
  <si>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</si>
  <si>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</si>
  <si>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</si>
  <si>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</si>
  <si>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</si>
  <si>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</si>
  <si>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</si>
  <si>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</si>
  <si>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</si>
  <si>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</si>
  <si>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</si>
  <si>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</si>
  <si>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</si>
  <si>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</si>
  <si>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</si>
  <si>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</si>
  <si>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</si>
  <si>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</si>
  <si>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</si>
  <si>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</si>
  <si>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</si>
  <si>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</si>
  <si>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</si>
  <si>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</si>
  <si>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</si>
  <si>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</si>
  <si>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</si>
  <si>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</si>
  <si>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</si>
  <si>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</si>
  <si>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</si>
  <si>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</si>
  <si>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</si>
  <si>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</si>
  <si>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</si>
  <si>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</si>
  <si>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</si>
  <si>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</si>
  <si>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</si>
  <si>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</si>
  <si>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</si>
  <si>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</si>
  <si>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</si>
  <si>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</si>
  <si>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</si>
  <si>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</si>
  <si>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</si>
  <si>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</si>
  <si>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</si>
  <si>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</si>
  <si>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</si>
  <si>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</si>
  <si>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</si>
  <si>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</si>
  <si>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</si>
  <si>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</si>
  <si>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</si>
  <si>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</si>
  <si>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</si>
  <si>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</si>
  <si>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</si>
  <si>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</si>
  <si>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</si>
  <si>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</si>
  <si>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</si>
  <si>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</si>
  <si>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</si>
  <si>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</si>
  <si>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</si>
  <si>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</si>
  <si>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</si>
  <si>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</si>
  <si>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</si>
  <si>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</si>
  <si>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</si>
  <si>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</si>
  <si>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</si>
  <si>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</si>
  <si>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</si>
  <si>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</si>
  <si>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</si>
  <si>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</si>
  <si>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</si>
  <si>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</si>
  <si>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</si>
  <si>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</si>
  <si>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</si>
  <si>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</si>
  <si>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</si>
  <si>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</si>
  <si>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</si>
  <si>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</si>
  <si>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</si>
  <si>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</si>
  <si>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</si>
  <si>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</si>
  <si>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</si>
  <si>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</si>
  <si>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</si>
  <si>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</si>
  <si>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</si>
  <si>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</si>
  <si>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</si>
  <si>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</si>
  <si>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</si>
  <si>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</si>
  <si>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</si>
  <si>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</si>
  <si>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</si>
  <si>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</si>
  <si>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</si>
  <si>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</si>
  <si>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</si>
  <si>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</si>
  <si>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</si>
  <si>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</si>
  <si>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</si>
  <si>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</si>
  <si>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</si>
  <si>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</si>
  <si>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</si>
  <si>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</si>
  <si>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</si>
  <si>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</si>
  <si>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</si>
  <si>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</si>
  <si>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</si>
  <si>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</si>
  <si>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</si>
  <si>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</si>
  <si>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</si>
  <si>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</si>
  <si>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</si>
  <si>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</si>
  <si>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</si>
  <si>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</si>
  <si>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</si>
  <si>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</si>
  <si>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</si>
  <si>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</si>
  <si>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</si>
  <si>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</si>
  <si>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</si>
  <si>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</si>
  <si>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</si>
  <si>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</si>
  <si>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</si>
  <si>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</si>
  <si>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</si>
  <si>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</si>
  <si>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</si>
  <si>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</si>
  <si>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</si>
  <si>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</si>
  <si>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</si>
  <si>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</si>
  <si>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</si>
  <si>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</si>
  <si>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</si>
  <si>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</si>
  <si>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</si>
  <si>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</si>
  <si>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</si>
  <si>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</si>
  <si>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</si>
  <si>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</si>
  <si>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</si>
  <si>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</si>
  <si>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</si>
  <si>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</si>
  <si>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</si>
  <si>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</si>
  <si>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</si>
  <si>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</si>
  <si>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</si>
  <si>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</si>
  <si>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</si>
  <si>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</si>
  <si>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</si>
  <si>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</si>
  <si>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</si>
  <si>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</si>
  <si>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</si>
  <si>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</si>
  <si>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</si>
  <si>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</si>
  <si>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</si>
  <si>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</si>
  <si>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</si>
  <si>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</si>
  <si>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</si>
  <si>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</si>
  <si>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</si>
  <si>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</si>
  <si>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</si>
  <si>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</si>
  <si>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</si>
  <si>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</si>
  <si>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</si>
  <si>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</si>
  <si>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</si>
  <si>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</si>
  <si>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</si>
  <si>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</si>
  <si>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</si>
  <si>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</si>
  <si>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</si>
  <si>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</si>
  <si>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</si>
  <si>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</si>
  <si>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</si>
  <si>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</si>
  <si>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</si>
  <si>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</si>
  <si>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</si>
  <si>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</si>
  <si>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</si>
  <si>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</si>
  <si>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</si>
  <si>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</si>
  <si>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</si>
  <si>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</si>
  <si>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</si>
  <si>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</si>
  <si>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</si>
  <si>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</si>
  <si>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</si>
  <si>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</si>
  <si>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</si>
  <si>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</si>
  <si>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</si>
  <si>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</si>
  <si>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</si>
  <si>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</si>
  <si>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</si>
  <si>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</si>
  <si>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</si>
  <si>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</si>
  <si>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</si>
  <si>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</si>
  <si>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</si>
  <si>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</si>
  <si>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</si>
  <si>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</si>
  <si>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</si>
  <si>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</si>
  <si>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</si>
  <si>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</si>
  <si>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</si>
  <si>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</si>
  <si>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</si>
  <si>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</si>
  <si>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</si>
  <si>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</si>
  <si>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</si>
  <si>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</si>
  <si>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</si>
  <si>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</si>
  <si>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</si>
  <si>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</si>
  <si>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</si>
  <si>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</si>
  <si>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</si>
  <si>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</si>
  <si>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</si>
  <si>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</si>
  <si>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</si>
  <si>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</si>
  <si>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</si>
  <si>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</si>
  <si>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</si>
  <si>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</si>
  <si>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</si>
  <si>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</si>
  <si>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</si>
  <si>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</si>
  <si>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</si>
  <si>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</si>
  <si>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</si>
  <si>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</si>
  <si>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</si>
  <si>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</si>
  <si>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</si>
  <si>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</si>
  <si>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</si>
  <si>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</si>
  <si>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</si>
  <si>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</si>
  <si>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</si>
  <si>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</si>
  <si>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</si>
  <si>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</si>
  <si>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</si>
  <si>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</si>
  <si>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</si>
  <si>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</si>
  <si>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</si>
  <si>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</si>
  <si>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</si>
  <si>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</si>
  <si>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</si>
  <si>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</si>
  <si>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</si>
  <si>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</si>
  <si>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</si>
  <si>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</si>
  <si>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</si>
  <si>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</si>
  <si>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</si>
  <si>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</si>
  <si>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</si>
  <si>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</si>
  <si>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</si>
  <si>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</si>
  <si>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</si>
  <si>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</si>
  <si>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</si>
  <si>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</si>
  <si>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</si>
  <si>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</si>
  <si>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</si>
  <si>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</si>
  <si>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</si>
  <si>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</si>
  <si>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</si>
  <si>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</si>
  <si>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</si>
  <si>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</si>
  <si>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</si>
  <si>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</si>
  <si>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</si>
  <si>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</si>
  <si>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</si>
  <si>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</si>
  <si>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</si>
  <si>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</si>
  <si>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</si>
  <si>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</si>
  <si>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</si>
  <si>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</si>
  <si>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</si>
  <si>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</si>
  <si>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</si>
  <si>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</si>
  <si>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</si>
  <si>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</si>
  <si>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</si>
  <si>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</si>
  <si>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</si>
  <si>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</si>
  <si>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</si>
  <si>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</si>
  <si>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</si>
  <si>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</si>
  <si>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</si>
  <si>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</si>
  <si>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</si>
  <si>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</si>
  <si>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</si>
  <si>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</si>
  <si>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</si>
  <si>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</si>
  <si>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</si>
  <si>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</si>
  <si>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</si>
  <si>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</si>
  <si>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</si>
  <si>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</si>
  <si>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</si>
  <si>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</si>
  <si>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</si>
  <si>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</si>
  <si>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</si>
  <si>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</si>
  <si>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</si>
  <si>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</si>
  <si>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</si>
  <si>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</si>
  <si>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</si>
  <si>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</si>
  <si>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</si>
  <si>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</si>
  <si>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</si>
  <si>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</si>
  <si>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</si>
  <si>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</si>
  <si>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</si>
  <si>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</si>
  <si>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</si>
  <si>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</si>
  <si>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</si>
  <si>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</si>
  <si>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</si>
  <si>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</si>
  <si>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</si>
  <si>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</si>
  <si>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</si>
  <si>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</si>
  <si>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</si>
  <si>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</si>
  <si>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</si>
  <si>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</si>
  <si>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</si>
  <si>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</si>
  <si>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</si>
  <si>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</si>
  <si>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</si>
  <si>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</si>
  <si>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</si>
  <si>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</si>
  <si>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</si>
  <si>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</si>
  <si>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</si>
  <si>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</si>
  <si>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</si>
  <si>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</si>
  <si>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</si>
  <si>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</si>
  <si>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</si>
  <si>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</si>
  <si>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</si>
  <si>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</si>
  <si>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</si>
  <si>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</si>
  <si>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</si>
  <si>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</si>
  <si>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</si>
  <si>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</si>
  <si>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</si>
  <si>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</si>
  <si>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</si>
  <si>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</si>
  <si>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</si>
  <si>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</si>
  <si>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</si>
  <si>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</si>
  <si>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</si>
  <si>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</si>
  <si>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</si>
  <si>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</si>
  <si>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</si>
  <si>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</si>
  <si>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</si>
  <si>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</si>
  <si>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</si>
  <si>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</si>
  <si>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</si>
  <si>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</si>
  <si>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</si>
  <si>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</si>
  <si>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</si>
  <si>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</si>
  <si>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</si>
  <si>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</si>
  <si>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</si>
  <si>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</si>
  <si>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</si>
  <si>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</si>
  <si>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</si>
  <si>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</si>
  <si>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</si>
  <si>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</si>
  <si>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</si>
  <si>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</si>
  <si>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</si>
  <si>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</si>
  <si>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</si>
  <si>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</si>
  <si>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</si>
  <si>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</si>
  <si>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</si>
  <si>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</si>
  <si>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</si>
  <si>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</si>
  <si>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</si>
  <si>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</si>
  <si>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</si>
  <si>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</si>
  <si>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</si>
  <si>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</si>
  <si>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</si>
  <si>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</si>
  <si>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</si>
  <si>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</si>
  <si>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</si>
  <si>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</si>
  <si>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</si>
  <si>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</si>
  <si>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</si>
  <si>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</si>
  <si>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</si>
  <si>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</si>
  <si>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</si>
  <si>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</si>
  <si>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</si>
  <si>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</si>
  <si>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</si>
  <si>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</si>
  <si>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</si>
  <si>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</si>
  <si>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</si>
  <si>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</si>
  <si>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</si>
  <si>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</si>
  <si>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</si>
  <si>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</si>
  <si>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</si>
  <si>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</si>
  <si>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</si>
  <si>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</si>
  <si>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</si>
  <si>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</si>
  <si>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</si>
  <si>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</si>
  <si>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</si>
  <si>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</si>
  <si>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</si>
  <si>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</si>
  <si>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</si>
  <si>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</si>
  <si>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</si>
  <si>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</si>
  <si>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</si>
  <si>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</si>
  <si>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</si>
  <si>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</si>
  <si>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</si>
  <si>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</si>
  <si>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</si>
  <si>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</si>
  <si>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</si>
  <si>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</si>
  <si>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</si>
  <si>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</si>
  <si>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</si>
  <si>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</si>
  <si>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</si>
  <si>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</si>
  <si>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</si>
  <si>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</si>
  <si>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</si>
  <si>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</si>
  <si>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</si>
  <si>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</si>
  <si>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</si>
  <si>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</si>
  <si>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</si>
  <si>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</si>
  <si>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</si>
  <si>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</si>
  <si>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</si>
  <si>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</si>
  <si>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</si>
  <si>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</si>
  <si>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</si>
  <si>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</si>
  <si>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</si>
  <si>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</si>
  <si>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</si>
  <si>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</si>
  <si>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</si>
  <si>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</si>
  <si>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</si>
  <si>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</si>
  <si>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</si>
  <si>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</si>
  <si>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</si>
  <si>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</si>
  <si>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</si>
  <si>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</si>
  <si>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</si>
  <si>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</si>
  <si>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</si>
  <si>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</si>
  <si>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</si>
  <si>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</si>
  <si>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</si>
  <si>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</si>
  <si>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</si>
  <si>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</si>
  <si>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</si>
  <si>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</si>
  <si>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</si>
  <si>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</si>
  <si>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</si>
  <si>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</si>
  <si>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</si>
  <si>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</si>
  <si>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</si>
  <si>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</si>
  <si>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</si>
  <si>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</si>
  <si>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</si>
  <si>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</si>
  <si>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</si>
  <si>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</si>
  <si>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</si>
  <si>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</si>
  <si>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</si>
  <si>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</si>
  <si>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</si>
  <si>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</si>
  <si>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</si>
  <si>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</si>
  <si>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</si>
  <si>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</si>
  <si>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</si>
  <si>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</si>
  <si>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</si>
  <si>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</si>
  <si>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</si>
  <si>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</si>
  <si>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</si>
  <si>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</si>
  <si>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</si>
  <si>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</si>
  <si>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</si>
  <si>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</si>
  <si>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</si>
  <si>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</si>
  <si>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</si>
  <si>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</si>
  <si>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</si>
  <si>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</si>
  <si>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</si>
  <si>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</si>
  <si>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</si>
  <si>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</si>
  <si>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</si>
  <si>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</si>
  <si>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</si>
  <si>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</si>
  <si>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</si>
  <si>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</si>
  <si>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</si>
  <si>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</si>
  <si>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</si>
  <si>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</si>
  <si>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</si>
  <si>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</si>
  <si>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</si>
  <si>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</si>
  <si>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</si>
  <si>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</si>
  <si>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</si>
  <si>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</si>
  <si>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</si>
  <si>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</si>
  <si>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</si>
  <si>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</si>
  <si>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</si>
  <si>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</si>
  <si>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</si>
  <si>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</si>
  <si>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</si>
  <si>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</si>
  <si>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</si>
  <si>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</si>
  <si>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</si>
  <si>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</si>
  <si>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</si>
  <si>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</si>
  <si>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</si>
  <si>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</si>
  <si>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</si>
  <si>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</si>
  <si>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</si>
  <si>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</si>
  <si>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</si>
  <si>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</si>
  <si>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</si>
  <si>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</si>
  <si>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</si>
  <si>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</si>
  <si>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</si>
  <si>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</si>
  <si>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</si>
  <si>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</si>
  <si>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</si>
  <si>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</si>
  <si>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</si>
  <si>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</si>
  <si>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</si>
  <si>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</si>
  <si>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</si>
  <si>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</si>
  <si>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</si>
  <si>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</si>
  <si>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</si>
  <si>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</si>
  <si>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</si>
  <si>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</si>
  <si>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</si>
  <si>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</si>
  <si>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</si>
  <si>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</si>
  <si>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</si>
  <si>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</si>
  <si>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</si>
  <si>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</si>
  <si>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</si>
  <si>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</si>
  <si>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</si>
  <si>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</si>
  <si>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</si>
  <si>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</si>
  <si>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</si>
  <si>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</si>
  <si>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</si>
  <si>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</si>
  <si>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</si>
  <si>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</si>
  <si>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</si>
  <si>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</si>
  <si>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</si>
  <si>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</si>
  <si>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</si>
  <si>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</si>
  <si>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</si>
  <si>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</si>
  <si>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</si>
  <si>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</si>
  <si>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</si>
  <si>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</si>
  <si>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</si>
  <si>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</si>
  <si>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</si>
  <si>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</si>
  <si>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</si>
  <si>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</si>
  <si>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</si>
  <si>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</si>
  <si>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</si>
  <si>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</si>
  <si>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</si>
  <si>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</si>
  <si>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</si>
  <si>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</si>
  <si>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</si>
  <si>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郑燚</t>
  </si>
  <si>
    <t>吴薇</t>
  </si>
  <si>
    <t>中冶地（北京）房地产开发有限公司</t>
    <phoneticPr fontId="6" type="noConversion"/>
  </si>
  <si>
    <t>渤海银行北京航天桥支行</t>
    <phoneticPr fontId="6" type="noConversion"/>
  </si>
  <si>
    <t>抵押</t>
  </si>
  <si>
    <t>房地产抵押价值</t>
  </si>
  <si>
    <t>已注销</t>
  </si>
  <si>
    <t>北京市</t>
  </si>
  <si>
    <r>
      <rPr>
        <sz val="10"/>
        <color theme="9" tint="-0.249977111117893"/>
        <rFont val="宋体"/>
        <family val="3"/>
        <charset val="134"/>
      </rPr>
      <t>东城区东直门外大街</t>
    </r>
    <r>
      <rPr>
        <sz val="10"/>
        <color theme="9" tint="-0.249977111117893"/>
        <rFont val="Arial"/>
        <family val="2"/>
      </rPr>
      <t>42</t>
    </r>
    <r>
      <rPr>
        <sz val="10"/>
        <color theme="9" tint="-0.249977111117893"/>
        <rFont val="宋体"/>
        <family val="3"/>
        <charset val="134"/>
      </rPr>
      <t>号</t>
    </r>
    <phoneticPr fontId="6" type="noConversion"/>
  </si>
  <si>
    <t>企业</t>
  </si>
  <si>
    <t>出让</t>
  </si>
  <si>
    <t>商业、地下车库</t>
    <phoneticPr fontId="6" type="noConversion"/>
  </si>
  <si>
    <t>是</t>
  </si>
  <si>
    <t>否</t>
  </si>
  <si>
    <t>复印件</t>
  </si>
  <si>
    <t>商业项目</t>
  </si>
  <si>
    <t>通路</t>
  </si>
  <si>
    <t>通电</t>
  </si>
  <si>
    <t>通讯</t>
  </si>
  <si>
    <t>通上水</t>
  </si>
  <si>
    <t>通下水</t>
  </si>
  <si>
    <t>燃气</t>
  </si>
  <si>
    <r>
      <t>X</t>
    </r>
    <r>
      <rPr>
        <sz val="10"/>
        <color indexed="8"/>
        <rFont val="宋体"/>
        <family val="3"/>
        <charset val="134"/>
      </rPr>
      <t>京房权证东字第</t>
    </r>
    <r>
      <rPr>
        <sz val="10"/>
        <color indexed="8"/>
        <rFont val="Arial"/>
        <family val="2"/>
      </rPr>
      <t>028907</t>
    </r>
    <r>
      <rPr>
        <sz val="10"/>
        <color indexed="8"/>
        <rFont val="宋体"/>
        <family val="3"/>
        <charset val="134"/>
      </rPr>
      <t>号</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</si>
  <si>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</si>
  <si>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地上</t>
  </si>
  <si>
    <t>独立商业</t>
  </si>
  <si>
    <t>地下</t>
  </si>
  <si>
    <t>车库</t>
  </si>
  <si>
    <r>
      <t>1</t>
    </r>
    <r>
      <rPr>
        <sz val="10"/>
        <color indexed="8"/>
        <rFont val="宋体"/>
        <family val="3"/>
        <charset val="134"/>
      </rPr>
      <t>层</t>
    </r>
    <phoneticPr fontId="3" type="noConversion"/>
  </si>
  <si>
    <r>
      <t>2层</t>
    </r>
    <r>
      <rPr>
        <sz val="10"/>
        <color indexed="8"/>
        <rFont val="宋体"/>
        <family val="3"/>
        <charset val="134"/>
      </rPr>
      <t/>
    </r>
  </si>
  <si>
    <r>
      <t>3层</t>
    </r>
    <r>
      <rPr>
        <sz val="10"/>
        <color indexed="8"/>
        <rFont val="宋体"/>
        <family val="3"/>
        <charset val="134"/>
      </rPr>
      <t/>
    </r>
  </si>
  <si>
    <r>
      <t>4层</t>
    </r>
    <r>
      <rPr>
        <sz val="10"/>
        <color indexed="8"/>
        <rFont val="宋体"/>
        <family val="3"/>
        <charset val="134"/>
      </rPr>
      <t/>
    </r>
  </si>
  <si>
    <r>
      <t>5层</t>
    </r>
    <r>
      <rPr>
        <sz val="10"/>
        <color indexed="8"/>
        <rFont val="宋体"/>
        <family val="3"/>
        <charset val="134"/>
      </rPr>
      <t/>
    </r>
  </si>
  <si>
    <r>
      <t>X</t>
    </r>
    <r>
      <rPr>
        <sz val="10"/>
        <color indexed="8"/>
        <rFont val="宋体"/>
        <family val="3"/>
        <charset val="134"/>
      </rPr>
      <t>京房权证东字第</t>
    </r>
    <r>
      <rPr>
        <sz val="10"/>
        <color indexed="8"/>
        <rFont val="Arial"/>
        <family val="2"/>
      </rPr>
      <t>028906</t>
    </r>
    <r>
      <rPr>
        <sz val="10"/>
        <color indexed="8"/>
        <rFont val="宋体"/>
        <family val="3"/>
        <charset val="134"/>
      </rPr>
      <t>号</t>
    </r>
    <phoneticPr fontId="3" type="noConversion"/>
  </si>
  <si>
    <t>商业</t>
    <phoneticPr fontId="7" type="noConversion"/>
  </si>
  <si>
    <t>成新度</t>
  </si>
  <si>
    <t>利息：取LPR加浮动点数</t>
  </si>
  <si>
    <r>
      <rPr>
        <sz val="10"/>
        <color indexed="8"/>
        <rFont val="宋体"/>
        <family val="3"/>
        <charset val="134"/>
      </rPr>
      <t>地下</t>
    </r>
    <r>
      <rPr>
        <sz val="10"/>
        <color indexed="8"/>
        <rFont val="Arial"/>
        <family val="2"/>
      </rPr>
      <t>2</t>
    </r>
    <r>
      <rPr>
        <sz val="10"/>
        <color indexed="8"/>
        <rFont val="宋体"/>
        <family val="3"/>
        <charset val="134"/>
      </rPr>
      <t>层</t>
    </r>
    <phoneticPr fontId="3" type="noConversion"/>
  </si>
  <si>
    <r>
      <rPr>
        <sz val="10"/>
        <color indexed="8"/>
        <rFont val="宋体"/>
        <family val="3"/>
        <charset val="134"/>
      </rPr>
      <t>地下</t>
    </r>
    <r>
      <rPr>
        <sz val="10"/>
        <color indexed="8"/>
        <rFont val="Arial"/>
        <family val="2"/>
      </rPr>
      <t>3</t>
    </r>
    <r>
      <rPr>
        <sz val="10"/>
        <color indexed="8"/>
        <rFont val="宋体"/>
        <family val="3"/>
        <charset val="134"/>
      </rPr>
      <t>层</t>
    </r>
    <phoneticPr fontId="3" type="noConversion"/>
  </si>
  <si>
    <t>收益法</t>
  </si>
  <si>
    <t>押一</t>
  </si>
  <si>
    <t>按租金收入计税</t>
  </si>
  <si>
    <t>钢混</t>
  </si>
  <si>
    <t>非生产用房</t>
  </si>
  <si>
    <t>建筑面积</t>
    <phoneticPr fontId="3" type="noConversion"/>
  </si>
  <si>
    <t>系数</t>
    <phoneticPr fontId="3" type="noConversion"/>
  </si>
  <si>
    <t>租赁合同租金</t>
    <phoneticPr fontId="3" type="noConversion"/>
  </si>
  <si>
    <t>现房</t>
  </si>
  <si>
    <t>项目全部</t>
  </si>
  <si>
    <t>成本法</t>
  </si>
  <si>
    <t>全部缴纳</t>
  </si>
  <si>
    <t>未包含在土地购买价格中</t>
  </si>
  <si>
    <t>已包含在土地取得成本中</t>
  </si>
  <si>
    <t>成本比率</t>
  </si>
  <si>
    <t>总价</t>
  </si>
  <si>
    <t>序号</t>
    <phoneticPr fontId="140" type="noConversion"/>
  </si>
  <si>
    <t>不动产权证证号</t>
    <phoneticPr fontId="140" type="noConversion"/>
  </si>
  <si>
    <t>坐落</t>
    <phoneticPr fontId="140" type="noConversion"/>
  </si>
  <si>
    <t>房号</t>
    <phoneticPr fontId="140" type="noConversion"/>
  </si>
  <si>
    <t>房屋总层数</t>
    <phoneticPr fontId="140" type="noConversion"/>
  </si>
  <si>
    <t>所在层数</t>
    <phoneticPr fontId="140" type="noConversion"/>
  </si>
  <si>
    <t>建筑面积</t>
  </si>
  <si>
    <t>建筑面积</t>
    <phoneticPr fontId="140" type="noConversion"/>
  </si>
  <si>
    <t>规划用途</t>
    <phoneticPr fontId="140" type="noConversion"/>
  </si>
  <si>
    <t>现状用途</t>
    <phoneticPr fontId="140" type="noConversion"/>
  </si>
  <si>
    <t>北京市东城区东直门外大街42号</t>
    <phoneticPr fontId="140" type="noConversion"/>
  </si>
  <si>
    <t>X京房权证东字第028907号</t>
    <phoneticPr fontId="140" type="noConversion"/>
  </si>
  <si>
    <r>
      <t>1</t>
    </r>
    <r>
      <rPr>
        <sz val="11"/>
        <color theme="1"/>
        <rFont val="宋体"/>
        <family val="3"/>
        <charset val="134"/>
        <scheme val="minor"/>
      </rPr>
      <t>5（-04）</t>
    </r>
    <phoneticPr fontId="140" type="noConversion"/>
  </si>
  <si>
    <r>
      <t>-</t>
    </r>
    <r>
      <rPr>
        <sz val="11"/>
        <color theme="1"/>
        <rFont val="宋体"/>
        <family val="3"/>
        <charset val="134"/>
        <scheme val="minor"/>
      </rPr>
      <t>1层</t>
    </r>
    <phoneticPr fontId="140" type="noConversion"/>
  </si>
  <si>
    <r>
      <t>-</t>
    </r>
    <r>
      <rPr>
        <sz val="11"/>
        <color theme="1"/>
        <rFont val="宋体"/>
        <family val="3"/>
        <charset val="134"/>
        <scheme val="minor"/>
      </rPr>
      <t>101</t>
    </r>
    <phoneticPr fontId="140" type="noConversion"/>
  </si>
  <si>
    <t>餐饮、商店</t>
    <phoneticPr fontId="140" type="noConversion"/>
  </si>
  <si>
    <t>商业用房</t>
    <phoneticPr fontId="140" type="noConversion"/>
  </si>
  <si>
    <t>1层</t>
    <phoneticPr fontId="140" type="noConversion"/>
  </si>
  <si>
    <t>2层</t>
  </si>
  <si>
    <t>3层</t>
  </si>
  <si>
    <t>4层</t>
  </si>
  <si>
    <t>5层</t>
  </si>
  <si>
    <r>
      <t>1</t>
    </r>
    <r>
      <rPr>
        <sz val="11"/>
        <color theme="1"/>
        <rFont val="宋体"/>
        <family val="3"/>
        <charset val="134"/>
        <scheme val="minor"/>
      </rPr>
      <t>01</t>
    </r>
    <phoneticPr fontId="140" type="noConversion"/>
  </si>
  <si>
    <r>
      <t>2</t>
    </r>
    <r>
      <rPr>
        <sz val="11"/>
        <color theme="1"/>
        <rFont val="宋体"/>
        <family val="3"/>
        <charset val="134"/>
        <scheme val="minor"/>
      </rPr>
      <t>01</t>
    </r>
    <phoneticPr fontId="140" type="noConversion"/>
  </si>
  <si>
    <r>
      <t>3</t>
    </r>
    <r>
      <rPr>
        <sz val="11"/>
        <color theme="1"/>
        <rFont val="宋体"/>
        <family val="3"/>
        <charset val="134"/>
        <scheme val="minor"/>
      </rPr>
      <t>01</t>
    </r>
    <phoneticPr fontId="140" type="noConversion"/>
  </si>
  <si>
    <r>
      <t>4</t>
    </r>
    <r>
      <rPr>
        <sz val="11"/>
        <color theme="1"/>
        <rFont val="宋体"/>
        <family val="3"/>
        <charset val="134"/>
        <scheme val="minor"/>
      </rPr>
      <t>01</t>
    </r>
    <phoneticPr fontId="140" type="noConversion"/>
  </si>
  <si>
    <r>
      <t>5</t>
    </r>
    <r>
      <rPr>
        <sz val="11"/>
        <color theme="1"/>
        <rFont val="宋体"/>
        <family val="3"/>
        <charset val="134"/>
        <scheme val="minor"/>
      </rPr>
      <t>01</t>
    </r>
    <phoneticPr fontId="140" type="noConversion"/>
  </si>
  <si>
    <t>X京房权证东字第028906号</t>
    <phoneticPr fontId="140" type="noConversion"/>
  </si>
  <si>
    <t>X京房权证东字第028906号</t>
    <phoneticPr fontId="140" type="noConversion"/>
  </si>
  <si>
    <t>北京市东城区东直门外大街42号</t>
    <phoneticPr fontId="140" type="noConversion"/>
  </si>
  <si>
    <r>
      <t>1</t>
    </r>
    <r>
      <rPr>
        <sz val="11"/>
        <color theme="1"/>
        <rFont val="宋体"/>
        <family val="3"/>
        <charset val="134"/>
        <scheme val="minor"/>
      </rPr>
      <t>5（-04）</t>
    </r>
    <phoneticPr fontId="140" type="noConversion"/>
  </si>
  <si>
    <t>6层</t>
    <phoneticPr fontId="140" type="noConversion"/>
  </si>
  <si>
    <t>7层</t>
    <phoneticPr fontId="140" type="noConversion"/>
  </si>
  <si>
    <t>8层</t>
    <phoneticPr fontId="140" type="noConversion"/>
  </si>
  <si>
    <t>9层</t>
    <phoneticPr fontId="140" type="noConversion"/>
  </si>
  <si>
    <r>
      <t>1</t>
    </r>
    <r>
      <rPr>
        <sz val="11"/>
        <color theme="1"/>
        <rFont val="宋体"/>
        <family val="3"/>
        <charset val="134"/>
        <scheme val="minor"/>
      </rPr>
      <t>1层</t>
    </r>
    <phoneticPr fontId="140" type="noConversion"/>
  </si>
  <si>
    <r>
      <t>1</t>
    </r>
    <r>
      <rPr>
        <sz val="11"/>
        <color theme="1"/>
        <rFont val="宋体"/>
        <family val="3"/>
        <charset val="134"/>
        <scheme val="minor"/>
      </rPr>
      <t>2层</t>
    </r>
    <phoneticPr fontId="140" type="noConversion"/>
  </si>
  <si>
    <r>
      <t>1</t>
    </r>
    <r>
      <rPr>
        <sz val="11"/>
        <color theme="1"/>
        <rFont val="宋体"/>
        <family val="3"/>
        <charset val="134"/>
        <scheme val="minor"/>
      </rPr>
      <t>3层</t>
    </r>
    <phoneticPr fontId="140" type="noConversion"/>
  </si>
  <si>
    <r>
      <t>1</t>
    </r>
    <r>
      <rPr>
        <sz val="11"/>
        <color theme="1"/>
        <rFont val="宋体"/>
        <family val="3"/>
        <charset val="134"/>
        <scheme val="minor"/>
      </rPr>
      <t>4层</t>
    </r>
    <phoneticPr fontId="140" type="noConversion"/>
  </si>
  <si>
    <r>
      <t>1</t>
    </r>
    <r>
      <rPr>
        <sz val="11"/>
        <color theme="1"/>
        <rFont val="宋体"/>
        <family val="3"/>
        <charset val="134"/>
        <scheme val="minor"/>
      </rPr>
      <t>5层</t>
    </r>
    <phoneticPr fontId="140" type="noConversion"/>
  </si>
  <si>
    <r>
      <t>-</t>
    </r>
    <r>
      <rPr>
        <sz val="11"/>
        <color theme="1"/>
        <rFont val="宋体"/>
        <family val="3"/>
        <charset val="134"/>
        <scheme val="minor"/>
      </rPr>
      <t>2层</t>
    </r>
    <phoneticPr fontId="140" type="noConversion"/>
  </si>
  <si>
    <r>
      <t>-</t>
    </r>
    <r>
      <rPr>
        <sz val="11"/>
        <color theme="1"/>
        <rFont val="宋体"/>
        <family val="3"/>
        <charset val="134"/>
        <scheme val="minor"/>
      </rPr>
      <t>3层</t>
    </r>
    <phoneticPr fontId="140" type="noConversion"/>
  </si>
  <si>
    <t>-201</t>
    <phoneticPr fontId="140" type="noConversion"/>
  </si>
  <si>
    <t>-301</t>
    <phoneticPr fontId="140" type="noConversion"/>
  </si>
  <si>
    <t>合计</t>
    <phoneticPr fontId="140" type="noConversion"/>
  </si>
  <si>
    <t>车库</t>
    <phoneticPr fontId="140" type="noConversion"/>
  </si>
  <si>
    <t>酒店会馆</t>
    <phoneticPr fontId="140" type="noConversion"/>
  </si>
  <si>
    <t>酒店</t>
    <phoneticPr fontId="140" type="noConversion"/>
  </si>
  <si>
    <t>办公用房</t>
    <phoneticPr fontId="140" type="noConversion"/>
  </si>
  <si>
    <r>
      <t>项</t>
    </r>
    <r>
      <rPr>
        <sz val="9"/>
        <color theme="1"/>
        <rFont val="Arial"/>
        <family val="2"/>
      </rPr>
      <t xml:space="preserve"> </t>
    </r>
    <r>
      <rPr>
        <sz val="9"/>
        <color theme="1"/>
        <rFont val="华文细黑"/>
        <family val="3"/>
        <charset val="134"/>
      </rPr>
      <t>目</t>
    </r>
    <r>
      <rPr>
        <sz val="9"/>
        <color theme="1"/>
        <rFont val="Arial"/>
        <family val="2"/>
      </rPr>
      <t xml:space="preserve"> </t>
    </r>
    <r>
      <rPr>
        <sz val="9"/>
        <color theme="1"/>
        <rFont val="华文细黑"/>
        <family val="3"/>
        <charset val="134"/>
      </rPr>
      <t>名</t>
    </r>
    <r>
      <rPr>
        <sz val="9"/>
        <color theme="1"/>
        <rFont val="Arial"/>
        <family val="2"/>
      </rPr>
      <t xml:space="preserve"> </t>
    </r>
    <r>
      <rPr>
        <sz val="9"/>
        <color theme="1"/>
        <rFont val="华文细黑"/>
        <family val="3"/>
        <charset val="134"/>
      </rPr>
      <t>称</t>
    </r>
  </si>
  <si>
    <t>分摊土地面积</t>
  </si>
  <si>
    <t>出让国有建设用地使用权价值</t>
  </si>
  <si>
    <t>建筑物价值</t>
  </si>
  <si>
    <t>房地产价值</t>
  </si>
  <si>
    <t>楼面单价</t>
  </si>
  <si>
    <r>
      <t>总</t>
    </r>
    <r>
      <rPr>
        <sz val="9"/>
        <color theme="1"/>
        <rFont val="Arial"/>
        <family val="2"/>
      </rPr>
      <t xml:space="preserve"> </t>
    </r>
    <r>
      <rPr>
        <sz val="9"/>
        <color theme="1"/>
        <rFont val="华文细黑"/>
        <family val="3"/>
        <charset val="134"/>
      </rPr>
      <t>价</t>
    </r>
  </si>
  <si>
    <r>
      <t>北京市东城区东直门外大街</t>
    </r>
    <r>
      <rPr>
        <sz val="9"/>
        <color rgb="FF000000"/>
        <rFont val="Arial"/>
        <family val="2"/>
      </rPr>
      <t>42</t>
    </r>
    <r>
      <rPr>
        <sz val="9"/>
        <color rgb="FF000000"/>
        <rFont val="华文细黑"/>
        <family val="3"/>
        <charset val="134"/>
      </rPr>
      <t>号地下</t>
    </r>
    <r>
      <rPr>
        <sz val="9"/>
        <color rgb="FF000000"/>
        <rFont val="Arial"/>
        <family val="2"/>
      </rPr>
      <t>1</t>
    </r>
    <r>
      <rPr>
        <sz val="9"/>
        <color rgb="FF000000"/>
        <rFont val="华文细黑"/>
        <family val="3"/>
        <charset val="134"/>
      </rPr>
      <t>层至地上</t>
    </r>
    <r>
      <rPr>
        <sz val="9"/>
        <color rgb="FF000000"/>
        <rFont val="Arial"/>
        <family val="2"/>
      </rPr>
      <t>5</t>
    </r>
    <r>
      <rPr>
        <sz val="9"/>
        <color rgb="FF000000"/>
        <rFont val="华文细黑"/>
        <family val="3"/>
        <charset val="134"/>
      </rPr>
      <t>层商业用房房地产</t>
    </r>
  </si>
  <si>
    <r>
      <t>北京市东城区东直门外大街</t>
    </r>
    <r>
      <rPr>
        <sz val="9"/>
        <color rgb="FF000000"/>
        <rFont val="Arial"/>
        <family val="2"/>
      </rPr>
      <t>42</t>
    </r>
    <r>
      <rPr>
        <sz val="9"/>
        <color rgb="FF000000"/>
        <rFont val="华文细黑"/>
        <family val="3"/>
        <charset val="134"/>
      </rPr>
      <t>号部分商业（酒店）用房及地下车库用房房地产</t>
    </r>
  </si>
  <si>
    <t>大写金额</t>
  </si>
  <si>
    <t>估价师知悉的除抵押担保权以外的其他法定优先受偿款</t>
  </si>
  <si>
    <t>抵押担保权已注销时的房地产抵押价值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</si>
</sst>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华文细黑"/>
      <family val="3"/>
      <charset val="134"/>
    </font>
    <font>
      <sz val="9"/>
      <color theme="1"/>
      <name val="Arial"/>
      <family val="2"/>
    </font>
    <font>
      <sz val="9"/>
      <color rgb="FF000000"/>
      <name val="华文细黑"/>
      <family val="3"/>
      <charset val="134"/>
    </font>
    <font>
      <sz val="9"/>
      <color rgb="FF000000"/>
      <name val="Arial"/>
      <family val="2"/>
    </font>
    <font>
      <b/>
      <sz val="9"/>
      <color theme="1"/>
      <name val="华文细黑"/>
      <family val="3"/>
      <charset val="134"/>
    </font>
    <font>
      <b/>
      <sz val="9"/>
      <color theme="1"/>
      <name val="Arial"/>
      <family val="2"/>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top style="double">
        <color rgb="FF404040"/>
      </top>
      <bottom style="dotted">
        <color rgb="FF404040"/>
      </bottom>
      <diagonal/>
    </border>
    <border>
      <left style="dotted">
        <color rgb="FF404040"/>
      </left>
      <right/>
      <top style="dotted">
        <color rgb="FF404040"/>
      </top>
      <bottom style="dotted">
        <color rgb="FF404040"/>
      </bottom>
      <diagonal/>
    </border>
    <border>
      <left/>
      <right/>
      <top style="dotted">
        <color rgb="FF404040"/>
      </top>
      <bottom style="dotted">
        <color rgb="FF404040"/>
      </bottom>
      <diagonal/>
    </border>
    <border>
      <left/>
      <right style="dotted">
        <color rgb="FF404040"/>
      </right>
      <top style="dotted">
        <color rgb="FF404040"/>
      </top>
      <bottom style="dotted">
        <color rgb="FF404040"/>
      </bottom>
      <diagonal/>
    </border>
    <border>
      <left style="dotted">
        <color rgb="FF404040"/>
      </left>
      <right/>
      <top style="dotted">
        <color rgb="FF404040"/>
      </top>
      <bottom style="double">
        <color rgb="FF404040"/>
      </bottom>
      <diagonal/>
    </border>
    <border>
      <left/>
      <right/>
      <top style="dotted">
        <color rgb="FF404040"/>
      </top>
      <bottom style="double">
        <color rgb="FF404040"/>
      </bottom>
      <diagonal/>
    </border>
    <border>
      <left/>
      <right style="dotted">
        <color rgb="FF404040"/>
      </right>
      <top style="dotted">
        <color rgb="FF404040"/>
      </top>
      <bottom style="double">
        <color rgb="FF404040"/>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5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79" fillId="7" borderId="5" xfId="0" applyFont="1" applyFill="1" applyBorder="1" applyAlignment="1" applyProtection="1">
      <alignment vertical="center"/>
      <protection locked="0"/>
    </xf>
    <xf numFmtId="0" fontId="79" fillId="7" borderId="150" xfId="0" applyFont="1" applyFill="1" applyBorder="1" applyAlignment="1" applyProtection="1">
      <alignment horizontal="left" vertical="center" wrapText="1"/>
      <protection locked="0"/>
    </xf>
    <xf numFmtId="177" fontId="79" fillId="0" borderId="1" xfId="1" applyNumberFormat="1" applyFont="1" applyFill="1" applyBorder="1" applyAlignment="1" applyProtection="1">
      <alignment vertical="center"/>
      <protection locked="0" hidden="1"/>
    </xf>
    <xf numFmtId="181" fontId="49" fillId="12" borderId="0" xfId="17" applyNumberFormat="1" applyFont="1" applyFill="1" applyAlignment="1" applyProtection="1">
      <alignment vertical="center"/>
      <protection locked="0"/>
    </xf>
    <xf numFmtId="10" fontId="49" fillId="12" borderId="0" xfId="17" applyNumberFormat="1" applyFont="1" applyFill="1" applyAlignment="1" applyProtection="1">
      <alignment vertical="center"/>
      <protection locked="0"/>
    </xf>
    <xf numFmtId="9" fontId="49" fillId="12" borderId="0" xfId="0" applyNumberFormat="1" applyFont="1" applyFill="1" applyAlignment="1" applyProtection="1">
      <alignment vertical="center"/>
      <protection locked="0"/>
    </xf>
    <xf numFmtId="0" fontId="49" fillId="0" borderId="2" xfId="0" applyFont="1" applyBorder="1" applyAlignment="1" applyProtection="1">
      <alignment horizontal="center" vertical="center" wrapText="1"/>
      <protection locked="0"/>
    </xf>
    <xf numFmtId="0" fontId="79" fillId="12" borderId="0" xfId="0" applyFont="1" applyFill="1" applyAlignment="1" applyProtection="1">
      <alignmen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232"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98" fillId="0" borderId="1" xfId="0" applyFont="1" applyBorder="1">
      <alignment vertical="center"/>
    </xf>
    <xf numFmtId="0" fontId="0" fillId="0" borderId="1" xfId="0" applyBorder="1">
      <alignment vertical="center"/>
    </xf>
    <xf numFmtId="49" fontId="98" fillId="0" borderId="1" xfId="0" applyNumberFormat="1" applyFont="1" applyBorder="1">
      <alignment vertical="center"/>
    </xf>
    <xf numFmtId="49" fontId="0" fillId="0" borderId="0" xfId="0" applyNumberFormat="1">
      <alignment vertical="center"/>
    </xf>
    <xf numFmtId="0" fontId="0" fillId="0" borderId="1" xfId="0" applyBorder="1" applyAlignment="1">
      <alignment horizontal="left" vertical="center"/>
    </xf>
    <xf numFmtId="49" fontId="98" fillId="0" borderId="1" xfId="0" applyNumberFormat="1" applyFont="1" applyBorder="1" applyAlignment="1">
      <alignment horizontal="left" vertical="center"/>
    </xf>
    <xf numFmtId="0" fontId="98" fillId="0" borderId="1" xfId="0" applyNumberFormat="1" applyFont="1" applyBorder="1" applyAlignment="1">
      <alignment horizontal="left" vertical="center"/>
    </xf>
    <xf numFmtId="0" fontId="98" fillId="0" borderId="1" xfId="0" applyFont="1" applyBorder="1" applyAlignment="1">
      <alignment horizontal="left" vertical="center"/>
    </xf>
    <xf numFmtId="0" fontId="256" fillId="0" borderId="163" xfId="0" applyFont="1" applyBorder="1" applyAlignment="1">
      <alignment vertical="center" wrapText="1"/>
    </xf>
    <xf numFmtId="0" fontId="258" fillId="0" borderId="161" xfId="0" applyFont="1" applyBorder="1" applyAlignment="1">
      <alignment vertical="center" wrapText="1"/>
    </xf>
    <xf numFmtId="0" fontId="259" fillId="0" borderId="163" xfId="0" applyFont="1" applyBorder="1" applyAlignment="1">
      <alignment horizontal="justify" vertical="center" wrapText="1"/>
    </xf>
    <xf numFmtId="0" fontId="256" fillId="0" borderId="161" xfId="0" applyFont="1" applyBorder="1" applyAlignment="1">
      <alignment vertical="center" wrapText="1"/>
    </xf>
    <xf numFmtId="0" fontId="256" fillId="0" borderId="160" xfId="0" applyFont="1" applyBorder="1" applyAlignment="1">
      <alignment vertical="center" wrapText="1"/>
    </xf>
    <xf numFmtId="0" fontId="256" fillId="0" borderId="161" xfId="0" applyFont="1" applyBorder="1" applyAlignment="1">
      <alignment vertical="center" wrapText="1"/>
    </xf>
    <xf numFmtId="0" fontId="256" fillId="0" borderId="164" xfId="0" applyFont="1" applyBorder="1" applyAlignment="1">
      <alignment vertical="center" wrapText="1"/>
    </xf>
    <xf numFmtId="0" fontId="256" fillId="0" borderId="162" xfId="0" applyFont="1" applyBorder="1" applyAlignment="1">
      <alignment vertical="center" wrapText="1"/>
    </xf>
    <xf numFmtId="0" fontId="256" fillId="0" borderId="165" xfId="0" applyFont="1" applyBorder="1" applyAlignment="1">
      <alignment vertical="center" wrapText="1"/>
    </xf>
    <xf numFmtId="0" fontId="256" fillId="0" borderId="166" xfId="0" applyFont="1" applyBorder="1" applyAlignment="1">
      <alignment vertical="center" wrapText="1"/>
    </xf>
    <xf numFmtId="0" fontId="256" fillId="0" borderId="167" xfId="0" applyFont="1" applyBorder="1" applyAlignment="1">
      <alignment vertical="center" wrapText="1"/>
    </xf>
    <xf numFmtId="0" fontId="259" fillId="0" borderId="165" xfId="0" applyFont="1" applyBorder="1" applyAlignment="1">
      <alignment horizontal="justify" vertical="center" wrapText="1"/>
    </xf>
    <xf numFmtId="0" fontId="259" fillId="0" borderId="167" xfId="0" applyFont="1" applyBorder="1" applyAlignment="1">
      <alignment horizontal="justify" vertical="center" wrapText="1"/>
    </xf>
    <xf numFmtId="0" fontId="260" fillId="0" borderId="165" xfId="0" applyFont="1" applyBorder="1" applyAlignment="1">
      <alignment vertical="center" wrapText="1"/>
    </xf>
    <xf numFmtId="0" fontId="260" fillId="0" borderId="166" xfId="0" applyFont="1" applyBorder="1" applyAlignment="1">
      <alignment vertical="center" wrapText="1"/>
    </xf>
    <xf numFmtId="0" fontId="260" fillId="0" borderId="167" xfId="0" applyFont="1" applyBorder="1" applyAlignment="1">
      <alignment vertical="center" wrapText="1"/>
    </xf>
    <xf numFmtId="0" fontId="261" fillId="0" borderId="165" xfId="0" applyFont="1" applyBorder="1" applyAlignment="1">
      <alignment vertical="center" wrapText="1"/>
    </xf>
    <xf numFmtId="0" fontId="261" fillId="0" borderId="166" xfId="0" applyFont="1" applyBorder="1" applyAlignment="1">
      <alignment vertical="center" wrapText="1"/>
    </xf>
    <xf numFmtId="0" fontId="261" fillId="0" borderId="167" xfId="0" applyFont="1" applyBorder="1" applyAlignment="1">
      <alignment vertical="center" wrapText="1"/>
    </xf>
    <xf numFmtId="0" fontId="257" fillId="0" borderId="165" xfId="0" applyFont="1" applyBorder="1" applyAlignment="1">
      <alignment vertical="center" wrapText="1"/>
    </xf>
    <xf numFmtId="0" fontId="257" fillId="0" borderId="166" xfId="0" applyFont="1" applyBorder="1" applyAlignment="1">
      <alignment vertical="center" wrapText="1"/>
    </xf>
    <xf numFmtId="0" fontId="257" fillId="0" borderId="167" xfId="0" applyFont="1" applyBorder="1" applyAlignment="1">
      <alignment vertical="center" wrapText="1"/>
    </xf>
    <xf numFmtId="0" fontId="256" fillId="0" borderId="168" xfId="0" applyFont="1" applyBorder="1" applyAlignment="1">
      <alignment vertical="center" wrapText="1"/>
    </xf>
    <xf numFmtId="0" fontId="256" fillId="0" borderId="169" xfId="0" applyFont="1" applyBorder="1" applyAlignment="1">
      <alignment vertical="center" wrapText="1"/>
    </xf>
    <xf numFmtId="0" fontId="256" fillId="0" borderId="170" xfId="0" applyFont="1" applyBorder="1" applyAlignment="1">
      <alignment vertical="center" wrapText="1"/>
    </xf>
    <xf numFmtId="0" fontId="257" fillId="0" borderId="168" xfId="0" applyFont="1" applyBorder="1" applyAlignment="1">
      <alignment vertical="center" wrapText="1"/>
    </xf>
    <xf numFmtId="0" fontId="257" fillId="0" borderId="169" xfId="0" applyFont="1" applyBorder="1" applyAlignment="1">
      <alignment vertical="center" wrapText="1"/>
    </xf>
    <xf numFmtId="0" fontId="257" fillId="0" borderId="170" xfId="0" applyFont="1" applyBorder="1" applyAlignment="1">
      <alignment vertical="center" wrapText="1"/>
    </xf>
    <xf numFmtId="0" fontId="259" fillId="0" borderId="165" xfId="0" applyFont="1" applyBorder="1" applyAlignment="1">
      <alignment horizontal="center" vertical="center" wrapText="1"/>
    </xf>
    <xf numFmtId="0" fontId="259" fillId="0" borderId="167" xfId="0" applyFont="1" applyBorder="1" applyAlignment="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3431;&#39134;&#22823;&#21414;-6-15&#23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结果表车"/>
      <sheetName val="成本法车"/>
      <sheetName val="收益法车"/>
      <sheetName val="地价"/>
      <sheetName val="典型户型修正"/>
      <sheetName val="成本法（废）"/>
      <sheetName val="区片价"/>
      <sheetName val="因素修正幅度"/>
      <sheetName val="存贷款利率"/>
      <sheetName val="区片价（范围）"/>
      <sheetName val="面积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2473.09</v>
          </cell>
          <cell r="C14">
            <v>379.78</v>
          </cell>
          <cell r="D14">
            <v>10729</v>
          </cell>
        </row>
        <row r="15">
          <cell r="B15">
            <v>5122.1900000000005</v>
          </cell>
          <cell r="C15">
            <v>786.58</v>
          </cell>
          <cell r="D15">
            <v>8676</v>
          </cell>
        </row>
      </sheetData>
      <sheetData sheetId="17"/>
      <sheetData sheetId="18"/>
      <sheetData sheetId="19"/>
      <sheetData sheetId="20"/>
      <sheetData sheetId="21">
        <row r="13">
          <cell r="C13">
            <v>1227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3">
          <cell r="C13">
            <v>2227</v>
          </cell>
        </row>
      </sheetData>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北京市东城区东直门外大街42号房地产抵押价值预评估</v>
      </c>
    </row>
    <row r="3" spans="1:2" s="1337" customFormat="1">
      <c r="A3" s="1335" t="s">
        <v>1129</v>
      </c>
      <c r="B3" s="1336" t="str">
        <f>'预评函-封皮'!B40</f>
        <v>中冶地（北京）房地产开发有限公司</v>
      </c>
    </row>
    <row r="4" spans="1:2" s="1337" customFormat="1">
      <c r="A4" s="1335" t="s">
        <v>1130</v>
      </c>
      <c r="B4" s="1336" t="str">
        <f ca="1">'预评函-封皮'!B46</f>
        <v>郑燚（注册号：1120070131)、吴薇（注册号：1419970001)</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受贵公司委托，我公司对北京市东城区东直门外大街42号房地产抵押价值进行了预评估。</v>
      </c>
    </row>
    <row r="7" spans="1:2" s="1337" customFormat="1">
      <c r="A7" s="1335" t="s">
        <v>1172</v>
      </c>
      <c r="B7" s="1336" t="str">
        <f>'预评函-1'!A7</f>
        <v>估价对象为北京市东城区东直门外大街42号房地产，为中冶地（北京）房地产开发有限公司所有。根据《国有土地使用证》[]，估价对象（分摊）出让国有建设用地使用权面积为1741.52平方米，建筑面积为11340.73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东城区东直门外大街42号房地产,为中冶地（北京）房地产开发有限公司开发建设的商业项目，该项目尚在开发建设中。根据《国有土地使用证》[]，估价对象（分摊）出让国有建设用地使用权面积为1741.52平方米，规划建筑面积为11340.73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为估价委托人在向渤海银行北京航天桥支行办理贷款手续过程中，确定房地产抵押贷款额度提供参考依据而评估房地产抵押价值。</v>
      </c>
    </row>
    <row r="12" spans="1:2" s="1337" customFormat="1">
      <c r="A12" s="1335" t="s">
        <v>1134</v>
      </c>
      <c r="B12" s="1336" t="str">
        <f>'预评函-1'!A15</f>
        <v>2022年3月21日（评估专业人员实地查勘之日）</v>
      </c>
    </row>
    <row r="13" spans="1:2" s="1337" customFormat="1">
      <c r="A13" s="1335" t="s">
        <v>1135</v>
      </c>
      <c r="B13" s="1336" t="str">
        <f>'预评函-1'!A18</f>
        <v>本次估价的“房地产价值”是指在正常市场情况下，在价值时点2022年3月21日，估价对象规划用途为商业、地下车库，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商业、地下车库，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本次估价的“抵押担保权已注销时的房地产抵押价值”是指估价对象在价值时点的“房地产价值”扣减估价师于价值时点所知悉的除抵押担保权以外的其他法定优先受偿款后的余额。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66491</v>
      </c>
    </row>
    <row r="21" spans="1:2" s="1337" customFormat="1">
      <c r="A21" s="1335" t="s">
        <v>1143</v>
      </c>
      <c r="B21" s="1336">
        <f ca="1">'预评函-2'!D7</f>
        <v>58630</v>
      </c>
    </row>
    <row r="22" spans="1:2" s="1337" customFormat="1">
      <c r="A22" s="1335" t="s">
        <v>1144</v>
      </c>
      <c r="B22" s="1336" t="str">
        <f ca="1">'预评函-2'!D6</f>
        <v>陆亿陆仟肆佰玖拾壹万元整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v>
      </c>
    </row>
    <row r="30" spans="1:2" s="1337" customFormat="1">
      <c r="A30" s="1335" t="s">
        <v>1200</v>
      </c>
      <c r="B30" s="1336" t="str">
        <f>'预评函-2'!D13</f>
        <v>——</v>
      </c>
    </row>
    <row r="31" spans="1:2" s="1337" customFormat="1">
      <c r="A31" s="1335" t="s">
        <v>1182</v>
      </c>
      <c r="B31" s="1336" t="e">
        <f>'预评函-2'!D15</f>
        <v>#VALUE!</v>
      </c>
    </row>
    <row r="32" spans="1:2" s="1337" customFormat="1">
      <c r="A32" s="1335" t="s">
        <v>1149</v>
      </c>
      <c r="B32" s="1336" t="e">
        <f>'预评函-2'!D14</f>
        <v>#VALUE!</v>
      </c>
    </row>
    <row r="33" spans="1:2" s="1337" customFormat="1">
      <c r="A33" s="1335" t="s">
        <v>1184</v>
      </c>
      <c r="B33" s="1336" t="str">
        <f>'预评函-2'!B16</f>
        <v>3.抵押担保权已注销时的房地产抵押价值</v>
      </c>
    </row>
    <row r="34" spans="1:2" s="1337" customFormat="1">
      <c r="A34" s="1335" t="s">
        <v>1202</v>
      </c>
      <c r="B34" s="1336">
        <f ca="1">'预评函-2'!D16</f>
        <v>66491</v>
      </c>
    </row>
    <row r="35" spans="1:2" s="1337" customFormat="1">
      <c r="A35" s="1335" t="s">
        <v>1183</v>
      </c>
      <c r="B35" s="1336">
        <f ca="1">'预评函-2'!D18</f>
        <v>58630</v>
      </c>
    </row>
    <row r="36" spans="1:2" s="1337" customFormat="1">
      <c r="A36" s="1335" t="s">
        <v>1150</v>
      </c>
      <c r="B36" s="1336" t="str">
        <f ca="1">'预评函-2'!D17</f>
        <v>陆亿陆仟肆佰玖拾壹万元整</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北京市东城区东直门外大街42号房地产</v>
      </c>
    </row>
    <row r="42" spans="1:2" s="1337" customFormat="1">
      <c r="A42" s="1335" t="s">
        <v>1196</v>
      </c>
      <c r="B42" s="1336" t="str">
        <f>'预评函-3'!B2</f>
        <v>建筑面积</v>
      </c>
    </row>
    <row r="43" spans="1:2" s="1337" customFormat="1">
      <c r="A43" s="1335" t="s">
        <v>1197</v>
      </c>
      <c r="B43" s="1336">
        <f>'预评函-3'!B4</f>
        <v>11340.73</v>
      </c>
    </row>
    <row r="44" spans="1:2" s="1337" customFormat="1">
      <c r="A44" s="1335" t="s">
        <v>1181</v>
      </c>
      <c r="B44" s="1336" t="str">
        <f>'预评函-3'!C2</f>
        <v>(分摊)土地面积</v>
      </c>
    </row>
    <row r="45" spans="1:2" s="1337" customFormat="1">
      <c r="A45" s="1335" t="s">
        <v>1153</v>
      </c>
      <c r="B45" s="1336">
        <f>'预评函-3'!C4</f>
        <v>1741.52</v>
      </c>
    </row>
    <row r="46" spans="1:2" s="1337" customFormat="1">
      <c r="A46" s="1335" t="s">
        <v>1179</v>
      </c>
      <c r="B46" s="1336" t="str">
        <f>'预评函-3'!D2</f>
        <v>出让国有建设用地使用权价值</v>
      </c>
    </row>
    <row r="47" spans="1:2" s="1337" customFormat="1">
      <c r="A47" s="1335" t="s">
        <v>1154</v>
      </c>
      <c r="B47" s="1336">
        <f ca="1">'预评函-3'!D4</f>
        <v>58911</v>
      </c>
    </row>
    <row r="48" spans="1:2" s="1337" customFormat="1">
      <c r="A48" s="1335" t="s">
        <v>1155</v>
      </c>
      <c r="B48" s="1336">
        <f ca="1">'预评函-3'!E4</f>
        <v>51946</v>
      </c>
    </row>
    <row r="49" spans="1:2" s="1337" customFormat="1">
      <c r="A49" s="1335" t="s">
        <v>1156</v>
      </c>
      <c r="B49" s="1336" t="str">
        <f ca="1">'预评函-3'!D5</f>
        <v>伍亿捌仟玖佰壹拾壹万元整</v>
      </c>
    </row>
    <row r="50" spans="1:2" s="1337" customFormat="1">
      <c r="A50" s="1335" t="s">
        <v>1180</v>
      </c>
      <c r="B50" s="1336" t="str">
        <f>'预评函-3'!F2</f>
        <v>在建建筑物价值</v>
      </c>
    </row>
    <row r="51" spans="1:2" s="1337" customFormat="1">
      <c r="A51" s="1335" t="s">
        <v>1157</v>
      </c>
      <c r="B51" s="1336">
        <f ca="1">'预评函-3'!F4</f>
        <v>7580</v>
      </c>
    </row>
    <row r="52" spans="1:2" s="1337" customFormat="1">
      <c r="A52" s="1335" t="s">
        <v>1158</v>
      </c>
      <c r="B52" s="1336">
        <f ca="1">'预评函-3'!G4</f>
        <v>6684</v>
      </c>
    </row>
    <row r="53" spans="1:2" s="1337" customFormat="1">
      <c r="A53" s="1335" t="s">
        <v>1186</v>
      </c>
      <c r="B53" s="1336" t="str">
        <f ca="1">'预评函-3'!F5</f>
        <v>柒仟伍佰捌拾万元整</v>
      </c>
    </row>
    <row r="54" spans="1:2" s="1337" customFormat="1">
      <c r="A54" s="1335" t="s">
        <v>1204</v>
      </c>
      <c r="B54" s="1336" t="str">
        <f>'预评函-3'!A8</f>
        <v/>
      </c>
    </row>
    <row r="55" spans="1:2" s="1337" customFormat="1">
      <c r="A55" s="1335" t="s">
        <v>1187</v>
      </c>
      <c r="B55" s="1336" t="str">
        <f>'预评函-3'!A10</f>
        <v>抵押担保权已注销时的房地产抵押价值</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v>
      </c>
    </row>
    <row r="67" spans="1:2" s="1337" customFormat="1">
      <c r="A67" s="1335" t="s">
        <v>1177</v>
      </c>
      <c r="B67" s="1336" t="str">
        <f>'预评函-4'!A21</f>
        <v>——</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t="str">
        <f>'预评函-4'!A4</f>
        <v>郑燚</v>
      </c>
    </row>
    <row r="71" spans="1:2">
      <c r="A71" s="1335" t="s">
        <v>1169</v>
      </c>
      <c r="B71" s="1336">
        <f ca="1">'预评函-4'!B4</f>
        <v>1120070131</v>
      </c>
    </row>
    <row r="72" spans="1:2">
      <c r="A72" s="1335" t="s">
        <v>1170</v>
      </c>
      <c r="B72" s="1344" t="str">
        <f>'预评函-4'!A5</f>
        <v>吴薇</v>
      </c>
    </row>
    <row r="73" spans="1:2" s="1331" customFormat="1" ht="15" thickBot="1">
      <c r="A73" s="1338" t="s">
        <v>1171</v>
      </c>
      <c r="B73" s="1339">
        <f ca="1">'预评函-4'!B5</f>
        <v>1419970001</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2979</v>
      </c>
      <c r="C17" s="1702"/>
    </row>
    <row r="18" spans="1:3">
      <c r="A18" s="1701" t="s">
        <v>1672</v>
      </c>
      <c r="B18" s="1701" t="s">
        <v>3123</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为估价委托人在向渤海银行北京航天桥支行办理贷款手续过程中，确定房地产抵押贷款额度提供参考依据而评估房地产抵押价值。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冶地（北京）房地产开发有限公司拟使用北京市东城区东直门外大街42号房地产作为抵押担保物，向渤海银行北京航天桥支行办理贷款手续。渤海银行北京航天桥支行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5"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3月21日，估价对象规划用途为商业、地下车库土地取得方式为出让，出让国有建设用地使用权剩余土地使用年限为XX年(多用途剩余年限尾数不同时，可只体现小数点后一位)，假定未设立法定优先受偿款下的房地产市场价值。</v>
      </c>
    </row>
    <row r="54" spans="1:4">
      <c r="A54" s="3255"/>
      <c r="B54" s="1709" t="s">
        <v>832</v>
      </c>
      <c r="C54" s="1706" t="s">
        <v>1189</v>
      </c>
    </row>
    <row r="55" spans="1:4">
      <c r="A55" s="3255"/>
      <c r="B55" s="1709" t="s">
        <v>833</v>
      </c>
      <c r="C55" s="1706" t="s">
        <v>1190</v>
      </c>
    </row>
    <row r="56" spans="1:4">
      <c r="A56" s="3255"/>
      <c r="B56" s="1709" t="s">
        <v>834</v>
      </c>
      <c r="C56" s="1706" t="s">
        <v>1194</v>
      </c>
    </row>
    <row r="57" spans="1:4">
      <c r="A57" s="3255"/>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K13" sqref="K13"/>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3" customWidth="1"/>
    <col min="12" max="13" width="10" style="2824"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2854</v>
      </c>
      <c r="B1" s="3256" t="str">
        <f>IF(B10="北京市","北京市",C10)&amp;F10&amp;IF(结果表!G1="在建","出让国有建设用地使用权及在建建筑物",IF(结果表!G1="土地","出让国有建设用地使用权",))&amp;B9&amp;"预评估"</f>
        <v>北京市东城区东直门外大街42号房地产抵押价值预评估</v>
      </c>
      <c r="C1" s="3257"/>
      <c r="D1" s="3257"/>
      <c r="E1" s="3257"/>
      <c r="F1" s="3257"/>
      <c r="G1" s="3257"/>
      <c r="H1" s="3257"/>
      <c r="I1" s="3258"/>
      <c r="J1" s="2665"/>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北京市东城区东直门外大街42号房地产抵押价值</v>
      </c>
      <c r="T1" s="1901"/>
      <c r="U1" s="1901"/>
      <c r="V1" s="1901"/>
      <c r="W1" s="1901"/>
      <c r="X1" s="1901"/>
      <c r="Y1" s="1901"/>
      <c r="Z1" s="1901"/>
      <c r="AA1" s="1901"/>
      <c r="AB1" s="1901"/>
    </row>
    <row r="2" spans="1:28">
      <c r="A2" s="2561" t="s">
        <v>2855</v>
      </c>
      <c r="B2" s="2565"/>
      <c r="C2" s="2566"/>
      <c r="D2" s="2867"/>
      <c r="E2" s="2857"/>
      <c r="F2" s="2857"/>
      <c r="G2" s="2858"/>
      <c r="H2" s="2858"/>
      <c r="I2" s="2858"/>
      <c r="J2" s="2665"/>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北京市东城区东直门外大街42号房地产</v>
      </c>
      <c r="T2" s="1901"/>
      <c r="U2" s="1901"/>
      <c r="V2" s="1901"/>
      <c r="W2" s="1901"/>
      <c r="X2" s="1901"/>
      <c r="Y2" s="1901"/>
      <c r="Z2" s="1901"/>
      <c r="AA2" s="1901"/>
      <c r="AB2" s="1901"/>
    </row>
    <row r="3" spans="1:28">
      <c r="A3" s="308" t="s">
        <v>2856</v>
      </c>
      <c r="B3" s="2567">
        <v>44641</v>
      </c>
      <c r="C3" s="2568" t="s">
        <v>2857</v>
      </c>
      <c r="D3" s="2567">
        <f>B3</f>
        <v>44641</v>
      </c>
      <c r="E3" s="2858"/>
      <c r="F3" s="2858"/>
      <c r="G3" s="2858"/>
      <c r="H3" s="2858"/>
      <c r="I3" s="2858"/>
      <c r="J3" s="2665"/>
      <c r="K3" s="2562"/>
      <c r="L3" s="2563"/>
      <c r="M3" s="2563"/>
      <c r="N3" s="2564"/>
      <c r="O3" s="1731"/>
      <c r="P3" s="2564"/>
      <c r="Q3" s="2564"/>
      <c r="R3" s="2564"/>
      <c r="S3" s="1838"/>
      <c r="T3" s="1901"/>
      <c r="U3" s="1901"/>
      <c r="V3" s="1901"/>
      <c r="W3" s="1901"/>
      <c r="X3" s="1901"/>
      <c r="Y3" s="1901"/>
      <c r="Z3" s="1901"/>
      <c r="AA3" s="1901"/>
      <c r="AB3" s="1901"/>
    </row>
    <row r="4" spans="1:28" ht="13.5" thickBot="1">
      <c r="A4" s="1222" t="s">
        <v>2858</v>
      </c>
      <c r="B4" s="2569" t="s">
        <v>3128</v>
      </c>
      <c r="C4" s="2570">
        <f ca="1">SUMIF(注册房地产估价师,B4,估价师及机构信息!B3:B24)</f>
        <v>1120070131</v>
      </c>
      <c r="D4" s="2569" t="s">
        <v>3129</v>
      </c>
      <c r="E4" s="2571">
        <f ca="1">SUMIF(注册房地产估价师,D4,估价师及机构信息!B3:B24)</f>
        <v>1419970001</v>
      </c>
      <c r="F4" s="2569"/>
      <c r="G4" s="2571">
        <f>SUMIF(注册房地产估价师,F4,估价师及机构信息!B3:B24)</f>
        <v>0</v>
      </c>
      <c r="H4" s="2569"/>
      <c r="I4" s="2571">
        <f>SUMIF(注册房地产估价师,H4,估价师及机构信息!B3:B24)</f>
        <v>0</v>
      </c>
      <c r="J4" s="2633"/>
      <c r="K4" s="2572" t="str">
        <f ca="1">CONCATENATE(B4,"（注册号：",C4,")、",D4,"（注册号：",E4,")")</f>
        <v>郑燚（注册号：1120070131)、吴薇（注册号：1419970001)</v>
      </c>
      <c r="L4" s="2563"/>
      <c r="M4" s="2563"/>
      <c r="N4" s="2564"/>
      <c r="O4" s="1731"/>
      <c r="P4" s="2564"/>
      <c r="Q4" s="2564"/>
      <c r="R4" s="2564"/>
      <c r="S4" s="1838"/>
      <c r="T4" s="1901"/>
      <c r="U4" s="1901"/>
      <c r="V4" s="1901"/>
      <c r="W4" s="1901"/>
      <c r="X4" s="1901"/>
      <c r="Y4" s="1901"/>
      <c r="Z4" s="1901"/>
      <c r="AA4" s="1901"/>
      <c r="AB4" s="1901"/>
    </row>
    <row r="5" spans="1:28" ht="14.25" customHeight="1" thickTop="1">
      <c r="A5" s="2573" t="s">
        <v>2859</v>
      </c>
      <c r="B5" s="3206" t="s">
        <v>3130</v>
      </c>
      <c r="C5" s="2574"/>
      <c r="D5" s="2575"/>
      <c r="E5" s="2859"/>
      <c r="F5" s="2859"/>
      <c r="G5" s="2859"/>
      <c r="H5" s="2859"/>
      <c r="I5" s="2859"/>
      <c r="J5" s="2633"/>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6" t="s">
        <v>2860</v>
      </c>
      <c r="B6" s="3205" t="s">
        <v>3131</v>
      </c>
      <c r="C6" s="2577"/>
      <c r="D6" s="2578"/>
      <c r="E6" s="2857"/>
      <c r="F6" s="2859"/>
      <c r="G6" s="2859"/>
      <c r="H6" s="2859"/>
      <c r="I6" s="2859"/>
      <c r="J6" s="2633"/>
      <c r="K6" s="2809" t="str">
        <f>IF(COUNTIF(B6,"*上海银行*"),"上海银行","")</f>
        <v/>
      </c>
      <c r="L6" s="2807"/>
      <c r="M6" s="2807"/>
      <c r="N6" s="2633"/>
      <c r="O6" s="2644"/>
      <c r="P6" s="2633"/>
      <c r="Q6" s="2633"/>
      <c r="R6" s="2633"/>
    </row>
    <row r="7" spans="1:28" ht="51">
      <c r="A7" s="2576" t="s">
        <v>2861</v>
      </c>
      <c r="B7" s="2579" t="str">
        <f>B5</f>
        <v>中冶地（北京）房地产开发有限公司</v>
      </c>
      <c r="C7" s="2577"/>
      <c r="D7" s="2578"/>
      <c r="E7" s="2857"/>
      <c r="F7" s="2859"/>
      <c r="G7" s="2859"/>
      <c r="H7" s="2859"/>
      <c r="I7" s="2859"/>
      <c r="J7" s="2633"/>
      <c r="K7" s="2810"/>
      <c r="L7" s="2807"/>
      <c r="M7" s="2807"/>
      <c r="N7" s="2633"/>
      <c r="O7" s="2644"/>
      <c r="P7" s="2633"/>
      <c r="Q7" s="2633"/>
      <c r="R7" s="2633"/>
    </row>
    <row r="8" spans="1:28">
      <c r="A8" s="2580" t="s">
        <v>2862</v>
      </c>
      <c r="B8" s="2581" t="s">
        <v>3132</v>
      </c>
      <c r="C8" s="2582"/>
      <c r="D8" s="3259" t="s">
        <v>2863</v>
      </c>
      <c r="E8" s="2583" t="s">
        <v>3134</v>
      </c>
      <c r="F8" s="2584"/>
      <c r="G8" s="2858"/>
      <c r="H8" s="2858"/>
      <c r="I8" s="2858"/>
      <c r="J8" s="2633"/>
      <c r="K8" s="2808"/>
      <c r="L8" s="2807"/>
      <c r="M8" s="2807"/>
      <c r="N8" s="2633"/>
      <c r="O8" s="2644"/>
      <c r="P8" s="2633"/>
      <c r="Q8" s="2633"/>
      <c r="R8" s="2633"/>
    </row>
    <row r="9" spans="1:28" ht="13.5" thickBot="1">
      <c r="A9" s="2585" t="s">
        <v>2864</v>
      </c>
      <c r="B9" s="2586" t="s">
        <v>3133</v>
      </c>
      <c r="C9" s="2587"/>
      <c r="D9" s="3260"/>
      <c r="E9" s="2586" t="s">
        <v>70</v>
      </c>
      <c r="F9" s="2588"/>
      <c r="G9" s="2860"/>
      <c r="H9" s="2860"/>
      <c r="I9" s="2860"/>
      <c r="J9" s="2633"/>
      <c r="K9" s="2810"/>
      <c r="L9" s="2807"/>
      <c r="M9" s="2807"/>
      <c r="N9" s="2633"/>
      <c r="O9" s="2644"/>
      <c r="P9" s="2633"/>
      <c r="Q9" s="2633"/>
      <c r="R9" s="2633"/>
    </row>
    <row r="10" spans="1:28" ht="13.5" thickTop="1">
      <c r="A10" s="2589" t="s">
        <v>2865</v>
      </c>
      <c r="B10" s="2590" t="s">
        <v>3135</v>
      </c>
      <c r="C10" s="2591"/>
      <c r="D10" s="2575"/>
      <c r="E10" s="2592" t="s">
        <v>2866</v>
      </c>
      <c r="F10" s="2861" t="s">
        <v>3136</v>
      </c>
      <c r="G10" s="2862"/>
      <c r="H10" s="2863"/>
      <c r="I10" s="2864"/>
      <c r="J10" s="2633"/>
      <c r="K10" s="2810"/>
      <c r="L10" s="2807"/>
      <c r="M10" s="2807"/>
      <c r="N10" s="2633"/>
      <c r="O10" s="2644"/>
      <c r="P10" s="2633"/>
      <c r="Q10" s="2633"/>
      <c r="R10" s="2633"/>
    </row>
    <row r="11" spans="1:28" ht="38.25">
      <c r="A11" s="2593" t="s">
        <v>2867</v>
      </c>
      <c r="B11" s="2594" t="s">
        <v>3137</v>
      </c>
      <c r="C11" s="2595" t="str">
        <f>B5</f>
        <v>中冶地（北京）房地产开发有限公司</v>
      </c>
      <c r="D11" s="2596"/>
      <c r="E11" s="2564"/>
      <c r="F11" s="2564"/>
      <c r="G11" s="2564"/>
      <c r="H11" s="2564"/>
      <c r="I11" s="2564"/>
      <c r="J11" s="2633"/>
      <c r="K11" s="2810"/>
      <c r="L11" s="2807"/>
      <c r="M11" s="2807"/>
      <c r="N11" s="2633"/>
      <c r="O11" s="2644"/>
      <c r="P11" s="2633"/>
      <c r="Q11" s="2633"/>
      <c r="R11" s="2633"/>
    </row>
    <row r="12" spans="1:28">
      <c r="A12" s="2597" t="s">
        <v>2868</v>
      </c>
      <c r="B12" s="2594" t="s">
        <v>3138</v>
      </c>
      <c r="C12" s="329" t="s">
        <v>2869</v>
      </c>
      <c r="D12" s="2598" t="s">
        <v>2870</v>
      </c>
      <c r="E12" s="2598" t="s">
        <v>2871</v>
      </c>
      <c r="F12" s="2598" t="s">
        <v>2872</v>
      </c>
      <c r="G12" s="2598" t="s">
        <v>2873</v>
      </c>
      <c r="H12" s="2598" t="s">
        <v>2874</v>
      </c>
      <c r="I12" s="2598" t="s">
        <v>2875</v>
      </c>
      <c r="J12" s="2633"/>
      <c r="K12" s="2810"/>
      <c r="L12" s="2807"/>
      <c r="M12" s="2807"/>
      <c r="N12" s="2633"/>
      <c r="O12" s="2644"/>
      <c r="P12" s="2633"/>
      <c r="Q12" s="2633"/>
      <c r="R12" s="2633"/>
    </row>
    <row r="13" spans="1:28">
      <c r="A13" s="1213"/>
      <c r="B13" s="2599"/>
      <c r="C13" s="2600" t="s">
        <v>2876</v>
      </c>
      <c r="D13" s="965"/>
      <c r="E13" s="965">
        <v>53660</v>
      </c>
      <c r="F13" s="965"/>
      <c r="G13" s="965">
        <v>57313</v>
      </c>
      <c r="H13" s="965"/>
      <c r="I13" s="965"/>
      <c r="J13" s="2633"/>
      <c r="K13" s="2810"/>
      <c r="L13" s="2807"/>
      <c r="M13" s="2807"/>
      <c r="N13" s="2633"/>
      <c r="O13" s="2644"/>
      <c r="P13" s="2633"/>
      <c r="Q13" s="2633"/>
      <c r="R13" s="2633"/>
    </row>
    <row r="14" spans="1:28">
      <c r="A14" s="1213"/>
      <c r="B14" s="2599"/>
      <c r="C14" s="2600" t="s">
        <v>2877</v>
      </c>
      <c r="D14" s="2601"/>
      <c r="E14" s="2601">
        <v>40</v>
      </c>
      <c r="F14" s="2601"/>
      <c r="G14" s="2601">
        <v>50</v>
      </c>
      <c r="H14" s="2601"/>
      <c r="I14" s="2601"/>
      <c r="J14" s="2633"/>
      <c r="K14" s="2811"/>
      <c r="L14" s="2807"/>
      <c r="M14" s="2807"/>
      <c r="N14" s="2633"/>
      <c r="O14" s="2644"/>
      <c r="P14" s="2633"/>
      <c r="Q14" s="2633"/>
      <c r="R14" s="2633"/>
    </row>
    <row r="15" spans="1:28">
      <c r="A15" s="326"/>
      <c r="B15" s="2602"/>
      <c r="C15" s="2603" t="s">
        <v>2878</v>
      </c>
      <c r="D15" s="2604" t="str">
        <f>IF(B12="出让",IF(D13="","",ROUNDDOWN(MIN((D13-$D$3)/365,D14),2)),D14)</f>
        <v/>
      </c>
      <c r="E15" s="2604">
        <f>IF(B12="出让",IF(E13="","",ROUNDDOWN(MIN((E13-$D$3)/365,E14),2)),E14)</f>
        <v>24.7</v>
      </c>
      <c r="F15" s="2604" t="str">
        <f>IF(B12="出让",IF(F13="","",ROUNDDOWN(MIN((F13-$D$3)/365,F14),2)),F14)</f>
        <v/>
      </c>
      <c r="G15" s="2604">
        <f>IF(B12="出让",IF(G13="","",ROUNDDOWN(MIN((G13-$D$3)/365,G14),2)),G14)</f>
        <v>34.71</v>
      </c>
      <c r="H15" s="2604" t="str">
        <f>IF(B12="出让",IF(H13="","",ROUNDDOWN(MIN((H13-$D$3)/365,H14),2)),H14)</f>
        <v/>
      </c>
      <c r="I15" s="2604" t="str">
        <f>IF(B12="出让",IF(I13="","",ROUNDDOWN(MIN((I13-$D$3)/365,I14),2)),I14)</f>
        <v/>
      </c>
      <c r="J15" s="2633"/>
      <c r="K15" s="2812"/>
      <c r="L15" s="2645"/>
      <c r="M15" s="2645"/>
      <c r="N15" s="2703"/>
      <c r="O15" s="2645"/>
      <c r="P15" s="2703"/>
      <c r="Q15" s="2633"/>
      <c r="R15" s="2633"/>
    </row>
    <row r="16" spans="1:28">
      <c r="A16" s="2592" t="s">
        <v>2879</v>
      </c>
      <c r="B16" s="3266" t="s">
        <v>3139</v>
      </c>
      <c r="C16" s="3267"/>
      <c r="D16" s="3268"/>
      <c r="E16" s="2607" t="s">
        <v>2880</v>
      </c>
      <c r="F16" s="3269"/>
      <c r="G16" s="3270"/>
      <c r="H16" s="3270"/>
      <c r="I16" s="3271"/>
      <c r="J16" s="2633"/>
      <c r="K16" s="2812"/>
      <c r="L16" s="2645"/>
      <c r="M16" s="2645"/>
      <c r="N16" s="2703"/>
      <c r="O16" s="2645"/>
      <c r="P16" s="2703"/>
      <c r="Q16" s="2633"/>
      <c r="R16" s="2633"/>
    </row>
    <row r="17" spans="1:28">
      <c r="A17" s="319" t="s">
        <v>2881</v>
      </c>
      <c r="B17" s="308" t="s">
        <v>2882</v>
      </c>
      <c r="C17" s="11">
        <f>'数据-汇总表'!E3</f>
        <v>11340.73</v>
      </c>
      <c r="D17" s="2515" t="s">
        <v>2883</v>
      </c>
      <c r="E17" s="3272" t="s">
        <v>2884</v>
      </c>
      <c r="F17" s="3273"/>
      <c r="G17" s="3273"/>
      <c r="H17" s="3273"/>
      <c r="I17" s="3274"/>
      <c r="J17" s="2633"/>
      <c r="K17" s="2813"/>
      <c r="L17" s="2645"/>
      <c r="M17" s="2645"/>
      <c r="N17" s="2703"/>
      <c r="O17" s="2645"/>
      <c r="P17" s="2703"/>
      <c r="Q17" s="2633"/>
      <c r="R17" s="2633"/>
      <c r="S17" s="2633"/>
      <c r="T17" s="2633"/>
      <c r="U17" s="2633"/>
      <c r="V17" s="2633"/>
    </row>
    <row r="18" spans="1:28" ht="24.75" thickBot="1">
      <c r="A18" s="2608" t="s">
        <v>2885</v>
      </c>
      <c r="B18" s="1222" t="s">
        <v>2886</v>
      </c>
      <c r="C18" s="2609">
        <f>'数据-汇总表'!D3</f>
        <v>1741.52</v>
      </c>
      <c r="D18" s="1224" t="s">
        <v>2887</v>
      </c>
      <c r="E18" s="3275" t="s">
        <v>2888</v>
      </c>
      <c r="F18" s="3276"/>
      <c r="G18" s="3276"/>
      <c r="H18" s="3276"/>
      <c r="I18" s="3277"/>
      <c r="J18" s="2633"/>
      <c r="K18" s="2813"/>
      <c r="L18" s="2645"/>
      <c r="M18" s="2645"/>
      <c r="N18" s="2703"/>
      <c r="O18" s="2645"/>
      <c r="P18" s="2703"/>
      <c r="Q18" s="2633"/>
      <c r="R18" s="2633"/>
      <c r="S18" s="2633"/>
      <c r="T18" s="2633"/>
      <c r="U18" s="2633"/>
      <c r="V18" s="2633"/>
    </row>
    <row r="19" spans="1:28" ht="39.75" thickTop="1" thickBot="1">
      <c r="A19" s="333" t="s">
        <v>1681</v>
      </c>
      <c r="B19" s="313" t="s">
        <v>2889</v>
      </c>
      <c r="C19" s="1718" t="s">
        <v>3140</v>
      </c>
      <c r="D19" s="1719" t="s">
        <v>2890</v>
      </c>
      <c r="E19" s="1720" t="s">
        <v>3141</v>
      </c>
      <c r="F19" s="1721" t="str">
        <f>IF(AND(C19="是",E19="否"),"是否提供他项权证或相关说明","")</f>
        <v>是否提供他项权证或相关说明</v>
      </c>
      <c r="G19" s="1722" t="s">
        <v>3141</v>
      </c>
      <c r="H19" s="2859"/>
      <c r="I19" s="2859"/>
      <c r="J19" s="2633"/>
      <c r="K19" s="2810"/>
      <c r="L19" s="2807"/>
      <c r="M19" s="2807"/>
      <c r="N19" s="2703"/>
      <c r="O19" s="2645"/>
      <c r="P19" s="2703"/>
      <c r="Q19" s="2633"/>
      <c r="R19" s="2633"/>
      <c r="S19" s="2633"/>
      <c r="T19" s="2633"/>
      <c r="U19" s="2633"/>
      <c r="V19" s="2633"/>
    </row>
    <row r="20" spans="1:28">
      <c r="A20" s="2827" t="s">
        <v>2891</v>
      </c>
      <c r="B20" s="3262" t="s">
        <v>2892</v>
      </c>
      <c r="C20" s="3263"/>
      <c r="D20" s="3264" t="s">
        <v>2893</v>
      </c>
      <c r="E20" s="3265"/>
      <c r="F20" s="2842" t="s">
        <v>1682</v>
      </c>
      <c r="G20" s="2859"/>
      <c r="H20" s="2859"/>
      <c r="I20" s="2859"/>
      <c r="J20" s="2633"/>
      <c r="K20" s="3261" t="s">
        <v>2894</v>
      </c>
      <c r="L20" s="693"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563"/>
      <c r="N20" s="2606"/>
      <c r="O20" s="2605"/>
      <c r="P20" s="2606"/>
      <c r="Q20" s="2564"/>
      <c r="R20" s="2564"/>
      <c r="S20" s="2564"/>
      <c r="T20" s="2564"/>
      <c r="U20" s="2564"/>
      <c r="V20" s="2564"/>
      <c r="W20" s="1901"/>
      <c r="X20" s="1901"/>
      <c r="Y20" s="1901"/>
      <c r="Z20" s="1901"/>
      <c r="AA20" s="1901"/>
      <c r="AB20" s="1901"/>
    </row>
    <row r="21" spans="1:28" ht="24.75" thickBot="1">
      <c r="A21" s="2827"/>
      <c r="B21" s="2828" t="s">
        <v>2895</v>
      </c>
      <c r="C21" s="2829" t="s">
        <v>3142</v>
      </c>
      <c r="D21" s="1723" t="s">
        <v>2896</v>
      </c>
      <c r="E21" s="2830" t="s">
        <v>70</v>
      </c>
      <c r="F21" s="2843"/>
      <c r="G21" s="2859"/>
      <c r="H21" s="2859"/>
      <c r="I21" s="2859"/>
      <c r="J21" s="2633"/>
      <c r="K21" s="3261"/>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6"/>
      <c r="O21" s="2605"/>
      <c r="P21" s="2606"/>
      <c r="Q21" s="2564"/>
      <c r="R21" s="2564"/>
      <c r="S21" s="2564"/>
      <c r="T21" s="2564"/>
      <c r="U21" s="2564"/>
      <c r="V21" s="2564"/>
      <c r="W21" s="1901"/>
      <c r="X21" s="1901"/>
      <c r="Y21" s="1901"/>
      <c r="Z21" s="1901"/>
      <c r="AA21" s="1901"/>
      <c r="AB21" s="1901"/>
    </row>
    <row r="22" spans="1:28" ht="24.75" thickBot="1">
      <c r="A22" s="2827"/>
      <c r="B22" s="2831" t="s">
        <v>2897</v>
      </c>
      <c r="C22" s="2829" t="s">
        <v>1683</v>
      </c>
      <c r="D22" s="2858"/>
      <c r="E22" s="2858"/>
      <c r="F22" s="2858"/>
      <c r="G22" s="2859"/>
      <c r="H22" s="2859"/>
      <c r="I22" s="2859"/>
      <c r="J22" s="2633"/>
      <c r="K22" s="3261"/>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6"/>
      <c r="O22" s="2605"/>
      <c r="P22" s="2606"/>
      <c r="Q22" s="2564"/>
      <c r="R22" s="2564"/>
      <c r="S22" s="2564"/>
      <c r="T22" s="2564"/>
      <c r="U22" s="2564"/>
      <c r="V22" s="2564"/>
      <c r="W22" s="1901"/>
      <c r="X22" s="1901"/>
      <c r="Y22" s="1901"/>
      <c r="Z22" s="1901"/>
      <c r="AA22" s="1901"/>
      <c r="AB22" s="1901"/>
    </row>
    <row r="23" spans="1:28">
      <c r="A23" s="2832" t="s">
        <v>2898</v>
      </c>
      <c r="B23" s="2696" t="s">
        <v>2899</v>
      </c>
      <c r="C23" s="2833"/>
      <c r="D23" s="2834" t="s">
        <v>2899</v>
      </c>
      <c r="E23" s="2835"/>
      <c r="F23" s="2858"/>
      <c r="G23" s="2859"/>
      <c r="H23" s="2859"/>
      <c r="I23" s="2859"/>
      <c r="J23" s="2633"/>
      <c r="K23" s="2814"/>
      <c r="L23" s="2669"/>
      <c r="M23" s="2807"/>
      <c r="N23" s="2703"/>
      <c r="O23" s="2645"/>
      <c r="P23" s="2703"/>
      <c r="Q23" s="2633"/>
      <c r="R23" s="2633"/>
      <c r="S23" s="2633"/>
      <c r="T23" s="2633"/>
      <c r="U23" s="2633"/>
      <c r="V23" s="2633"/>
    </row>
    <row r="24" spans="1:28">
      <c r="A24" s="2832"/>
      <c r="B24" s="2696" t="s">
        <v>1684</v>
      </c>
      <c r="C24" s="2836"/>
      <c r="D24" s="2832" t="s">
        <v>1684</v>
      </c>
      <c r="E24" s="2837"/>
      <c r="F24" s="2858"/>
      <c r="G24" s="2859"/>
      <c r="H24" s="2859"/>
      <c r="I24" s="2859"/>
      <c r="J24" s="2633"/>
      <c r="K24" s="2814"/>
      <c r="L24" s="2669"/>
      <c r="M24" s="2807"/>
      <c r="N24" s="2703"/>
      <c r="O24" s="2645"/>
      <c r="P24" s="2703"/>
      <c r="Q24" s="2633"/>
      <c r="R24" s="2633"/>
      <c r="S24" s="2633"/>
      <c r="T24" s="2633"/>
      <c r="U24" s="2633"/>
      <c r="V24" s="2633"/>
    </row>
    <row r="25" spans="1:28">
      <c r="A25" s="2832"/>
      <c r="B25" s="2696" t="s">
        <v>1685</v>
      </c>
      <c r="C25" s="2836"/>
      <c r="D25" s="2832" t="s">
        <v>1685</v>
      </c>
      <c r="E25" s="2837"/>
      <c r="F25" s="2858"/>
      <c r="G25" s="2859"/>
      <c r="H25" s="2859"/>
      <c r="I25" s="2859"/>
      <c r="J25" s="2633"/>
      <c r="K25" s="2810"/>
      <c r="L25" s="2807"/>
      <c r="M25" s="2807"/>
      <c r="N25" s="2703"/>
      <c r="O25" s="2645"/>
      <c r="P25" s="2703"/>
      <c r="Q25" s="2633"/>
      <c r="R25" s="2633"/>
      <c r="S25" s="2633"/>
      <c r="T25" s="2633"/>
      <c r="U25" s="2633"/>
      <c r="V25" s="2633"/>
    </row>
    <row r="26" spans="1:28" ht="13.5" thickBot="1">
      <c r="A26" s="2838"/>
      <c r="B26" s="2839" t="s">
        <v>1686</v>
      </c>
      <c r="C26" s="2840"/>
      <c r="D26" s="2838" t="s">
        <v>1686</v>
      </c>
      <c r="E26" s="2841"/>
      <c r="F26" s="2860"/>
      <c r="G26" s="2860"/>
      <c r="H26" s="2860"/>
      <c r="I26" s="2860"/>
      <c r="J26" s="2633"/>
      <c r="K26" s="2810"/>
      <c r="L26" s="2807"/>
      <c r="M26" s="2807"/>
      <c r="N26" s="2703"/>
      <c r="O26" s="2645"/>
      <c r="P26" s="2703"/>
      <c r="Q26" s="2633"/>
      <c r="R26" s="2633"/>
      <c r="S26" s="2633"/>
      <c r="T26" s="2633"/>
      <c r="U26" s="2633"/>
      <c r="V26" s="2633"/>
    </row>
    <row r="27" spans="1:28" ht="13.5" thickTop="1">
      <c r="A27" s="3279" t="s">
        <v>2900</v>
      </c>
      <c r="B27" s="326" t="s">
        <v>2901</v>
      </c>
      <c r="C27" s="2610" t="s">
        <v>3143</v>
      </c>
      <c r="D27" s="2611"/>
      <c r="E27" s="2859"/>
      <c r="F27" s="2859"/>
      <c r="G27" s="2859"/>
      <c r="H27" s="2859"/>
      <c r="I27" s="2859"/>
      <c r="J27" s="2633"/>
      <c r="K27" s="2812"/>
      <c r="L27" s="2645"/>
      <c r="M27" s="2645"/>
      <c r="N27" s="2703"/>
      <c r="O27" s="2645"/>
      <c r="P27" s="2703"/>
      <c r="Q27" s="2633"/>
      <c r="R27" s="2633"/>
      <c r="S27" s="2633"/>
      <c r="T27" s="2633"/>
      <c r="U27" s="2633"/>
      <c r="V27" s="2633"/>
    </row>
    <row r="28" spans="1:28">
      <c r="A28" s="3279"/>
      <c r="B28" s="308" t="s">
        <v>2902</v>
      </c>
      <c r="C28" s="2612"/>
      <c r="D28" s="2613"/>
      <c r="E28" s="2859"/>
      <c r="F28" s="2859"/>
      <c r="G28" s="2859"/>
      <c r="H28" s="2859"/>
      <c r="I28" s="2859"/>
      <c r="J28" s="2633"/>
      <c r="K28" s="2810"/>
      <c r="L28" s="2807"/>
      <c r="M28" s="2807"/>
      <c r="N28" s="2633"/>
      <c r="O28" s="2644"/>
      <c r="P28" s="2633"/>
      <c r="Q28" s="2633"/>
      <c r="R28" s="2633"/>
      <c r="S28" s="2633"/>
      <c r="T28" s="2633"/>
      <c r="U28" s="2633"/>
      <c r="V28" s="2633"/>
    </row>
    <row r="29" spans="1:28">
      <c r="A29" s="3279"/>
      <c r="B29" s="308" t="s">
        <v>2903</v>
      </c>
      <c r="C29" s="2614"/>
      <c r="D29" s="2615"/>
      <c r="E29" s="2859"/>
      <c r="F29" s="2859"/>
      <c r="G29" s="2859"/>
      <c r="H29" s="2859"/>
      <c r="I29" s="2859"/>
      <c r="J29" s="2633"/>
      <c r="K29" s="2810"/>
      <c r="L29" s="2807"/>
      <c r="M29" s="2807"/>
      <c r="N29" s="2633"/>
      <c r="O29" s="2644"/>
      <c r="P29" s="2633"/>
      <c r="Q29" s="2633"/>
      <c r="R29" s="2633"/>
      <c r="S29" s="2633"/>
      <c r="T29" s="2633"/>
      <c r="U29" s="2633"/>
      <c r="V29" s="2633"/>
    </row>
    <row r="30" spans="1:28">
      <c r="A30" s="3280"/>
      <c r="B30" s="308" t="s">
        <v>2904</v>
      </c>
      <c r="C30" s="3281"/>
      <c r="D30" s="3282"/>
      <c r="E30" s="2859"/>
      <c r="F30" s="2859"/>
      <c r="G30" s="2859"/>
      <c r="H30" s="2859"/>
      <c r="I30" s="2859"/>
      <c r="J30" s="2633"/>
      <c r="K30" s="2810"/>
      <c r="L30" s="2807"/>
      <c r="M30" s="2807"/>
      <c r="N30" s="2633"/>
      <c r="O30" s="2644"/>
      <c r="P30" s="2633"/>
      <c r="Q30" s="2633"/>
      <c r="R30" s="2633"/>
      <c r="S30" s="2633"/>
      <c r="T30" s="2633"/>
      <c r="U30" s="2633"/>
      <c r="V30" s="2633"/>
    </row>
    <row r="31" spans="1:28">
      <c r="A31" s="3283" t="s">
        <v>2905</v>
      </c>
      <c r="B31" s="2616"/>
      <c r="C31" s="2516" t="str">
        <f>IF(B31="现房","成新及维护状况正常否",IF(B31="在建","工程状态是否正常",IF(B31="土地","是否闲置","-")))</f>
        <v>-</v>
      </c>
      <c r="D31" s="1527"/>
      <c r="E31" s="2617"/>
      <c r="F31" s="2859"/>
      <c r="G31" s="2859"/>
      <c r="H31" s="2859"/>
      <c r="I31" s="2859"/>
      <c r="J31" s="2633"/>
      <c r="K31" s="2809"/>
      <c r="L31" s="2807"/>
      <c r="M31" s="2807"/>
      <c r="N31" s="2633"/>
      <c r="O31" s="2644"/>
      <c r="P31" s="2633"/>
      <c r="Q31" s="2633"/>
      <c r="R31" s="2633"/>
      <c r="S31" s="2633"/>
      <c r="T31" s="2633"/>
      <c r="U31" s="2633"/>
      <c r="V31" s="2633"/>
    </row>
    <row r="32" spans="1:28">
      <c r="A32" s="3284"/>
      <c r="B32" s="2616"/>
      <c r="C32" s="2516" t="str">
        <f>IF(B32="现房","成新及维护状况是否正常",IF(B32="在建","工程状态是否正常",IF(B32="土地","是否闲置","-")))</f>
        <v>-</v>
      </c>
      <c r="D32" s="1527"/>
      <c r="E32" s="2617"/>
      <c r="F32" s="2859"/>
      <c r="G32" s="2859"/>
      <c r="H32" s="2859"/>
      <c r="I32" s="2859"/>
      <c r="J32" s="2633"/>
      <c r="K32" s="2810"/>
      <c r="L32" s="2807"/>
      <c r="M32" s="2807"/>
      <c r="N32" s="2633"/>
      <c r="O32" s="2644"/>
      <c r="P32" s="2633"/>
      <c r="Q32" s="2633"/>
      <c r="R32" s="2633"/>
      <c r="S32" s="2633"/>
      <c r="T32" s="2633"/>
      <c r="U32" s="2633"/>
      <c r="V32" s="2633"/>
    </row>
    <row r="33" spans="1:30">
      <c r="A33" s="3284"/>
      <c r="B33" s="2619"/>
      <c r="C33" s="1745" t="str">
        <f>IF(B33="现房","成新及维护状况是否正常",IF(B33="在建","工程状态是否正常",IF(B33="土地","是否闲置","-")))</f>
        <v>-</v>
      </c>
      <c r="D33" s="1519"/>
      <c r="E33" s="2620"/>
      <c r="F33" s="2859"/>
      <c r="G33" s="2859"/>
      <c r="H33" s="2859"/>
      <c r="I33" s="2859"/>
      <c r="J33" s="2633"/>
      <c r="K33" s="2810"/>
      <c r="L33" s="2807"/>
      <c r="M33" s="2807"/>
      <c r="N33" s="2633"/>
      <c r="O33" s="2644"/>
      <c r="P33" s="2633"/>
      <c r="Q33" s="2633"/>
      <c r="R33" s="2633"/>
      <c r="S33" s="2633"/>
      <c r="T33" s="2633"/>
      <c r="U33" s="2633"/>
      <c r="V33" s="2633"/>
    </row>
    <row r="34" spans="1:30">
      <c r="A34" s="308" t="s">
        <v>2906</v>
      </c>
      <c r="B34" s="2184" t="s">
        <v>3144</v>
      </c>
      <c r="C34" s="2184" t="s">
        <v>3145</v>
      </c>
      <c r="D34" s="2184" t="s">
        <v>3146</v>
      </c>
      <c r="E34" s="2184" t="s">
        <v>3147</v>
      </c>
      <c r="F34" s="2184" t="s">
        <v>3148</v>
      </c>
      <c r="G34" s="2184" t="s">
        <v>3149</v>
      </c>
      <c r="H34" s="2184"/>
      <c r="I34" s="2859"/>
      <c r="J34" s="2633"/>
      <c r="K34" s="2621">
        <f>COUNTIF(B34:H34,"——")</f>
        <v>0</v>
      </c>
      <c r="L34" s="329" t="s">
        <v>2907</v>
      </c>
      <c r="M34" s="329" t="s">
        <v>2908</v>
      </c>
      <c r="N34" s="329" t="s">
        <v>2909</v>
      </c>
      <c r="O34" s="329" t="s">
        <v>2910</v>
      </c>
      <c r="P34" s="329" t="s">
        <v>2911</v>
      </c>
      <c r="Q34" s="329" t="s">
        <v>2912</v>
      </c>
      <c r="R34" s="329" t="s">
        <v>2913</v>
      </c>
      <c r="S34" s="3278" t="s">
        <v>2914</v>
      </c>
      <c r="T34" s="2622" t="str">
        <f>NUMBERSTRING(7-K34,1)&amp;"通"</f>
        <v>七通</v>
      </c>
      <c r="U34" s="2633"/>
      <c r="V34" s="2633"/>
    </row>
    <row r="35" spans="1:30">
      <c r="A35" s="2623"/>
      <c r="B35" s="3285" t="s">
        <v>2915</v>
      </c>
      <c r="C35" s="3285"/>
      <c r="D35" s="3285"/>
      <c r="E35" s="3285"/>
      <c r="F35" s="673">
        <f>C10</f>
        <v>0</v>
      </c>
      <c r="G35" s="2859"/>
      <c r="H35" s="2859"/>
      <c r="I35" s="2859"/>
      <c r="J35" s="2633"/>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v>
      </c>
      <c r="S35" s="3278"/>
      <c r="T35" s="335" t="str">
        <f>IF(T34="一通",L35,IF(T34="二通",M35,IF(T34="三通",N35,IF(T34="四通",O35,IF(T34="五通",P35,IF(T34="六通",Q35,R35))))))</f>
        <v>通路、通电、通讯、通上水、通下水、燃气、</v>
      </c>
      <c r="U35" s="2633"/>
      <c r="V35" s="2633"/>
    </row>
    <row r="36" spans="1:30">
      <c r="A36" s="2624"/>
      <c r="B36" s="673" t="s">
        <v>2871</v>
      </c>
      <c r="C36" s="673" t="s">
        <v>2872</v>
      </c>
      <c r="D36" s="673" t="s">
        <v>2870</v>
      </c>
      <c r="E36" s="673" t="s">
        <v>2875</v>
      </c>
      <c r="F36" s="2865"/>
      <c r="G36" s="2859"/>
      <c r="H36" s="2859"/>
      <c r="I36" s="2859"/>
      <c r="J36" s="2633"/>
      <c r="K36" s="2810"/>
      <c r="L36" s="2807"/>
      <c r="M36" s="2807"/>
      <c r="N36" s="2633"/>
      <c r="O36" s="2644"/>
      <c r="P36" s="2633"/>
      <c r="Q36" s="2633"/>
      <c r="R36" s="2633"/>
      <c r="S36" s="2633"/>
      <c r="T36" s="2633"/>
      <c r="U36" s="2633"/>
      <c r="V36" s="2633"/>
    </row>
    <row r="37" spans="1:30">
      <c r="A37" s="2825" t="s">
        <v>2916</v>
      </c>
      <c r="B37" s="2625" t="s">
        <v>269</v>
      </c>
      <c r="C37" s="2625"/>
      <c r="D37" s="2625"/>
      <c r="E37" s="2625"/>
      <c r="F37" s="2865"/>
      <c r="G37" s="2859"/>
      <c r="H37" s="2859"/>
      <c r="I37" s="2859"/>
      <c r="J37" s="2633"/>
      <c r="K37" s="2810"/>
      <c r="L37" s="2807"/>
      <c r="M37" s="2807"/>
      <c r="N37" s="2633"/>
      <c r="O37" s="2644"/>
      <c r="P37" s="2633"/>
      <c r="Q37" s="2633"/>
      <c r="R37" s="2633"/>
      <c r="S37" s="2633"/>
      <c r="T37" s="2633"/>
      <c r="U37" s="2633"/>
      <c r="V37" s="2633"/>
    </row>
    <row r="38" spans="1:30" ht="13.5" thickBot="1">
      <c r="A38" s="2826" t="s">
        <v>2917</v>
      </c>
      <c r="B38" s="2626" t="s">
        <v>311</v>
      </c>
      <c r="C38" s="2626"/>
      <c r="D38" s="2626"/>
      <c r="E38" s="2626"/>
      <c r="F38" s="2866"/>
      <c r="G38" s="2860"/>
      <c r="H38" s="2860"/>
      <c r="I38" s="2860"/>
      <c r="J38" s="2633"/>
      <c r="K38" s="2810"/>
      <c r="L38" s="2807"/>
      <c r="M38" s="2807"/>
      <c r="N38" s="2633"/>
      <c r="O38" s="2644"/>
      <c r="P38" s="2633"/>
      <c r="Q38" s="2633"/>
      <c r="R38" s="2633"/>
      <c r="S38" s="2633"/>
      <c r="T38" s="2633"/>
      <c r="U38" s="2633"/>
      <c r="V38" s="2633"/>
    </row>
    <row r="39" spans="1:30" s="2629" customFormat="1" ht="14.25" thickTop="1" thickBot="1">
      <c r="A39" s="2627" t="s">
        <v>2918</v>
      </c>
      <c r="B39" s="2628"/>
      <c r="C39" s="2628"/>
      <c r="D39" s="2628"/>
      <c r="E39" s="2628"/>
      <c r="F39" s="2628"/>
      <c r="G39" s="2628"/>
      <c r="H39" s="2628"/>
      <c r="I39" s="2628"/>
      <c r="J39" s="2817"/>
      <c r="K39" s="2818"/>
      <c r="L39" s="2817"/>
      <c r="M39" s="2817"/>
      <c r="N39" s="2817"/>
      <c r="O39" s="2819"/>
      <c r="P39" s="2817"/>
      <c r="Q39" s="2817"/>
      <c r="R39" s="2817"/>
      <c r="S39" s="2817"/>
      <c r="T39" s="2817"/>
      <c r="U39" s="2817"/>
      <c r="V39" s="2817"/>
      <c r="W39" s="2820"/>
      <c r="X39" s="2820"/>
      <c r="Y39" s="2820"/>
      <c r="Z39" s="2820"/>
      <c r="AA39" s="2820"/>
      <c r="AB39" s="2820"/>
      <c r="AC39" s="2820"/>
      <c r="AD39" s="2820"/>
    </row>
    <row r="40" spans="1:30">
      <c r="A40" s="2564"/>
      <c r="B40" s="2564"/>
      <c r="C40" s="2564"/>
      <c r="D40" s="2564"/>
      <c r="E40" s="2564"/>
      <c r="F40" s="2564"/>
      <c r="G40" s="2564"/>
      <c r="H40" s="2564"/>
      <c r="I40" s="1733"/>
      <c r="J40" s="2703"/>
      <c r="K40" s="2809"/>
      <c r="L40" s="2645"/>
      <c r="M40" s="2645"/>
      <c r="N40" s="2703"/>
      <c r="O40" s="2645"/>
      <c r="P40" s="2633"/>
      <c r="Q40" s="2633"/>
      <c r="R40" s="2633"/>
      <c r="S40" s="2633"/>
      <c r="T40" s="2633"/>
      <c r="U40" s="2633"/>
      <c r="V40" s="2633"/>
    </row>
    <row r="41" spans="1:30">
      <c r="A41" s="2630" t="s">
        <v>2919</v>
      </c>
      <c r="B41" s="1913"/>
      <c r="C41" s="1527"/>
      <c r="D41" s="2564"/>
      <c r="E41" s="2564"/>
      <c r="F41" s="2564"/>
      <c r="G41" s="2564"/>
      <c r="H41" s="2564"/>
      <c r="I41" s="1731"/>
      <c r="J41" s="2633"/>
      <c r="K41" s="2810"/>
      <c r="L41" s="2807"/>
      <c r="M41" s="2807"/>
      <c r="N41" s="2633"/>
      <c r="O41" s="2644"/>
      <c r="P41" s="2633"/>
      <c r="Q41" s="2633"/>
      <c r="R41" s="2633"/>
      <c r="S41" s="2633"/>
      <c r="T41" s="2633"/>
      <c r="U41" s="2633"/>
      <c r="V41" s="2633"/>
    </row>
    <row r="42" spans="1:30" ht="25.5">
      <c r="A42" s="329" t="s">
        <v>2920</v>
      </c>
      <c r="B42" s="11" t="s">
        <v>2921</v>
      </c>
      <c r="C42" s="11" t="s">
        <v>2922</v>
      </c>
      <c r="D42" s="11" t="s">
        <v>2923</v>
      </c>
      <c r="E42" s="11" t="s">
        <v>2924</v>
      </c>
      <c r="F42" s="11" t="s">
        <v>2925</v>
      </c>
      <c r="G42" s="11" t="s">
        <v>2926</v>
      </c>
      <c r="H42" s="11" t="s">
        <v>2927</v>
      </c>
      <c r="I42" s="11" t="s">
        <v>2928</v>
      </c>
      <c r="J42" s="2821" t="s">
        <v>2929</v>
      </c>
      <c r="K42" s="2822" t="s">
        <v>2930</v>
      </c>
      <c r="L42" s="2822" t="s">
        <v>2931</v>
      </c>
      <c r="M42" s="2822" t="s">
        <v>2932</v>
      </c>
      <c r="N42" s="2815" t="s">
        <v>2933</v>
      </c>
      <c r="O42" s="2815" t="s">
        <v>2934</v>
      </c>
      <c r="P42" s="2815" t="s">
        <v>2935</v>
      </c>
      <c r="Q42" s="2816" t="s">
        <v>2936</v>
      </c>
      <c r="R42" s="2816" t="s">
        <v>2937</v>
      </c>
      <c r="S42" s="2633"/>
      <c r="T42" s="2633"/>
      <c r="U42" s="2633"/>
      <c r="V42" s="2633"/>
    </row>
    <row r="43" spans="1:30" s="1899" customFormat="1">
      <c r="A43" s="1725"/>
      <c r="B43" s="1182"/>
      <c r="C43" s="1182"/>
      <c r="D43" s="1182"/>
      <c r="E43" s="1182"/>
      <c r="F43" s="1182"/>
      <c r="G43" s="1182"/>
      <c r="H43" s="1182"/>
      <c r="I43" s="1182"/>
      <c r="J43" s="2631"/>
      <c r="K43" s="2632"/>
      <c r="L43" s="2632"/>
      <c r="M43" s="1182"/>
      <c r="N43" s="1182"/>
      <c r="O43" s="1182"/>
      <c r="P43" s="1182"/>
      <c r="Q43" s="1182"/>
      <c r="R43" s="1182"/>
      <c r="S43" s="2633"/>
      <c r="T43" s="2633"/>
      <c r="U43" s="2633"/>
      <c r="V43" s="2633"/>
    </row>
    <row r="44" spans="1:30" s="1899" customFormat="1">
      <c r="A44" s="1725"/>
      <c r="B44" s="1725"/>
      <c r="C44" s="1182"/>
      <c r="D44" s="1182"/>
      <c r="E44" s="1182"/>
      <c r="F44" s="1182"/>
      <c r="G44" s="1182"/>
      <c r="H44" s="1182"/>
      <c r="I44" s="1182"/>
      <c r="J44" s="2631"/>
      <c r="K44" s="2632"/>
      <c r="L44" s="2632"/>
      <c r="M44" s="1182"/>
      <c r="N44" s="1182"/>
      <c r="O44" s="1182"/>
      <c r="P44" s="1182"/>
      <c r="Q44" s="1182"/>
      <c r="R44" s="1182"/>
      <c r="S44" s="2633"/>
      <c r="T44" s="2633"/>
      <c r="U44" s="2633"/>
      <c r="V44" s="2633"/>
    </row>
    <row r="45" spans="1:30" s="1899" customFormat="1">
      <c r="A45" s="1725"/>
      <c r="B45" s="1725"/>
      <c r="C45" s="1182"/>
      <c r="D45" s="1182"/>
      <c r="E45" s="1182"/>
      <c r="F45" s="1182"/>
      <c r="G45" s="1182"/>
      <c r="H45" s="1182"/>
      <c r="I45" s="1182"/>
      <c r="J45" s="2631"/>
      <c r="K45" s="2632"/>
      <c r="L45" s="2632"/>
      <c r="M45" s="1182"/>
      <c r="N45" s="1182"/>
      <c r="O45" s="1182"/>
      <c r="P45" s="1182"/>
      <c r="Q45" s="1182"/>
      <c r="R45" s="1182"/>
      <c r="S45" s="2633"/>
      <c r="T45" s="2633"/>
      <c r="U45" s="2633"/>
      <c r="V45" s="2633"/>
    </row>
    <row r="46" spans="1:30" s="1899" customFormat="1">
      <c r="A46" s="1725"/>
      <c r="B46" s="1725"/>
      <c r="C46" s="1182"/>
      <c r="D46" s="1182"/>
      <c r="E46" s="1182"/>
      <c r="F46" s="1182"/>
      <c r="G46" s="1182"/>
      <c r="H46" s="1182"/>
      <c r="I46" s="1182"/>
      <c r="J46" s="2631"/>
      <c r="K46" s="2632"/>
      <c r="L46" s="2632"/>
      <c r="M46" s="1182"/>
      <c r="N46" s="1182"/>
      <c r="O46" s="1182"/>
      <c r="P46" s="1182"/>
      <c r="Q46" s="1182"/>
      <c r="R46" s="1182"/>
      <c r="S46" s="2633"/>
      <c r="T46" s="2633"/>
      <c r="U46" s="2633"/>
      <c r="V46" s="2633"/>
    </row>
    <row r="47" spans="1:30" s="1899" customFormat="1">
      <c r="A47" s="1725"/>
      <c r="B47" s="1725"/>
      <c r="C47" s="1182"/>
      <c r="D47" s="1182"/>
      <c r="E47" s="1182"/>
      <c r="F47" s="1182"/>
      <c r="G47" s="1182"/>
      <c r="H47" s="1182"/>
      <c r="I47" s="1182"/>
      <c r="J47" s="2631"/>
      <c r="K47" s="2632"/>
      <c r="L47" s="2632"/>
      <c r="M47" s="1182"/>
      <c r="N47" s="1182"/>
      <c r="O47" s="1182"/>
      <c r="P47" s="1182"/>
      <c r="Q47" s="1182"/>
      <c r="R47" s="1182"/>
      <c r="S47" s="2633"/>
      <c r="T47" s="2633"/>
      <c r="U47" s="2633"/>
      <c r="V47" s="2633"/>
    </row>
    <row r="48" spans="1:30" s="1899" customFormat="1">
      <c r="A48" s="1725"/>
      <c r="B48" s="1725"/>
      <c r="C48" s="1182"/>
      <c r="D48" s="1182"/>
      <c r="E48" s="1182"/>
      <c r="F48" s="1182"/>
      <c r="G48" s="1182"/>
      <c r="H48" s="1182"/>
      <c r="I48" s="1182"/>
      <c r="J48" s="2631"/>
      <c r="K48" s="2632"/>
      <c r="L48" s="2632"/>
      <c r="M48" s="1182"/>
      <c r="N48" s="1182"/>
      <c r="O48" s="1182"/>
      <c r="P48" s="1182"/>
      <c r="Q48" s="1182"/>
      <c r="R48" s="1182"/>
      <c r="S48" s="2633"/>
      <c r="T48" s="2633"/>
      <c r="U48" s="2633"/>
      <c r="V48" s="2633"/>
    </row>
    <row r="49" spans="1:22" s="1899" customFormat="1">
      <c r="A49" s="1725"/>
      <c r="B49" s="1725"/>
      <c r="C49" s="1182"/>
      <c r="D49" s="1182"/>
      <c r="E49" s="1182"/>
      <c r="F49" s="1182"/>
      <c r="G49" s="1182"/>
      <c r="H49" s="1182"/>
      <c r="I49" s="1182"/>
      <c r="J49" s="2631"/>
      <c r="K49" s="2632"/>
      <c r="L49" s="2632"/>
      <c r="M49" s="1182"/>
      <c r="N49" s="1182"/>
      <c r="O49" s="1182"/>
      <c r="P49" s="1182"/>
      <c r="Q49" s="1182"/>
      <c r="R49" s="1182"/>
      <c r="S49" s="2633"/>
      <c r="T49" s="2633"/>
      <c r="U49" s="2633"/>
      <c r="V49" s="2633"/>
    </row>
    <row r="50" spans="1:22" s="1899" customFormat="1">
      <c r="A50" s="1725"/>
      <c r="B50" s="1725"/>
      <c r="C50" s="1182"/>
      <c r="D50" s="1182"/>
      <c r="E50" s="1182"/>
      <c r="F50" s="1182"/>
      <c r="G50" s="1182"/>
      <c r="H50" s="1182"/>
      <c r="I50" s="1182"/>
      <c r="J50" s="2631"/>
      <c r="K50" s="2632"/>
      <c r="L50" s="2632"/>
      <c r="M50" s="1182"/>
      <c r="N50" s="1182"/>
      <c r="O50" s="1182"/>
      <c r="P50" s="1182"/>
      <c r="Q50" s="1182"/>
      <c r="R50" s="1182"/>
      <c r="S50" s="2633"/>
      <c r="T50" s="2633"/>
      <c r="U50" s="2633"/>
      <c r="V50" s="2633"/>
    </row>
    <row r="51" spans="1:22" s="1899" customFormat="1">
      <c r="A51" s="1725"/>
      <c r="B51" s="1725"/>
      <c r="C51" s="1182"/>
      <c r="D51" s="1182"/>
      <c r="E51" s="1182"/>
      <c r="F51" s="1182"/>
      <c r="G51" s="1182"/>
      <c r="H51" s="1182"/>
      <c r="I51" s="1182"/>
      <c r="J51" s="2631"/>
      <c r="K51" s="2632"/>
      <c r="L51" s="2632"/>
      <c r="M51" s="1182"/>
      <c r="N51" s="1182"/>
      <c r="O51" s="1182"/>
      <c r="P51" s="1182"/>
      <c r="Q51" s="1182"/>
      <c r="R51" s="1182"/>
    </row>
    <row r="52" spans="1:22" s="1899" customFormat="1">
      <c r="A52" s="1725"/>
      <c r="B52" s="1725"/>
      <c r="C52" s="1725"/>
      <c r="D52" s="1725"/>
      <c r="E52" s="1725"/>
      <c r="F52" s="1182"/>
      <c r="G52" s="1725"/>
      <c r="H52" s="1725"/>
      <c r="I52" s="1725"/>
      <c r="J52" s="2634"/>
      <c r="K52" s="2632"/>
      <c r="L52" s="2632"/>
      <c r="M52" s="2632"/>
      <c r="N52" s="1725"/>
      <c r="O52" s="1725"/>
      <c r="P52" s="1725"/>
      <c r="Q52" s="1725"/>
      <c r="R52" s="1725"/>
    </row>
    <row r="53" spans="1:22" s="1899" customFormat="1">
      <c r="A53" s="1725"/>
      <c r="B53" s="1725"/>
      <c r="C53" s="1725"/>
      <c r="D53" s="1725"/>
      <c r="E53" s="1725"/>
      <c r="F53" s="1182"/>
      <c r="G53" s="1725"/>
      <c r="H53" s="1725"/>
      <c r="I53" s="1725"/>
      <c r="J53" s="2634"/>
      <c r="K53" s="2632"/>
      <c r="L53" s="2632"/>
      <c r="M53" s="2632"/>
      <c r="N53" s="1725"/>
      <c r="O53" s="1725"/>
      <c r="P53" s="1725"/>
      <c r="Q53" s="1725"/>
      <c r="R53" s="1725"/>
    </row>
    <row r="54" spans="1:22" s="1899" customFormat="1">
      <c r="A54" s="1725"/>
      <c r="B54" s="1725"/>
      <c r="C54" s="1725"/>
      <c r="D54" s="1725"/>
      <c r="E54" s="1725"/>
      <c r="F54" s="1182"/>
      <c r="G54" s="1725"/>
      <c r="H54" s="1725"/>
      <c r="I54" s="1725"/>
      <c r="J54" s="2634"/>
      <c r="K54" s="2632"/>
      <c r="L54" s="2632"/>
      <c r="M54" s="2632"/>
      <c r="N54" s="1725"/>
      <c r="O54" s="1725"/>
      <c r="P54" s="1725"/>
      <c r="Q54" s="1725"/>
      <c r="R54" s="1725"/>
    </row>
    <row r="55" spans="1:22" s="1899" customFormat="1">
      <c r="A55" s="1725"/>
      <c r="B55" s="1725"/>
      <c r="C55" s="1725"/>
      <c r="D55" s="1725"/>
      <c r="E55" s="1725"/>
      <c r="F55" s="1182"/>
      <c r="G55" s="1725"/>
      <c r="H55" s="1725"/>
      <c r="I55" s="1725"/>
      <c r="J55" s="2634"/>
      <c r="K55" s="2632"/>
      <c r="L55" s="2632"/>
      <c r="M55" s="2632"/>
      <c r="N55" s="1725"/>
      <c r="O55" s="1725"/>
      <c r="P55" s="1725"/>
      <c r="Q55" s="1725"/>
      <c r="R55" s="1725"/>
    </row>
    <row r="56" spans="1:22" s="1899" customFormat="1">
      <c r="A56" s="1725"/>
      <c r="B56" s="1725"/>
      <c r="C56" s="1725"/>
      <c r="D56" s="1725"/>
      <c r="E56" s="1725"/>
      <c r="F56" s="1182"/>
      <c r="G56" s="1725"/>
      <c r="H56" s="1725"/>
      <c r="I56" s="1725"/>
      <c r="J56" s="2634"/>
      <c r="K56" s="2632"/>
      <c r="L56" s="2632"/>
      <c r="M56" s="2632"/>
      <c r="N56" s="1725"/>
      <c r="O56" s="1725"/>
      <c r="P56" s="1725"/>
      <c r="Q56" s="1725"/>
      <c r="R56" s="172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46"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hidden="1" customWidth="1"/>
    <col min="18" max="18" width="9.25" style="1728" hidden="1" customWidth="1"/>
    <col min="19" max="19" width="10.875" style="1728" hidden="1" customWidth="1"/>
    <col min="20" max="21" width="10.75" style="1728" hidden="1" customWidth="1"/>
    <col min="22" max="22" width="10.875" style="1728" hidden="1" customWidth="1"/>
    <col min="23" max="27" width="10.75" style="1728" hidden="1" customWidth="1"/>
    <col min="28" max="28" width="10.875" style="1728" hidden="1"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1687</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1688</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1689</v>
      </c>
      <c r="B2" s="11" t="s">
        <v>1690</v>
      </c>
      <c r="C2" s="11" t="s">
        <v>1691</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1692</v>
      </c>
      <c r="AZ2" s="1180" t="s">
        <v>1693</v>
      </c>
      <c r="BA2" s="11" t="s">
        <v>1694</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2907.88</v>
      </c>
      <c r="B3" s="14">
        <f>IF(C3="否",G5-AT5,G5)</f>
        <v>18936.009999999998</v>
      </c>
      <c r="C3" s="1735" t="s">
        <v>1695</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1696</v>
      </c>
      <c r="B5" s="1501"/>
      <c r="C5" s="1501"/>
      <c r="D5" s="1503"/>
      <c r="E5" s="16" t="s">
        <v>1</v>
      </c>
      <c r="F5" s="16">
        <f>SUM(F13:F587)</f>
        <v>0</v>
      </c>
      <c r="G5" s="16">
        <f>SUM(G13:G587)</f>
        <v>18936.009999999998</v>
      </c>
      <c r="H5" s="16">
        <f t="shared" ref="H5:AT5" si="0">SUM(H13:H656)</f>
        <v>18936.009999999998</v>
      </c>
      <c r="I5" s="16">
        <f t="shared" si="0"/>
        <v>10967.84</v>
      </c>
      <c r="J5" s="16">
        <f t="shared" si="0"/>
        <v>0</v>
      </c>
      <c r="K5" s="16">
        <f t="shared" si="0"/>
        <v>2845.98</v>
      </c>
      <c r="L5" s="16">
        <f t="shared" si="0"/>
        <v>0</v>
      </c>
      <c r="M5" s="16">
        <f t="shared" si="0"/>
        <v>5122.1900000000005</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1696</v>
      </c>
      <c r="AW5" s="1501"/>
      <c r="AX5" s="1501"/>
      <c r="AY5" s="17" t="s">
        <v>3</v>
      </c>
      <c r="AZ5" s="18">
        <f t="shared" ref="AZ5:BT5" si="1">SUM(AZ13:AZ656)</f>
        <v>11340.73</v>
      </c>
      <c r="BA5" s="18">
        <f t="shared" si="1"/>
        <v>11340.73</v>
      </c>
      <c r="BB5" s="18">
        <f t="shared" si="1"/>
        <v>8494.75</v>
      </c>
      <c r="BC5" s="18">
        <f t="shared" si="1"/>
        <v>2845.98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1697</v>
      </c>
      <c r="B6" s="1741"/>
      <c r="C6" s="1741"/>
      <c r="D6" s="1742"/>
      <c r="E6" s="16">
        <f>H6+AC6+AT6</f>
        <v>2907.88</v>
      </c>
      <c r="F6" s="16" t="s">
        <v>1</v>
      </c>
      <c r="G6" s="16" t="s">
        <v>2</v>
      </c>
      <c r="H6" s="20">
        <f>SUMIF(I$12:AB$12,"总值",I6:AB6)</f>
        <v>2907.88</v>
      </c>
      <c r="I6" s="16">
        <f t="shared" ref="I6:AB6" si="2">ROUND($A$3*I5/$B$3,2)</f>
        <v>1684.26</v>
      </c>
      <c r="J6" s="16">
        <f t="shared" si="2"/>
        <v>0</v>
      </c>
      <c r="K6" s="16">
        <f t="shared" si="2"/>
        <v>437.04</v>
      </c>
      <c r="L6" s="16">
        <f t="shared" si="2"/>
        <v>0</v>
      </c>
      <c r="M6" s="16">
        <f t="shared" si="2"/>
        <v>786.58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1697</v>
      </c>
      <c r="AW6" s="1741"/>
      <c r="AX6" s="1741"/>
      <c r="AY6" s="21">
        <f>IF(AY3&gt;0,AY3,ROUND($A$3*AZ5/$B$3,2))</f>
        <v>1741.52</v>
      </c>
      <c r="AZ6" s="16" t="s">
        <v>3</v>
      </c>
      <c r="BA6" s="16">
        <f>ROUND($AY$6*BA5/$AZ$5,2)</f>
        <v>1741.52</v>
      </c>
      <c r="BB6" s="16">
        <f>ROUND($AY$6*BB5/$AZ$5,2)</f>
        <v>1304.48</v>
      </c>
      <c r="BC6" s="16">
        <f t="shared" ref="BC6:BH6" si="4">ROUND($AY$6*BC5/$AZ$5,2)</f>
        <v>437.04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1698</v>
      </c>
      <c r="B7" s="1724" t="s">
        <v>1699</v>
      </c>
      <c r="C7" s="1724" t="s">
        <v>1700</v>
      </c>
      <c r="D7" s="1724" t="s">
        <v>1701</v>
      </c>
      <c r="E7" s="1724" t="s">
        <v>1702</v>
      </c>
      <c r="F7" s="1724" t="s">
        <v>1703</v>
      </c>
      <c r="G7" s="1745" t="s">
        <v>1704</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1705</v>
      </c>
      <c r="AV7" s="23" t="s">
        <v>1706</v>
      </c>
      <c r="AW7" s="1733" t="s">
        <v>1707</v>
      </c>
      <c r="AX7" s="23" t="s">
        <v>1700</v>
      </c>
      <c r="AY7" s="1501" t="s">
        <v>1708</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1709</v>
      </c>
      <c r="H8" s="1751" t="s">
        <v>1710</v>
      </c>
      <c r="I8" s="1752"/>
      <c r="J8" s="1514"/>
      <c r="K8" s="1514"/>
      <c r="L8" s="1514"/>
      <c r="M8" s="1514"/>
      <c r="N8" s="1514"/>
      <c r="O8" s="1514"/>
      <c r="P8" s="1514"/>
      <c r="Q8" s="1514"/>
      <c r="R8" s="1514"/>
      <c r="S8" s="1514"/>
      <c r="T8" s="1514"/>
      <c r="U8" s="1514"/>
      <c r="V8" s="1753"/>
      <c r="W8" s="1514"/>
      <c r="X8" s="1514"/>
      <c r="Y8" s="1514"/>
      <c r="Z8" s="1514"/>
      <c r="AA8" s="1753"/>
      <c r="AB8" s="1754"/>
      <c r="AC8" s="918" t="s">
        <v>1711</v>
      </c>
      <c r="AD8" s="1755"/>
      <c r="AE8" s="1747"/>
      <c r="AF8" s="1514"/>
      <c r="AG8" s="1514"/>
      <c r="AH8" s="1514"/>
      <c r="AI8" s="1514"/>
      <c r="AJ8" s="1514"/>
      <c r="AK8" s="1514"/>
      <c r="AL8" s="1514"/>
      <c r="AM8" s="1514"/>
      <c r="AN8" s="1514"/>
      <c r="AO8" s="1514"/>
      <c r="AP8" s="1514"/>
      <c r="AQ8" s="1514"/>
      <c r="AR8" s="1514"/>
      <c r="AS8" s="1514"/>
      <c r="AT8" s="1202" t="s">
        <v>1712</v>
      </c>
      <c r="AU8" s="1749" t="s">
        <v>1713</v>
      </c>
      <c r="AV8" s="1202"/>
      <c r="AW8" s="1732"/>
      <c r="AX8" s="1202"/>
      <c r="AY8" s="1733" t="s">
        <v>1714</v>
      </c>
      <c r="AZ8" s="1513" t="s">
        <v>1715</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1716</v>
      </c>
      <c r="I9" s="1758" t="s">
        <v>3152</v>
      </c>
      <c r="J9" s="918"/>
      <c r="K9" s="1758" t="s">
        <v>3154</v>
      </c>
      <c r="L9" s="918"/>
      <c r="M9" s="1758" t="s">
        <v>3154</v>
      </c>
      <c r="N9" s="918"/>
      <c r="O9" s="1758"/>
      <c r="P9" s="918"/>
      <c r="Q9" s="1758"/>
      <c r="R9" s="918"/>
      <c r="S9" s="1758"/>
      <c r="T9" s="918"/>
      <c r="U9" s="1758"/>
      <c r="V9" s="918"/>
      <c r="W9" s="1758"/>
      <c r="X9" s="1759"/>
      <c r="Y9" s="1758"/>
      <c r="Z9" s="918"/>
      <c r="AA9" s="1758"/>
      <c r="AB9" s="918"/>
      <c r="AC9" s="1750" t="s">
        <v>1716</v>
      </c>
      <c r="AD9" s="15" t="s">
        <v>1717</v>
      </c>
      <c r="AE9" s="1208"/>
      <c r="AF9" s="15" t="s">
        <v>1718</v>
      </c>
      <c r="AG9" s="1208"/>
      <c r="AH9" s="15" t="s">
        <v>1717</v>
      </c>
      <c r="AI9" s="1208"/>
      <c r="AJ9" s="15" t="s">
        <v>1718</v>
      </c>
      <c r="AK9" s="1208"/>
      <c r="AL9" s="15" t="s">
        <v>1717</v>
      </c>
      <c r="AM9" s="1208"/>
      <c r="AN9" s="15" t="s">
        <v>1718</v>
      </c>
      <c r="AO9" s="1208"/>
      <c r="AP9" s="15" t="s">
        <v>1717</v>
      </c>
      <c r="AQ9" s="1208"/>
      <c r="AR9" s="15" t="s">
        <v>1718</v>
      </c>
      <c r="AS9" s="1760"/>
      <c r="AT9" s="1749"/>
      <c r="AU9" s="1749" t="s">
        <v>1719</v>
      </c>
      <c r="AV9" s="1202"/>
      <c r="AW9" s="1732"/>
      <c r="AX9" s="1202"/>
      <c r="AY9" s="28"/>
      <c r="AZ9" s="28" t="s">
        <v>1709</v>
      </c>
      <c r="BA9" s="1761" t="s">
        <v>1720</v>
      </c>
      <c r="BB9" s="1762"/>
      <c r="BC9" s="1220"/>
      <c r="BD9" s="1220"/>
      <c r="BE9" s="1220"/>
      <c r="BF9" s="1220"/>
      <c r="BG9" s="1220"/>
      <c r="BH9" s="1220"/>
      <c r="BI9" s="1220"/>
      <c r="BJ9" s="1220"/>
      <c r="BK9" s="1763"/>
      <c r="BL9" s="15" t="s">
        <v>1721</v>
      </c>
      <c r="BM9" s="1514"/>
      <c r="BN9" s="1752"/>
      <c r="BO9" s="1514"/>
      <c r="BP9" s="1514"/>
      <c r="BQ9" s="1514"/>
      <c r="BR9" s="1514"/>
      <c r="BS9" s="1514"/>
      <c r="BT9" s="26"/>
    </row>
    <row r="10" spans="1:72" s="1756" customFormat="1" ht="12.75">
      <c r="A10" s="1749"/>
      <c r="B10" s="1749"/>
      <c r="C10" s="1749"/>
      <c r="D10" s="1749"/>
      <c r="E10" s="1749"/>
      <c r="F10" s="1749"/>
      <c r="G10" s="1202"/>
      <c r="H10" s="28"/>
      <c r="I10" s="1758" t="s">
        <v>1283</v>
      </c>
      <c r="J10" s="918"/>
      <c r="K10" s="1758" t="s">
        <v>1283</v>
      </c>
      <c r="L10" s="918"/>
      <c r="M10" s="1764" t="s">
        <v>3155</v>
      </c>
      <c r="N10" s="918"/>
      <c r="O10" s="1764"/>
      <c r="P10" s="918"/>
      <c r="Q10" s="1764"/>
      <c r="R10" s="918"/>
      <c r="S10" s="1764"/>
      <c r="T10" s="918"/>
      <c r="U10" s="1764"/>
      <c r="V10" s="918"/>
      <c r="W10" s="1764"/>
      <c r="X10" s="918"/>
      <c r="Y10" s="1764"/>
      <c r="Z10" s="918"/>
      <c r="AA10" s="1764"/>
      <c r="AB10" s="918"/>
      <c r="AC10" s="1202"/>
      <c r="AD10" s="15" t="s">
        <v>1722</v>
      </c>
      <c r="AE10" s="1765"/>
      <c r="AF10" s="15" t="s">
        <v>1722</v>
      </c>
      <c r="AG10" s="1765"/>
      <c r="AH10" s="15" t="s">
        <v>1723</v>
      </c>
      <c r="AI10" s="1765"/>
      <c r="AJ10" s="15" t="s">
        <v>1723</v>
      </c>
      <c r="AK10" s="1765"/>
      <c r="AL10" s="15" t="s">
        <v>1724</v>
      </c>
      <c r="AM10" s="1208"/>
      <c r="AN10" s="15" t="s">
        <v>1724</v>
      </c>
      <c r="AO10" s="1208"/>
      <c r="AP10" s="15" t="s">
        <v>1725</v>
      </c>
      <c r="AQ10" s="1208"/>
      <c r="AR10" s="15" t="s">
        <v>1725</v>
      </c>
      <c r="AS10" s="1208"/>
      <c r="AT10" s="1749"/>
      <c r="AU10" s="1749"/>
      <c r="AV10" s="1202"/>
      <c r="AW10" s="1732"/>
      <c r="AX10" s="1202"/>
      <c r="AY10" s="28"/>
      <c r="AZ10" s="28"/>
      <c r="BA10" s="1766" t="s">
        <v>1716</v>
      </c>
      <c r="BB10" s="1767" t="str">
        <f>I9</f>
        <v>地上</v>
      </c>
      <c r="BC10" s="29" t="str">
        <f>K9</f>
        <v>地下</v>
      </c>
      <c r="BD10" s="29" t="str">
        <f>M9</f>
        <v>地下</v>
      </c>
      <c r="BE10" s="29">
        <f>O9</f>
        <v>0</v>
      </c>
      <c r="BF10" s="29">
        <f>Q9</f>
        <v>0</v>
      </c>
      <c r="BG10" s="29">
        <f>S9</f>
        <v>0</v>
      </c>
      <c r="BH10" s="29">
        <f>U9</f>
        <v>0</v>
      </c>
      <c r="BI10" s="29">
        <f>W9</f>
        <v>0</v>
      </c>
      <c r="BJ10" s="29">
        <f>Y9</f>
        <v>0</v>
      </c>
      <c r="BK10" s="29">
        <f>AA9</f>
        <v>0</v>
      </c>
      <c r="BL10" s="25" t="s">
        <v>1716</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t="s">
        <v>3153</v>
      </c>
      <c r="J11" s="1770"/>
      <c r="K11" s="1769" t="s">
        <v>3153</v>
      </c>
      <c r="L11" s="1770"/>
      <c r="M11" s="1769" t="s">
        <v>3155</v>
      </c>
      <c r="N11" s="1770"/>
      <c r="O11" s="1769"/>
      <c r="P11" s="1770"/>
      <c r="Q11" s="1769"/>
      <c r="R11" s="1770"/>
      <c r="S11" s="1769"/>
      <c r="T11" s="1770"/>
      <c r="U11" s="1769"/>
      <c r="V11" s="1770"/>
      <c r="W11" s="1769"/>
      <c r="X11" s="1770"/>
      <c r="Y11" s="1769"/>
      <c r="Z11" s="1770"/>
      <c r="AA11" s="1769"/>
      <c r="AB11" s="1770"/>
      <c r="AC11" s="1202"/>
      <c r="AD11" s="1771" t="s">
        <v>1726</v>
      </c>
      <c r="AE11" s="1515"/>
      <c r="AF11" s="1771" t="s">
        <v>1726</v>
      </c>
      <c r="AG11" s="1515"/>
      <c r="AH11" s="1771" t="s">
        <v>1727</v>
      </c>
      <c r="AI11" s="1772"/>
      <c r="AJ11" s="1771" t="s">
        <v>1727</v>
      </c>
      <c r="AK11" s="1515"/>
      <c r="AL11" s="1513"/>
      <c r="AM11" s="1515"/>
      <c r="AN11" s="1513"/>
      <c r="AO11" s="1515"/>
      <c r="AP11" s="1513"/>
      <c r="AQ11" s="1515"/>
      <c r="AR11" s="1513"/>
      <c r="AS11" s="1515"/>
      <c r="AT11" s="1732"/>
      <c r="AU11" s="1749"/>
      <c r="AV11" s="1202"/>
      <c r="AW11" s="1732"/>
      <c r="AX11" s="1202"/>
      <c r="AY11" s="28"/>
      <c r="AZ11" s="28"/>
      <c r="BA11" s="28"/>
      <c r="BB11" s="1754" t="str">
        <f>I10</f>
        <v>商业</v>
      </c>
      <c r="BC11" s="1754" t="str">
        <f>K10</f>
        <v>商业</v>
      </c>
      <c r="BD11" s="1754" t="str">
        <f>M10</f>
        <v>车库</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1728</v>
      </c>
      <c r="J12" s="11" t="s">
        <v>1729</v>
      </c>
      <c r="K12" s="11" t="s">
        <v>1728</v>
      </c>
      <c r="L12" s="11" t="s">
        <v>1729</v>
      </c>
      <c r="M12" s="11" t="s">
        <v>1728</v>
      </c>
      <c r="N12" s="11" t="s">
        <v>1729</v>
      </c>
      <c r="O12" s="11" t="s">
        <v>1728</v>
      </c>
      <c r="P12" s="11" t="s">
        <v>1729</v>
      </c>
      <c r="Q12" s="11" t="s">
        <v>1728</v>
      </c>
      <c r="R12" s="11" t="s">
        <v>1729</v>
      </c>
      <c r="S12" s="11" t="s">
        <v>1728</v>
      </c>
      <c r="T12" s="11" t="s">
        <v>1729</v>
      </c>
      <c r="U12" s="11" t="s">
        <v>1728</v>
      </c>
      <c r="V12" s="1500" t="s">
        <v>1729</v>
      </c>
      <c r="W12" s="11" t="s">
        <v>1728</v>
      </c>
      <c r="X12" s="11" t="s">
        <v>1729</v>
      </c>
      <c r="Y12" s="11" t="s">
        <v>1728</v>
      </c>
      <c r="Z12" s="11" t="s">
        <v>1729</v>
      </c>
      <c r="AA12" s="11" t="s">
        <v>1728</v>
      </c>
      <c r="AB12" s="11" t="s">
        <v>1729</v>
      </c>
      <c r="AC12" s="1776"/>
      <c r="AD12" s="1503" t="s">
        <v>1728</v>
      </c>
      <c r="AE12" s="11" t="s">
        <v>1729</v>
      </c>
      <c r="AF12" s="11" t="s">
        <v>1728</v>
      </c>
      <c r="AG12" s="11" t="s">
        <v>1729</v>
      </c>
      <c r="AH12" s="11" t="s">
        <v>1728</v>
      </c>
      <c r="AI12" s="11" t="s">
        <v>1729</v>
      </c>
      <c r="AJ12" s="11" t="s">
        <v>1728</v>
      </c>
      <c r="AK12" s="11" t="s">
        <v>1729</v>
      </c>
      <c r="AL12" s="11" t="s">
        <v>1728</v>
      </c>
      <c r="AM12" s="11" t="s">
        <v>1729</v>
      </c>
      <c r="AN12" s="11" t="s">
        <v>1728</v>
      </c>
      <c r="AO12" s="11" t="s">
        <v>1729</v>
      </c>
      <c r="AP12" s="11" t="s">
        <v>1728</v>
      </c>
      <c r="AQ12" s="11" t="s">
        <v>1729</v>
      </c>
      <c r="AR12" s="30" t="s">
        <v>1728</v>
      </c>
      <c r="AS12" s="1774" t="s">
        <v>1729</v>
      </c>
      <c r="AT12" s="1777"/>
      <c r="AU12" s="1774"/>
      <c r="AV12" s="31"/>
      <c r="AW12" s="1733"/>
      <c r="AX12" s="31"/>
      <c r="AY12" s="1778"/>
      <c r="AZ12" s="28"/>
      <c r="BA12" s="1766"/>
      <c r="BB12" s="24" t="str">
        <f>I11</f>
        <v>独立商业</v>
      </c>
      <c r="BC12" s="1779" t="str">
        <f>K11</f>
        <v>独立商业</v>
      </c>
      <c r="BD12" s="1779" t="str">
        <f>M11</f>
        <v>车库</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7.25" customHeight="1">
      <c r="A13" s="1182"/>
      <c r="B13" s="57" t="s">
        <v>3150</v>
      </c>
      <c r="C13" s="1182" t="s">
        <v>3151</v>
      </c>
      <c r="D13" s="1780" t="s">
        <v>3140</v>
      </c>
      <c r="E13" s="16">
        <f>IF($C$3="是",ROUND($A$3*G13/$B$3,2),ROUND($A$3*(G13-AT13)/$B$3,2))</f>
        <v>437.04</v>
      </c>
      <c r="F13" s="32"/>
      <c r="G13" s="33">
        <f>H13+AC13+AT13</f>
        <v>2845.98</v>
      </c>
      <c r="H13" s="20">
        <f>SUMIF(I$12:AB$12,"总值",I13:AB13)</f>
        <v>2845.98</v>
      </c>
      <c r="I13" s="1781"/>
      <c r="J13" s="1781"/>
      <c r="K13" s="1781">
        <v>2845.98</v>
      </c>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t="str">
        <f t="shared" si="6"/>
        <v>X京房权证东字第028907号</v>
      </c>
      <c r="AX13" s="11" t="str">
        <f t="shared" si="6"/>
        <v>地下1层</v>
      </c>
      <c r="AY13" s="1503">
        <f>ROUND($AY$6*AZ13/$AZ$5,2)</f>
        <v>437.04</v>
      </c>
      <c r="AZ13" s="16">
        <f>BA13+BL13</f>
        <v>2845.98</v>
      </c>
      <c r="BA13" s="16">
        <f>SUM(BB13:BK13)</f>
        <v>2845.98</v>
      </c>
      <c r="BB13" s="16">
        <f>IF($D13="是",I13-J13,0)</f>
        <v>0</v>
      </c>
      <c r="BC13" s="16">
        <f>IF($D13="是",K13-L13,0)</f>
        <v>2845.98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182" t="s">
        <v>3156</v>
      </c>
      <c r="D14" s="1780" t="s">
        <v>3140</v>
      </c>
      <c r="E14" s="16">
        <f>IF($C$3="是",ROUND($A$3*G14/$B$3,2),ROUND($A$3*(G14-AT14)/$B$3,2))</f>
        <v>196.33</v>
      </c>
      <c r="F14" s="32"/>
      <c r="G14" s="33">
        <f>H14+AC14+AT14</f>
        <v>1278.48</v>
      </c>
      <c r="H14" s="20">
        <f>SUMIF(I$12:AB$12,"总值",I14:AB14)</f>
        <v>1278.48</v>
      </c>
      <c r="I14" s="1781">
        <v>1278.48</v>
      </c>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t="str">
        <f t="shared" si="6"/>
        <v>1层</v>
      </c>
      <c r="AY14" s="1503">
        <f>ROUND($AY$6*AZ14/$AZ$5,2)</f>
        <v>196.33</v>
      </c>
      <c r="AZ14" s="16">
        <f>BA14+BL14</f>
        <v>1278.48</v>
      </c>
      <c r="BA14" s="16">
        <f>SUM(BB14:BK14)</f>
        <v>1278.48</v>
      </c>
      <c r="BB14" s="16">
        <f>IF($D14="是",I14-J14,0)</f>
        <v>1278.48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182" t="s">
        <v>3157</v>
      </c>
      <c r="D15" s="1780" t="s">
        <v>3140</v>
      </c>
      <c r="E15" s="16">
        <f>IF($C$3="是",ROUND($A$3*G15/$B$3,2),ROUND($A$3*(G15-AT15)/$B$3,2))</f>
        <v>178.35</v>
      </c>
      <c r="F15" s="32"/>
      <c r="G15" s="33">
        <f>H15+AC15+AT15</f>
        <v>1161.4100000000001</v>
      </c>
      <c r="H15" s="20">
        <f>SUMIF(I$12:AB$12,"总值",I15:AB15)</f>
        <v>1161.4100000000001</v>
      </c>
      <c r="I15" s="1781">
        <v>1161.4100000000001</v>
      </c>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t="str">
        <f t="shared" si="6"/>
        <v>2层</v>
      </c>
      <c r="AY15" s="1503">
        <f>ROUND($AY$6*AZ15/$AZ$5,2)</f>
        <v>178.35</v>
      </c>
      <c r="AZ15" s="16">
        <f>BA15+BL15</f>
        <v>1161.4100000000001</v>
      </c>
      <c r="BA15" s="16">
        <f>SUM(BB15:BK15)</f>
        <v>1161.4100000000001</v>
      </c>
      <c r="BB15" s="16">
        <f>IF($D15="是",I15-J15,0)</f>
        <v>1161.4100000000001</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182" t="s">
        <v>3158</v>
      </c>
      <c r="D16" s="1780" t="s">
        <v>3140</v>
      </c>
      <c r="E16" s="16">
        <f>IF($C$3="是",ROUND($A$3*G16/$B$3,2),ROUND($A$3*(G16-AT16)/$B$3,2))</f>
        <v>295.08999999999997</v>
      </c>
      <c r="F16" s="32"/>
      <c r="G16" s="33">
        <f>H16+AC16+AT16</f>
        <v>1921.63</v>
      </c>
      <c r="H16" s="20">
        <f>SUMIF(I$12:AB$12,"总值",I16:AB16)</f>
        <v>1921.63</v>
      </c>
      <c r="I16" s="1781">
        <v>1921.63</v>
      </c>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t="str">
        <f t="shared" si="6"/>
        <v>3层</v>
      </c>
      <c r="AY16" s="1503">
        <f>ROUND($AY$6*AZ16/$AZ$5,2)</f>
        <v>295.08999999999997</v>
      </c>
      <c r="AZ16" s="16">
        <f>BA16+BL16</f>
        <v>1921.63</v>
      </c>
      <c r="BA16" s="16">
        <f>SUM(BB16:BK16)</f>
        <v>1921.63</v>
      </c>
      <c r="BB16" s="16">
        <f>IF($D16="是",I16-J16,0)</f>
        <v>1921.63</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f>I5/A3</f>
        <v>3.771764997180076</v>
      </c>
      <c r="B17" s="1182"/>
      <c r="C17" s="1182" t="s">
        <v>3159</v>
      </c>
      <c r="D17" s="1780" t="s">
        <v>3140</v>
      </c>
      <c r="E17" s="16">
        <f>IF($C$3="是",ROUND($A$3*G17/$B$3,2),ROUND($A$3*(G17-AT17)/$B$3,2))</f>
        <v>310.61</v>
      </c>
      <c r="F17" s="32"/>
      <c r="G17" s="33">
        <f>H17+AC17+AT17</f>
        <v>2022.65</v>
      </c>
      <c r="H17" s="20">
        <f>SUMIF(I$12:AB$12,"总值",I17:AB17)</f>
        <v>2022.65</v>
      </c>
      <c r="I17" s="1781">
        <v>2022.65</v>
      </c>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3.771764997180076</v>
      </c>
      <c r="AW17" s="11">
        <f t="shared" si="6"/>
        <v>0</v>
      </c>
      <c r="AX17" s="11" t="str">
        <f t="shared" si="6"/>
        <v>4层</v>
      </c>
      <c r="AY17" s="1503">
        <f>ROUND($AY$6*AZ17/$AZ$5,2)</f>
        <v>310.60000000000002</v>
      </c>
      <c r="AZ17" s="16">
        <f>BA17+BL17</f>
        <v>2022.65</v>
      </c>
      <c r="BA17" s="16">
        <f>SUM(BB17:BK17)</f>
        <v>2022.65</v>
      </c>
      <c r="BB17" s="16">
        <f>IF($D17="是",I17-J17,0)</f>
        <v>2022.65</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182" t="s">
        <v>3160</v>
      </c>
      <c r="D18" s="1780" t="s">
        <v>3140</v>
      </c>
      <c r="E18" s="35">
        <f t="shared" ref="E18:E112" si="7">IF($C$3="是",ROUND($A$3*G18/$B$3,2),ROUND($A$3*(G18-AT18)/$B$3,2))</f>
        <v>324.11</v>
      </c>
      <c r="F18" s="36"/>
      <c r="G18" s="37">
        <f t="shared" ref="G18:G109" si="8">H18+AC18+AT18</f>
        <v>2110.58</v>
      </c>
      <c r="H18" s="38">
        <f t="shared" ref="H18:H109" si="9">SUMIF(I$12:AB$12,"总值",I18:AB18)</f>
        <v>2110.58</v>
      </c>
      <c r="I18" s="1781">
        <v>2110.58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t="str">
        <f t="shared" ref="AX18:AX112" si="13">C18</f>
        <v>5层</v>
      </c>
      <c r="AY18" s="42">
        <f t="shared" ref="AY18:AY109" si="14">ROUND($AY$6*AZ18/$AZ$5,2)</f>
        <v>324.11</v>
      </c>
      <c r="AZ18" s="35">
        <f t="shared" ref="AZ18:AZ109" si="15">BA18+BL18</f>
        <v>2110.58</v>
      </c>
      <c r="BA18" s="35">
        <f t="shared" ref="BA18:BA109" si="16">SUM(BB18:BK18)</f>
        <v>2110.58</v>
      </c>
      <c r="BB18" s="35">
        <f t="shared" ref="BB18:BB109" si="17">IF($D18="是",I18-J18,0)</f>
        <v>2110.58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3.5" customHeight="1">
      <c r="A20" s="9"/>
      <c r="B20" s="57" t="s">
        <v>3161</v>
      </c>
      <c r="C20" s="3211">
        <v>615</v>
      </c>
      <c r="D20" s="1780" t="s">
        <v>3141</v>
      </c>
      <c r="E20" s="35">
        <f t="shared" si="7"/>
        <v>11.58</v>
      </c>
      <c r="F20" s="36"/>
      <c r="G20" s="37">
        <f t="shared" si="8"/>
        <v>75.39</v>
      </c>
      <c r="H20" s="38">
        <f t="shared" si="9"/>
        <v>75.39</v>
      </c>
      <c r="I20" s="1781">
        <v>75.39</v>
      </c>
      <c r="J20" s="1781"/>
      <c r="K20" s="1781"/>
      <c r="L20" s="1781"/>
      <c r="M20" s="1781"/>
      <c r="N20" s="1781"/>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t="str">
        <f t="shared" si="12"/>
        <v>X京房权证东字第028906号</v>
      </c>
      <c r="AX20" s="1497">
        <f t="shared" si="13"/>
        <v>615</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211">
        <v>616</v>
      </c>
      <c r="D21" s="1780" t="s">
        <v>3141</v>
      </c>
      <c r="E21" s="35">
        <f t="shared" si="7"/>
        <v>12.73</v>
      </c>
      <c r="F21" s="36"/>
      <c r="G21" s="37">
        <f t="shared" si="8"/>
        <v>82.89</v>
      </c>
      <c r="H21" s="38">
        <f t="shared" si="9"/>
        <v>82.89</v>
      </c>
      <c r="I21" s="1781">
        <v>82.89</v>
      </c>
      <c r="J21" s="1781"/>
      <c r="K21" s="1781"/>
      <c r="L21" s="1781"/>
      <c r="M21" s="1781"/>
      <c r="N21" s="1781"/>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616</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211">
        <v>617</v>
      </c>
      <c r="D22" s="1780" t="s">
        <v>3141</v>
      </c>
      <c r="E22" s="35">
        <f t="shared" si="7"/>
        <v>13.61</v>
      </c>
      <c r="F22" s="36"/>
      <c r="G22" s="37">
        <f t="shared" si="8"/>
        <v>88.63</v>
      </c>
      <c r="H22" s="38">
        <f t="shared" si="9"/>
        <v>88.63</v>
      </c>
      <c r="I22" s="1781">
        <v>88.63</v>
      </c>
      <c r="J22" s="1781"/>
      <c r="K22" s="1781"/>
      <c r="L22" s="1781"/>
      <c r="M22" s="1781"/>
      <c r="N22" s="1781"/>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617</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211">
        <v>618</v>
      </c>
      <c r="D23" s="1780" t="s">
        <v>3141</v>
      </c>
      <c r="E23" s="35">
        <f t="shared" si="7"/>
        <v>12.98</v>
      </c>
      <c r="F23" s="36"/>
      <c r="G23" s="37">
        <f t="shared" si="8"/>
        <v>84.53</v>
      </c>
      <c r="H23" s="38">
        <f t="shared" si="9"/>
        <v>84.53</v>
      </c>
      <c r="I23" s="1781">
        <v>84.53</v>
      </c>
      <c r="J23" s="1781"/>
      <c r="K23" s="1781"/>
      <c r="L23" s="1781"/>
      <c r="M23" s="1781"/>
      <c r="N23" s="1781"/>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618</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211">
        <v>619</v>
      </c>
      <c r="D24" s="1780" t="s">
        <v>3141</v>
      </c>
      <c r="E24" s="35">
        <f t="shared" si="7"/>
        <v>13.83</v>
      </c>
      <c r="F24" s="36"/>
      <c r="G24" s="37">
        <f t="shared" si="8"/>
        <v>90.06</v>
      </c>
      <c r="H24" s="38">
        <f t="shared" si="9"/>
        <v>90.06</v>
      </c>
      <c r="I24" s="1781">
        <v>90.06</v>
      </c>
      <c r="J24" s="1781"/>
      <c r="K24" s="1781"/>
      <c r="L24" s="1781"/>
      <c r="M24" s="1781"/>
      <c r="N24" s="1781"/>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619</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211">
        <v>620</v>
      </c>
      <c r="D25" s="1780" t="s">
        <v>3141</v>
      </c>
      <c r="E25" s="35">
        <f t="shared" si="7"/>
        <v>9.59</v>
      </c>
      <c r="F25" s="36"/>
      <c r="G25" s="37">
        <f t="shared" si="8"/>
        <v>62.44</v>
      </c>
      <c r="H25" s="38">
        <f t="shared" si="9"/>
        <v>62.44</v>
      </c>
      <c r="I25" s="1781">
        <v>62.44</v>
      </c>
      <c r="J25" s="1781"/>
      <c r="K25" s="1781"/>
      <c r="L25" s="1781"/>
      <c r="M25" s="1781"/>
      <c r="N25" s="1781"/>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620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211">
        <v>621</v>
      </c>
      <c r="D26" s="1780" t="s">
        <v>3141</v>
      </c>
      <c r="E26" s="35">
        <f t="shared" si="7"/>
        <v>9.5299999999999994</v>
      </c>
      <c r="F26" s="36"/>
      <c r="G26" s="37">
        <f t="shared" si="8"/>
        <v>62.05</v>
      </c>
      <c r="H26" s="38">
        <f t="shared" si="9"/>
        <v>62.05</v>
      </c>
      <c r="I26" s="1781">
        <v>62.05</v>
      </c>
      <c r="J26" s="1781"/>
      <c r="K26" s="1781"/>
      <c r="L26" s="1781"/>
      <c r="M26" s="1781"/>
      <c r="N26" s="1781"/>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621</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211">
        <v>622</v>
      </c>
      <c r="D27" s="1780" t="s">
        <v>3141</v>
      </c>
      <c r="E27" s="35">
        <f t="shared" si="7"/>
        <v>12.29</v>
      </c>
      <c r="F27" s="36"/>
      <c r="G27" s="37">
        <f t="shared" si="8"/>
        <v>80.040000000000006</v>
      </c>
      <c r="H27" s="38">
        <f t="shared" si="9"/>
        <v>80.040000000000006</v>
      </c>
      <c r="I27" s="1781">
        <v>80.040000000000006</v>
      </c>
      <c r="J27" s="1781"/>
      <c r="K27" s="1781"/>
      <c r="L27" s="1781"/>
      <c r="M27" s="1781"/>
      <c r="N27" s="1781"/>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622</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211">
        <v>709</v>
      </c>
      <c r="D28" s="1780" t="s">
        <v>3141</v>
      </c>
      <c r="E28" s="35">
        <f t="shared" si="7"/>
        <v>10.42</v>
      </c>
      <c r="F28" s="36"/>
      <c r="G28" s="37">
        <f t="shared" si="8"/>
        <v>67.84</v>
      </c>
      <c r="H28" s="38">
        <f t="shared" si="9"/>
        <v>67.84</v>
      </c>
      <c r="I28" s="1781">
        <v>67.84</v>
      </c>
      <c r="J28" s="1781"/>
      <c r="K28" s="1781"/>
      <c r="L28" s="1781"/>
      <c r="M28" s="1781"/>
      <c r="N28" s="1781"/>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709</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211">
        <v>717</v>
      </c>
      <c r="D29" s="1780" t="s">
        <v>3141</v>
      </c>
      <c r="E29" s="35">
        <f t="shared" si="7"/>
        <v>12.71</v>
      </c>
      <c r="F29" s="36"/>
      <c r="G29" s="37">
        <f t="shared" si="8"/>
        <v>82.75</v>
      </c>
      <c r="H29" s="38">
        <f t="shared" si="9"/>
        <v>82.75</v>
      </c>
      <c r="I29" s="1781">
        <v>82.75</v>
      </c>
      <c r="J29" s="1781"/>
      <c r="K29" s="1781"/>
      <c r="L29" s="1781"/>
      <c r="M29" s="1781"/>
      <c r="N29" s="1781"/>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717</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211">
        <v>718</v>
      </c>
      <c r="D30" s="1780" t="s">
        <v>3141</v>
      </c>
      <c r="E30" s="35">
        <f t="shared" si="7"/>
        <v>13.54</v>
      </c>
      <c r="F30" s="36"/>
      <c r="G30" s="37">
        <f t="shared" si="8"/>
        <v>88.2</v>
      </c>
      <c r="H30" s="38">
        <f t="shared" si="9"/>
        <v>88.2</v>
      </c>
      <c r="I30" s="1781">
        <v>88.2</v>
      </c>
      <c r="J30" s="1781"/>
      <c r="K30" s="1781"/>
      <c r="L30" s="1781"/>
      <c r="M30" s="1781"/>
      <c r="N30" s="1781"/>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718</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211">
        <v>719</v>
      </c>
      <c r="D31" s="1780" t="s">
        <v>3141</v>
      </c>
      <c r="E31" s="35">
        <f t="shared" si="7"/>
        <v>12.97</v>
      </c>
      <c r="F31" s="36"/>
      <c r="G31" s="37">
        <f t="shared" si="8"/>
        <v>84.43</v>
      </c>
      <c r="H31" s="38">
        <f t="shared" si="9"/>
        <v>84.43</v>
      </c>
      <c r="I31" s="1781">
        <v>84.43</v>
      </c>
      <c r="J31" s="1781"/>
      <c r="K31" s="1781"/>
      <c r="L31" s="1781"/>
      <c r="M31" s="1781"/>
      <c r="N31" s="1781"/>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719</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211">
        <v>720</v>
      </c>
      <c r="D32" s="1780" t="s">
        <v>3141</v>
      </c>
      <c r="E32" s="35">
        <f t="shared" si="7"/>
        <v>13.84</v>
      </c>
      <c r="F32" s="36"/>
      <c r="G32" s="37">
        <f t="shared" si="8"/>
        <v>90.12</v>
      </c>
      <c r="H32" s="38">
        <f t="shared" si="9"/>
        <v>90.12</v>
      </c>
      <c r="I32" s="1781">
        <v>90.12</v>
      </c>
      <c r="J32" s="1781"/>
      <c r="K32" s="1781"/>
      <c r="L32" s="1781"/>
      <c r="M32" s="1781"/>
      <c r="N32" s="1781"/>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720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211">
        <v>817</v>
      </c>
      <c r="D33" s="1780" t="s">
        <v>3141</v>
      </c>
      <c r="E33" s="35">
        <f t="shared" si="7"/>
        <v>12.73</v>
      </c>
      <c r="F33" s="36"/>
      <c r="G33" s="37">
        <f t="shared" si="8"/>
        <v>82.89</v>
      </c>
      <c r="H33" s="38">
        <f t="shared" si="9"/>
        <v>82.89</v>
      </c>
      <c r="I33" s="1781">
        <v>82.89</v>
      </c>
      <c r="J33" s="1781"/>
      <c r="K33" s="1781"/>
      <c r="L33" s="1781"/>
      <c r="M33" s="1781"/>
      <c r="N33" s="1781"/>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817</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211">
        <v>917</v>
      </c>
      <c r="D34" s="1780" t="s">
        <v>3141</v>
      </c>
      <c r="E34" s="35">
        <f t="shared" si="7"/>
        <v>12.71</v>
      </c>
      <c r="F34" s="36"/>
      <c r="G34" s="37">
        <f t="shared" si="8"/>
        <v>82.75</v>
      </c>
      <c r="H34" s="38">
        <f t="shared" si="9"/>
        <v>82.75</v>
      </c>
      <c r="I34" s="1781">
        <v>82.75</v>
      </c>
      <c r="J34" s="1781"/>
      <c r="K34" s="1781"/>
      <c r="L34" s="1781"/>
      <c r="M34" s="1781"/>
      <c r="N34" s="1781"/>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917</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211">
        <v>919</v>
      </c>
      <c r="D35" s="1780" t="s">
        <v>3141</v>
      </c>
      <c r="E35" s="35">
        <f t="shared" si="7"/>
        <v>12.97</v>
      </c>
      <c r="F35" s="36"/>
      <c r="G35" s="37">
        <f t="shared" si="8"/>
        <v>84.43</v>
      </c>
      <c r="H35" s="38">
        <f t="shared" si="9"/>
        <v>84.43</v>
      </c>
      <c r="I35" s="1781">
        <v>84.43</v>
      </c>
      <c r="J35" s="1781"/>
      <c r="K35" s="1781"/>
      <c r="L35" s="1781"/>
      <c r="M35" s="1781"/>
      <c r="N35" s="1781"/>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919</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211">
        <v>1117</v>
      </c>
      <c r="D36" s="1780" t="s">
        <v>3141</v>
      </c>
      <c r="E36" s="35">
        <f t="shared" si="7"/>
        <v>12.71</v>
      </c>
      <c r="F36" s="36"/>
      <c r="G36" s="37">
        <f t="shared" si="8"/>
        <v>82.75</v>
      </c>
      <c r="H36" s="38">
        <f t="shared" si="9"/>
        <v>82.75</v>
      </c>
      <c r="I36" s="1781">
        <v>82.75</v>
      </c>
      <c r="J36" s="1781"/>
      <c r="K36" s="1781"/>
      <c r="L36" s="1781"/>
      <c r="M36" s="1781"/>
      <c r="N36" s="1781"/>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1117</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211">
        <v>1218</v>
      </c>
      <c r="D37" s="1780" t="s">
        <v>3141</v>
      </c>
      <c r="E37" s="35">
        <f t="shared" si="7"/>
        <v>13.61</v>
      </c>
      <c r="F37" s="36"/>
      <c r="G37" s="37">
        <f t="shared" si="8"/>
        <v>88.63</v>
      </c>
      <c r="H37" s="38">
        <f t="shared" si="9"/>
        <v>88.63</v>
      </c>
      <c r="I37" s="1781">
        <v>88.63</v>
      </c>
      <c r="J37" s="1781"/>
      <c r="K37" s="1781"/>
      <c r="L37" s="1781"/>
      <c r="M37" s="1781"/>
      <c r="N37" s="1781"/>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1218</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211">
        <v>1220</v>
      </c>
      <c r="D38" s="1780" t="s">
        <v>3141</v>
      </c>
      <c r="E38" s="35">
        <f t="shared" si="7"/>
        <v>13.83</v>
      </c>
      <c r="F38" s="36"/>
      <c r="G38" s="37">
        <f t="shared" si="8"/>
        <v>90.06</v>
      </c>
      <c r="H38" s="38">
        <f t="shared" si="9"/>
        <v>90.06</v>
      </c>
      <c r="I38" s="1781">
        <v>90.06</v>
      </c>
      <c r="J38" s="1781"/>
      <c r="K38" s="1781"/>
      <c r="L38" s="1781"/>
      <c r="M38" s="1781"/>
      <c r="N38" s="1781"/>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1220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211">
        <v>1313</v>
      </c>
      <c r="D39" s="1780" t="s">
        <v>3141</v>
      </c>
      <c r="E39" s="35">
        <f t="shared" si="7"/>
        <v>8.3000000000000007</v>
      </c>
      <c r="F39" s="36"/>
      <c r="G39" s="37">
        <f t="shared" si="8"/>
        <v>54.06</v>
      </c>
      <c r="H39" s="38">
        <f t="shared" si="9"/>
        <v>54.06</v>
      </c>
      <c r="I39" s="1781">
        <v>54.06</v>
      </c>
      <c r="J39" s="1781"/>
      <c r="K39" s="1781"/>
      <c r="L39" s="1781"/>
      <c r="M39" s="1781"/>
      <c r="N39" s="1781"/>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1313</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211">
        <v>1317</v>
      </c>
      <c r="D40" s="1780" t="s">
        <v>3141</v>
      </c>
      <c r="E40" s="35">
        <f t="shared" si="7"/>
        <v>12.71</v>
      </c>
      <c r="F40" s="36"/>
      <c r="G40" s="37">
        <f t="shared" si="8"/>
        <v>82.75</v>
      </c>
      <c r="H40" s="38">
        <f t="shared" si="9"/>
        <v>82.75</v>
      </c>
      <c r="I40" s="1781">
        <v>82.75</v>
      </c>
      <c r="J40" s="1781"/>
      <c r="K40" s="1781"/>
      <c r="L40" s="1781"/>
      <c r="M40" s="1781"/>
      <c r="N40" s="1781"/>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1317</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211">
        <v>1318</v>
      </c>
      <c r="D41" s="1780" t="s">
        <v>3141</v>
      </c>
      <c r="E41" s="35">
        <f t="shared" si="7"/>
        <v>13.54</v>
      </c>
      <c r="F41" s="36"/>
      <c r="G41" s="37">
        <f t="shared" si="8"/>
        <v>88.2</v>
      </c>
      <c r="H41" s="38">
        <f t="shared" si="9"/>
        <v>88.2</v>
      </c>
      <c r="I41" s="1781">
        <v>88.2</v>
      </c>
      <c r="J41" s="1781"/>
      <c r="K41" s="1781"/>
      <c r="L41" s="1781"/>
      <c r="M41" s="1781"/>
      <c r="N41" s="1781"/>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1318</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211">
        <v>1319</v>
      </c>
      <c r="D42" s="1780" t="s">
        <v>3141</v>
      </c>
      <c r="E42" s="35">
        <f t="shared" si="7"/>
        <v>12.97</v>
      </c>
      <c r="F42" s="36"/>
      <c r="G42" s="37">
        <f t="shared" si="8"/>
        <v>84.43</v>
      </c>
      <c r="H42" s="38">
        <f t="shared" si="9"/>
        <v>84.43</v>
      </c>
      <c r="I42" s="1781">
        <v>84.43</v>
      </c>
      <c r="J42" s="1781"/>
      <c r="K42" s="1781"/>
      <c r="L42" s="1781"/>
      <c r="M42" s="1781"/>
      <c r="N42" s="1781"/>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1319</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211">
        <v>1320</v>
      </c>
      <c r="D43" s="1780" t="s">
        <v>3141</v>
      </c>
      <c r="E43" s="35">
        <f t="shared" si="7"/>
        <v>13.84</v>
      </c>
      <c r="F43" s="36"/>
      <c r="G43" s="37">
        <f t="shared" si="8"/>
        <v>90.12</v>
      </c>
      <c r="H43" s="38">
        <f t="shared" si="9"/>
        <v>90.12</v>
      </c>
      <c r="I43" s="1781">
        <v>90.12</v>
      </c>
      <c r="J43" s="1781"/>
      <c r="K43" s="1781"/>
      <c r="L43" s="1781"/>
      <c r="M43" s="1781"/>
      <c r="N43" s="1781"/>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1320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211">
        <v>1417</v>
      </c>
      <c r="D44" s="1780" t="s">
        <v>3141</v>
      </c>
      <c r="E44" s="35">
        <f t="shared" si="7"/>
        <v>12.73</v>
      </c>
      <c r="F44" s="36"/>
      <c r="G44" s="37">
        <f t="shared" si="8"/>
        <v>82.89</v>
      </c>
      <c r="H44" s="38">
        <f t="shared" si="9"/>
        <v>82.89</v>
      </c>
      <c r="I44" s="1781">
        <v>82.89</v>
      </c>
      <c r="J44" s="1781"/>
      <c r="K44" s="1781"/>
      <c r="L44" s="1781"/>
      <c r="M44" s="1781"/>
      <c r="N44" s="1781"/>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1417</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211">
        <v>1418</v>
      </c>
      <c r="D45" s="1780" t="s">
        <v>3141</v>
      </c>
      <c r="E45" s="35">
        <f t="shared" si="7"/>
        <v>13.61</v>
      </c>
      <c r="F45" s="36"/>
      <c r="G45" s="37">
        <f t="shared" si="8"/>
        <v>88.63</v>
      </c>
      <c r="H45" s="38">
        <f t="shared" si="9"/>
        <v>88.63</v>
      </c>
      <c r="I45" s="1781">
        <v>88.63</v>
      </c>
      <c r="J45" s="1781"/>
      <c r="K45" s="1781"/>
      <c r="L45" s="1781"/>
      <c r="M45" s="1781"/>
      <c r="N45" s="1781"/>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1418</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211">
        <v>1420</v>
      </c>
      <c r="D46" s="1780" t="s">
        <v>3141</v>
      </c>
      <c r="E46" s="35">
        <f t="shared" si="7"/>
        <v>13.83</v>
      </c>
      <c r="F46" s="36"/>
      <c r="G46" s="37">
        <f t="shared" si="8"/>
        <v>90.06</v>
      </c>
      <c r="H46" s="38">
        <f t="shared" si="9"/>
        <v>90.06</v>
      </c>
      <c r="I46" s="1781">
        <v>90.06</v>
      </c>
      <c r="J46" s="1781"/>
      <c r="K46" s="1781"/>
      <c r="L46" s="1781"/>
      <c r="M46" s="1781"/>
      <c r="N46" s="1781"/>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1420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211">
        <v>1517</v>
      </c>
      <c r="D47" s="1780" t="s">
        <v>3141</v>
      </c>
      <c r="E47" s="35">
        <f t="shared" si="7"/>
        <v>12.71</v>
      </c>
      <c r="F47" s="36"/>
      <c r="G47" s="37">
        <f t="shared" si="8"/>
        <v>82.75</v>
      </c>
      <c r="H47" s="38">
        <f t="shared" si="9"/>
        <v>82.75</v>
      </c>
      <c r="I47" s="1781">
        <v>82.75</v>
      </c>
      <c r="J47" s="1781"/>
      <c r="K47" s="1781"/>
      <c r="L47" s="1781"/>
      <c r="M47" s="1781"/>
      <c r="N47" s="1781"/>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1517</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211">
        <v>1518</v>
      </c>
      <c r="D48" s="1780" t="s">
        <v>3141</v>
      </c>
      <c r="E48" s="35">
        <f t="shared" si="7"/>
        <v>13.54</v>
      </c>
      <c r="F48" s="36"/>
      <c r="G48" s="37">
        <f t="shared" si="8"/>
        <v>88.2</v>
      </c>
      <c r="H48" s="38">
        <f t="shared" si="9"/>
        <v>88.2</v>
      </c>
      <c r="I48" s="1781">
        <v>88.2</v>
      </c>
      <c r="J48" s="1781"/>
      <c r="K48" s="1781"/>
      <c r="L48" s="1781"/>
      <c r="M48" s="1781"/>
      <c r="N48" s="1781"/>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1518</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211">
        <v>1520</v>
      </c>
      <c r="D49" s="1780" t="s">
        <v>3141</v>
      </c>
      <c r="E49" s="35">
        <f t="shared" si="7"/>
        <v>13.84</v>
      </c>
      <c r="F49" s="36"/>
      <c r="G49" s="37">
        <f t="shared" si="8"/>
        <v>90.12</v>
      </c>
      <c r="H49" s="38">
        <f t="shared" si="9"/>
        <v>90.12</v>
      </c>
      <c r="I49" s="1781">
        <v>90.12</v>
      </c>
      <c r="J49" s="1781"/>
      <c r="K49" s="1781"/>
      <c r="L49" s="1781"/>
      <c r="M49" s="1781"/>
      <c r="N49" s="1781"/>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1520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211" t="s">
        <v>3165</v>
      </c>
      <c r="D50" s="1780" t="s">
        <v>3141</v>
      </c>
      <c r="E50" s="35">
        <f t="shared" si="7"/>
        <v>407.69</v>
      </c>
      <c r="F50" s="36"/>
      <c r="G50" s="37">
        <f t="shared" si="8"/>
        <v>2654.85</v>
      </c>
      <c r="H50" s="38">
        <f t="shared" si="9"/>
        <v>2654.85</v>
      </c>
      <c r="I50" s="1781"/>
      <c r="J50" s="1781"/>
      <c r="K50" s="1781"/>
      <c r="L50" s="1781"/>
      <c r="M50" s="1781">
        <v>2654.85</v>
      </c>
      <c r="N50" s="1781"/>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t="str">
        <f t="shared" si="13"/>
        <v>地下2层</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211" t="s">
        <v>3166</v>
      </c>
      <c r="D51" s="1780" t="s">
        <v>3141</v>
      </c>
      <c r="E51" s="35">
        <f t="shared" si="7"/>
        <v>378.89</v>
      </c>
      <c r="F51" s="36"/>
      <c r="G51" s="37">
        <f t="shared" si="8"/>
        <v>2467.34</v>
      </c>
      <c r="H51" s="38">
        <f t="shared" si="9"/>
        <v>2467.34</v>
      </c>
      <c r="I51" s="1781"/>
      <c r="J51" s="1781"/>
      <c r="K51" s="1781"/>
      <c r="L51" s="1781"/>
      <c r="M51" s="1781">
        <v>2467.34</v>
      </c>
      <c r="N51" s="1781"/>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t="str">
        <f t="shared" si="13"/>
        <v>地下3层</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211"/>
      <c r="D52" s="1785"/>
      <c r="E52" s="35">
        <f t="shared" si="7"/>
        <v>0</v>
      </c>
      <c r="F52" s="36"/>
      <c r="G52" s="37">
        <f t="shared" si="8"/>
        <v>0</v>
      </c>
      <c r="H52" s="38">
        <f t="shared" si="9"/>
        <v>0</v>
      </c>
      <c r="I52" s="1781"/>
      <c r="J52" s="1781"/>
      <c r="K52" s="1781"/>
      <c r="L52" s="1781"/>
      <c r="M52" s="1781"/>
      <c r="N52" s="1781"/>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211"/>
      <c r="D53" s="1785"/>
      <c r="E53" s="35">
        <f t="shared" si="7"/>
        <v>0</v>
      </c>
      <c r="F53" s="36"/>
      <c r="G53" s="37">
        <f t="shared" si="8"/>
        <v>0</v>
      </c>
      <c r="H53" s="38">
        <f t="shared" si="9"/>
        <v>0</v>
      </c>
      <c r="I53" s="1781"/>
      <c r="J53" s="1781"/>
      <c r="K53" s="1781"/>
      <c r="L53" s="1781"/>
      <c r="M53" s="1781"/>
      <c r="N53" s="1781"/>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211"/>
      <c r="D54" s="1785"/>
      <c r="E54" s="35">
        <f t="shared" si="7"/>
        <v>0</v>
      </c>
      <c r="F54" s="36"/>
      <c r="G54" s="37">
        <f t="shared" si="8"/>
        <v>0</v>
      </c>
      <c r="H54" s="38">
        <f t="shared" si="9"/>
        <v>0</v>
      </c>
      <c r="I54" s="1781"/>
      <c r="J54" s="1781"/>
      <c r="K54" s="1781"/>
      <c r="L54" s="1781"/>
      <c r="M54" s="1781"/>
      <c r="N54" s="1781"/>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211"/>
      <c r="D55" s="1785"/>
      <c r="E55" s="35">
        <f t="shared" si="7"/>
        <v>0</v>
      </c>
      <c r="F55" s="36"/>
      <c r="G55" s="37">
        <f t="shared" si="8"/>
        <v>0</v>
      </c>
      <c r="H55" s="38">
        <f t="shared" si="9"/>
        <v>0</v>
      </c>
      <c r="I55" s="1781"/>
      <c r="J55" s="1781"/>
      <c r="K55" s="1781"/>
      <c r="L55" s="1781"/>
      <c r="M55" s="1781"/>
      <c r="N55" s="1781"/>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211"/>
      <c r="D56" s="1785"/>
      <c r="E56" s="35">
        <f t="shared" si="7"/>
        <v>0</v>
      </c>
      <c r="F56" s="36"/>
      <c r="G56" s="37">
        <f t="shared" si="8"/>
        <v>0</v>
      </c>
      <c r="H56" s="38">
        <f t="shared" si="9"/>
        <v>0</v>
      </c>
      <c r="I56" s="1781"/>
      <c r="J56" s="1781"/>
      <c r="K56" s="1781"/>
      <c r="L56" s="1781"/>
      <c r="M56" s="1781"/>
      <c r="N56" s="1781"/>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211"/>
      <c r="D57" s="1785"/>
      <c r="E57" s="35">
        <f t="shared" si="7"/>
        <v>0</v>
      </c>
      <c r="F57" s="36"/>
      <c r="G57" s="37">
        <f t="shared" si="8"/>
        <v>0</v>
      </c>
      <c r="H57" s="38">
        <f t="shared" si="9"/>
        <v>0</v>
      </c>
      <c r="I57" s="1781"/>
      <c r="J57" s="1781"/>
      <c r="K57" s="1781"/>
      <c r="L57" s="1781"/>
      <c r="M57" s="1781"/>
      <c r="N57" s="1781"/>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211"/>
      <c r="D58" s="1785"/>
      <c r="E58" s="35">
        <f t="shared" si="7"/>
        <v>0</v>
      </c>
      <c r="F58" s="36"/>
      <c r="G58" s="37">
        <f t="shared" si="8"/>
        <v>0</v>
      </c>
      <c r="H58" s="38">
        <f t="shared" si="9"/>
        <v>0</v>
      </c>
      <c r="I58" s="1781"/>
      <c r="J58" s="1781"/>
      <c r="K58" s="1781"/>
      <c r="L58" s="1781"/>
      <c r="M58" s="1781"/>
      <c r="N58" s="1781"/>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211"/>
      <c r="D59" s="1785"/>
      <c r="E59" s="35">
        <f t="shared" si="7"/>
        <v>0</v>
      </c>
      <c r="F59" s="36"/>
      <c r="G59" s="37">
        <f t="shared" si="8"/>
        <v>0</v>
      </c>
      <c r="H59" s="38">
        <f t="shared" si="9"/>
        <v>0</v>
      </c>
      <c r="I59" s="1781"/>
      <c r="J59" s="1781"/>
      <c r="K59" s="1781"/>
      <c r="L59" s="1781"/>
      <c r="M59" s="1781"/>
      <c r="N59" s="1781"/>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211"/>
      <c r="D60" s="1785"/>
      <c r="E60" s="35">
        <f t="shared" si="7"/>
        <v>0</v>
      </c>
      <c r="F60" s="36"/>
      <c r="G60" s="37">
        <f t="shared" si="8"/>
        <v>0</v>
      </c>
      <c r="H60" s="38">
        <f t="shared" si="9"/>
        <v>0</v>
      </c>
      <c r="I60" s="1781"/>
      <c r="J60" s="1781"/>
      <c r="K60" s="1781"/>
      <c r="L60" s="1781"/>
      <c r="M60" s="1781"/>
      <c r="N60" s="1781"/>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211"/>
      <c r="D61" s="1785"/>
      <c r="E61" s="35">
        <f t="shared" si="7"/>
        <v>0</v>
      </c>
      <c r="F61" s="36"/>
      <c r="G61" s="37">
        <f t="shared" si="8"/>
        <v>0</v>
      </c>
      <c r="H61" s="38">
        <f t="shared" si="9"/>
        <v>0</v>
      </c>
      <c r="I61" s="1781"/>
      <c r="J61" s="1781"/>
      <c r="K61" s="1781"/>
      <c r="L61" s="1781"/>
      <c r="M61" s="1781"/>
      <c r="N61" s="1781"/>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211"/>
      <c r="D62" s="1785"/>
      <c r="E62" s="35">
        <f t="shared" si="7"/>
        <v>0</v>
      </c>
      <c r="F62" s="36"/>
      <c r="G62" s="37">
        <f t="shared" si="8"/>
        <v>0</v>
      </c>
      <c r="H62" s="38">
        <f t="shared" si="9"/>
        <v>0</v>
      </c>
      <c r="I62" s="1781"/>
      <c r="J62" s="1781"/>
      <c r="K62" s="1781"/>
      <c r="L62" s="1781"/>
      <c r="M62" s="1781"/>
      <c r="N62" s="1781"/>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211"/>
      <c r="D63" s="1785"/>
      <c r="E63" s="35">
        <f t="shared" si="7"/>
        <v>0</v>
      </c>
      <c r="F63" s="36"/>
      <c r="G63" s="37">
        <f t="shared" si="8"/>
        <v>0</v>
      </c>
      <c r="H63" s="38">
        <f t="shared" si="9"/>
        <v>0</v>
      </c>
      <c r="I63" s="1781"/>
      <c r="J63" s="1781"/>
      <c r="K63" s="1781"/>
      <c r="L63" s="1781"/>
      <c r="M63" s="1781"/>
      <c r="N63" s="1781"/>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211"/>
      <c r="D64" s="1785"/>
      <c r="E64" s="35">
        <f t="shared" si="7"/>
        <v>0</v>
      </c>
      <c r="F64" s="36"/>
      <c r="G64" s="37">
        <f t="shared" si="8"/>
        <v>0</v>
      </c>
      <c r="H64" s="38">
        <f t="shared" si="9"/>
        <v>0</v>
      </c>
      <c r="I64" s="1781"/>
      <c r="J64" s="1781"/>
      <c r="K64" s="1781"/>
      <c r="L64" s="1781"/>
      <c r="M64" s="1781"/>
      <c r="N64" s="1781"/>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211"/>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211"/>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211"/>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211"/>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211"/>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211"/>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211"/>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211"/>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211"/>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211"/>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211"/>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211"/>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211"/>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211"/>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86" t="s">
        <v>0</v>
      </c>
      <c r="B1" s="3286" t="s">
        <v>4</v>
      </c>
      <c r="C1" s="3286" t="s">
        <v>5</v>
      </c>
      <c r="D1" s="3287" t="s">
        <v>53</v>
      </c>
      <c r="E1" s="3287" t="s">
        <v>54</v>
      </c>
      <c r="F1" s="3287"/>
      <c r="G1" s="3287"/>
      <c r="H1" s="3287"/>
      <c r="I1" s="3287"/>
      <c r="J1" s="3287"/>
      <c r="K1" s="3287"/>
      <c r="L1" s="3287"/>
      <c r="M1" s="3287"/>
    </row>
    <row r="2" spans="1:13" ht="27" customHeight="1">
      <c r="A2" s="3286"/>
      <c r="B2" s="3286"/>
      <c r="C2" s="3286"/>
      <c r="D2" s="3287"/>
      <c r="E2" s="3287" t="s">
        <v>37</v>
      </c>
      <c r="F2" s="3287" t="s">
        <v>38</v>
      </c>
      <c r="G2" s="3287"/>
      <c r="H2" s="3287"/>
      <c r="I2" s="3287"/>
      <c r="J2" s="3287" t="s">
        <v>39</v>
      </c>
      <c r="K2" s="3287"/>
      <c r="L2" s="3287"/>
      <c r="M2" s="3287"/>
    </row>
    <row r="3" spans="1:13" ht="28.5">
      <c r="A3" s="3286"/>
      <c r="B3" s="3286"/>
      <c r="C3" s="3286"/>
      <c r="D3" s="3287"/>
      <c r="E3" s="328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87" t="s">
        <v>55</v>
      </c>
      <c r="B9" s="3287"/>
      <c r="C9" s="328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G19" sqref="G19"/>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4"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1755</v>
      </c>
      <c r="B1" s="1273"/>
      <c r="C1" s="1273"/>
      <c r="D1" s="1273"/>
      <c r="E1" s="1273"/>
      <c r="F1" s="1273"/>
      <c r="G1" s="1273"/>
      <c r="H1" s="1273"/>
      <c r="I1" s="1273"/>
      <c r="J1" s="1273"/>
      <c r="K1" s="1273"/>
      <c r="L1" s="1273"/>
      <c r="M1" s="1273"/>
      <c r="N1" s="1273"/>
      <c r="O1" s="1273"/>
      <c r="P1" s="1273"/>
    </row>
    <row r="2" spans="1:16" ht="15">
      <c r="A2" s="3297" t="s">
        <v>1756</v>
      </c>
      <c r="B2" s="3297"/>
      <c r="C2" s="3297"/>
      <c r="D2" s="904" t="s">
        <v>1732</v>
      </c>
      <c r="E2" s="1794" t="s">
        <v>1733</v>
      </c>
      <c r="F2" s="2854"/>
      <c r="G2" s="2845"/>
      <c r="H2" s="2846"/>
      <c r="I2" s="2518" t="s">
        <v>1757</v>
      </c>
      <c r="J2" s="2854"/>
      <c r="K2" s="2854"/>
      <c r="L2" s="2854"/>
      <c r="M2" s="2854"/>
      <c r="N2" s="2856"/>
      <c r="O2" s="2854"/>
      <c r="P2" s="2854"/>
    </row>
    <row r="3" spans="1:16" ht="15.75" thickBot="1">
      <c r="A3" s="3298" t="s">
        <v>1730</v>
      </c>
      <c r="B3" s="3298"/>
      <c r="C3" s="3298"/>
      <c r="D3" s="46">
        <f>'数据-基础表'!AY6</f>
        <v>1741.52</v>
      </c>
      <c r="E3" s="46">
        <f>'数据-基础表'!AZ5</f>
        <v>11340.73</v>
      </c>
      <c r="F3" s="2854"/>
      <c r="G3" s="1279"/>
      <c r="H3" s="1157" t="s">
        <v>1731</v>
      </c>
      <c r="I3" s="964">
        <f>ROUND('数据-基础表'!B3/'数据-基础表'!A3,2)</f>
        <v>6.51</v>
      </c>
      <c r="J3" s="2854"/>
      <c r="K3" s="2854"/>
      <c r="L3" s="2854"/>
      <c r="M3" s="2854"/>
      <c r="N3" s="2856"/>
      <c r="O3" s="2854"/>
      <c r="P3" s="2854"/>
    </row>
    <row r="4" spans="1:16" ht="15">
      <c r="A4" s="3299"/>
      <c r="B4" s="3300"/>
      <c r="C4" s="3301"/>
      <c r="D4" s="1796" t="s">
        <v>1732</v>
      </c>
      <c r="E4" s="1797" t="s">
        <v>1733</v>
      </c>
      <c r="F4" s="2854"/>
      <c r="G4" s="2847" t="s">
        <v>1758</v>
      </c>
      <c r="H4" s="1157" t="s">
        <v>1738</v>
      </c>
      <c r="I4" s="964">
        <f>ROUND(SUMIF('数据-基础表'!I9:AS9,"地上",'数据-基础表'!I5:AS5)/'数据-基础表'!A3,2)</f>
        <v>3.77</v>
      </c>
      <c r="J4" s="2854"/>
      <c r="K4" s="2854"/>
      <c r="L4" s="2854"/>
      <c r="M4" s="2854"/>
      <c r="N4" s="2856"/>
      <c r="O4" s="2854"/>
      <c r="P4" s="2854"/>
    </row>
    <row r="5" spans="1:16">
      <c r="A5" s="47" t="s">
        <v>1734</v>
      </c>
      <c r="B5" s="3302" t="s">
        <v>1735</v>
      </c>
      <c r="C5" s="3302"/>
      <c r="D5" s="48">
        <f>ROUND($D$3*E5/$E$3,2)</f>
        <v>0</v>
      </c>
      <c r="E5" s="49">
        <f>SUMIF('数据-基础表'!$11:$11,"住宅",'数据-基础表'!$5:$5)</f>
        <v>0</v>
      </c>
      <c r="F5" s="2854"/>
      <c r="G5" s="1279"/>
      <c r="H5" s="1157" t="s">
        <v>1731</v>
      </c>
      <c r="I5" s="964">
        <f>ROUND(E31/D31,2)</f>
        <v>6.51</v>
      </c>
      <c r="J5" s="2854"/>
      <c r="K5" s="2854"/>
      <c r="L5" s="2854"/>
      <c r="M5" s="2854"/>
      <c r="N5" s="2854"/>
      <c r="O5" s="2854"/>
      <c r="P5" s="2854"/>
    </row>
    <row r="6" spans="1:16" ht="15" thickBot="1">
      <c r="A6" s="1799"/>
      <c r="B6" s="3302" t="s">
        <v>1736</v>
      </c>
      <c r="C6" s="3302"/>
      <c r="D6" s="48">
        <f>ROUND($D$3*E6/$E$3,2)</f>
        <v>1741.52</v>
      </c>
      <c r="E6" s="49">
        <f>E3-E5</f>
        <v>11340.73</v>
      </c>
      <c r="F6" s="2854"/>
      <c r="G6" s="2848" t="s">
        <v>1737</v>
      </c>
      <c r="H6" s="1280" t="s">
        <v>1738</v>
      </c>
      <c r="I6" s="2849">
        <f>ROUND(F31/D31,2)</f>
        <v>4.88</v>
      </c>
      <c r="J6" s="2854"/>
      <c r="K6" s="2854"/>
      <c r="L6" s="2854"/>
      <c r="M6" s="2854"/>
      <c r="N6" s="2854"/>
      <c r="O6" s="2854"/>
      <c r="P6" s="2854"/>
    </row>
    <row r="7" spans="1:16" ht="15.75" thickBot="1">
      <c r="A7" s="3294"/>
      <c r="B7" s="3295"/>
      <c r="C7" s="3296"/>
      <c r="D7" s="1796" t="s">
        <v>1732</v>
      </c>
      <c r="E7" s="1800" t="s">
        <v>1739</v>
      </c>
      <c r="F7" s="2854"/>
      <c r="G7" s="2850" t="s">
        <v>1740</v>
      </c>
      <c r="H7" s="2851"/>
      <c r="I7" s="2852">
        <f>I4</f>
        <v>3.77</v>
      </c>
      <c r="J7" s="2854"/>
      <c r="K7" s="2854"/>
      <c r="L7" s="2854"/>
      <c r="M7" s="2854"/>
      <c r="N7" s="2854"/>
      <c r="O7" s="2854"/>
      <c r="P7" s="2854"/>
    </row>
    <row r="8" spans="1:16">
      <c r="A8" s="47" t="s">
        <v>1741</v>
      </c>
      <c r="B8" s="50" t="s">
        <v>1742</v>
      </c>
      <c r="C8" s="48" t="s">
        <v>1743</v>
      </c>
      <c r="D8" s="48">
        <f t="shared" ref="D8:D15" si="0">ROUND($D$3*E8/$E$3,2)</f>
        <v>1304.48</v>
      </c>
      <c r="E8" s="51">
        <f>SUMIF('数据-基础表'!BB10:BK10,"地上",'数据-基础表'!BB5:BK5)</f>
        <v>8494.75</v>
      </c>
      <c r="F8" s="2854"/>
      <c r="G8" s="2855"/>
      <c r="H8" s="2855"/>
      <c r="I8" s="2854"/>
      <c r="J8" s="2854"/>
      <c r="K8" s="2854"/>
      <c r="L8" s="2854"/>
      <c r="M8" s="2854"/>
      <c r="N8" s="2854"/>
      <c r="O8" s="2854"/>
      <c r="P8" s="2854"/>
    </row>
    <row r="9" spans="1:16">
      <c r="A9" s="1801"/>
      <c r="B9" s="1802"/>
      <c r="C9" s="48" t="s">
        <v>1744</v>
      </c>
      <c r="D9" s="48">
        <f t="shared" si="0"/>
        <v>0</v>
      </c>
      <c r="E9" s="52">
        <v>0</v>
      </c>
      <c r="F9" s="2854"/>
      <c r="G9" s="2855"/>
      <c r="H9" s="2855"/>
      <c r="I9" s="2854"/>
      <c r="J9" s="2854"/>
      <c r="K9" s="2854"/>
      <c r="L9" s="2854"/>
      <c r="M9" s="2854"/>
      <c r="N9" s="2854"/>
      <c r="O9" s="2854"/>
      <c r="P9" s="2854"/>
    </row>
    <row r="10" spans="1:16">
      <c r="A10" s="1801"/>
      <c r="B10" s="1802"/>
      <c r="C10" s="48" t="s">
        <v>1753</v>
      </c>
      <c r="D10" s="48">
        <f t="shared" si="0"/>
        <v>437.04</v>
      </c>
      <c r="E10" s="51">
        <f>SUMPRODUCT(('数据-基础表'!BB10:BK10="地下")*('数据-基础表'!BB11:BK11="商业")*('数据-基础表'!BB5:BK5))</f>
        <v>2845.98</v>
      </c>
      <c r="F10" s="2854"/>
      <c r="G10" s="2855"/>
      <c r="H10" s="2855"/>
      <c r="I10" s="2854"/>
      <c r="J10" s="2854"/>
      <c r="K10" s="2854"/>
      <c r="L10" s="2854"/>
      <c r="M10" s="2854"/>
      <c r="N10" s="2854"/>
      <c r="O10" s="2854"/>
      <c r="P10" s="2854"/>
    </row>
    <row r="11" spans="1:16">
      <c r="A11" s="1801"/>
      <c r="B11" s="1802"/>
      <c r="C11" s="48" t="s">
        <v>1745</v>
      </c>
      <c r="D11" s="48">
        <f t="shared" si="0"/>
        <v>0</v>
      </c>
      <c r="E11" s="51">
        <f>SUMPRODUCT(('数据-基础表'!BB10:BK10="地下")*('数据-基础表'!BB11:BK11="办公")*('数据-基础表'!BB5:BK5))+'数据-基础表'!BP5</f>
        <v>0</v>
      </c>
      <c r="F11" s="2854"/>
      <c r="G11" s="2855"/>
      <c r="H11" s="2855"/>
      <c r="I11" s="2854"/>
      <c r="J11" s="2854"/>
      <c r="K11" s="2854"/>
      <c r="L11" s="2854"/>
      <c r="M11" s="2854"/>
      <c r="N11" s="2854"/>
      <c r="O11" s="2854"/>
      <c r="P11" s="2854"/>
    </row>
    <row r="12" spans="1:16">
      <c r="A12" s="1801"/>
      <c r="B12" s="1802"/>
      <c r="C12" s="48" t="s">
        <v>1746</v>
      </c>
      <c r="D12" s="48">
        <f t="shared" si="0"/>
        <v>0</v>
      </c>
      <c r="E12" s="51">
        <f>SUMPRODUCT(('数据-基础表'!BB10:BK10="地下")*('数据-基础表'!BB11:BK11="仓储")*('数据-基础表'!BB5:BK5))</f>
        <v>0</v>
      </c>
      <c r="F12" s="2854"/>
      <c r="G12" s="2855"/>
      <c r="H12" s="2855"/>
      <c r="I12" s="2854"/>
      <c r="J12" s="2854"/>
      <c r="K12" s="2854"/>
      <c r="L12" s="2854"/>
      <c r="M12" s="2854"/>
      <c r="N12" s="2854"/>
      <c r="O12" s="2854"/>
      <c r="P12" s="2854"/>
    </row>
    <row r="13" spans="1:16">
      <c r="A13" s="1801"/>
      <c r="B13" s="1802"/>
      <c r="C13" s="48" t="s">
        <v>1747</v>
      </c>
      <c r="D13" s="48">
        <f t="shared" si="0"/>
        <v>0</v>
      </c>
      <c r="E13" s="51">
        <f>SUMPRODUCT(('数据-基础表'!BB10:BK10="地下")*('数据-基础表'!BB11:BK11="车库")*('数据-基础表'!BB5:BK5))</f>
        <v>0</v>
      </c>
      <c r="F13" s="2854"/>
      <c r="G13" s="2855"/>
      <c r="H13" s="2855"/>
      <c r="I13" s="2854"/>
      <c r="J13" s="2854"/>
      <c r="K13" s="2854"/>
      <c r="L13" s="2854"/>
      <c r="M13" s="2854"/>
      <c r="N13" s="2854"/>
      <c r="O13" s="2854"/>
      <c r="P13" s="2854"/>
    </row>
    <row r="14" spans="1:16">
      <c r="A14" s="1801"/>
      <c r="B14" s="1802"/>
      <c r="C14" s="48" t="s">
        <v>1759</v>
      </c>
      <c r="D14" s="48">
        <f t="shared" si="0"/>
        <v>0</v>
      </c>
      <c r="E14" s="51">
        <f>SUMPRODUCT(('数据-基础表'!BB10:BK10="地下")*('数据-基础表'!BB11:BK11="车库—商业")*('数据-基础表'!BB5:BK5))</f>
        <v>0</v>
      </c>
      <c r="F14" s="2854"/>
      <c r="G14" s="2855"/>
      <c r="H14" s="2855"/>
      <c r="I14" s="2854"/>
      <c r="J14" s="2854"/>
      <c r="K14" s="2854"/>
      <c r="L14" s="2854"/>
      <c r="M14" s="2854"/>
      <c r="N14" s="2854"/>
      <c r="O14" s="2854"/>
      <c r="P14" s="2854"/>
    </row>
    <row r="15" spans="1:16" ht="15" thickBot="1">
      <c r="A15" s="1801"/>
      <c r="B15" s="1802"/>
      <c r="C15" s="48" t="s">
        <v>1754</v>
      </c>
      <c r="D15" s="48">
        <f t="shared" si="0"/>
        <v>0</v>
      </c>
      <c r="E15" s="51">
        <f>SUMPRODUCT(('数据-基础表'!BB10:BK10="地下")*('数据-基础表'!BB11:BK11="车库—办公")*('数据-基础表'!BB5:BK5))</f>
        <v>0</v>
      </c>
      <c r="F15" s="2854"/>
      <c r="G15" s="2855"/>
      <c r="H15" s="2855"/>
      <c r="I15" s="2854"/>
      <c r="J15" s="2854"/>
      <c r="K15" s="2854"/>
      <c r="L15" s="2854"/>
      <c r="M15" s="2854"/>
      <c r="N15" s="2854"/>
      <c r="O15" s="2854"/>
      <c r="P15" s="2854"/>
    </row>
    <row r="16" spans="1:16" ht="15.75" thickBot="1">
      <c r="A16" s="1799"/>
      <c r="B16" s="1802"/>
      <c r="C16" s="50" t="s">
        <v>1748</v>
      </c>
      <c r="D16" s="50">
        <f>SUM(D8:D15)</f>
        <v>1741.52</v>
      </c>
      <c r="E16" s="53">
        <f>SUM(E8:E15)</f>
        <v>11340.73</v>
      </c>
      <c r="F16" s="2854"/>
      <c r="G16" s="2855"/>
      <c r="H16" s="1803" t="s">
        <v>1760</v>
      </c>
      <c r="I16" s="1804"/>
      <c r="J16" s="1273"/>
      <c r="K16" s="3291" t="s">
        <v>1760</v>
      </c>
      <c r="L16" s="3292"/>
      <c r="M16" s="3292"/>
      <c r="N16" s="3292"/>
      <c r="O16" s="3292"/>
      <c r="P16" s="3293"/>
    </row>
    <row r="17" spans="1:19" ht="15">
      <c r="A17" s="1805" t="s">
        <v>1761</v>
      </c>
      <c r="B17" s="1806" t="s">
        <v>1762</v>
      </c>
      <c r="C17" s="1807" t="s">
        <v>1763</v>
      </c>
      <c r="D17" s="1808" t="s">
        <v>1751</v>
      </c>
      <c r="E17" s="1809" t="s">
        <v>1752</v>
      </c>
      <c r="F17" s="1810"/>
      <c r="G17" s="1811"/>
      <c r="H17" s="1812" t="s">
        <v>1764</v>
      </c>
      <c r="I17" s="1813" t="s">
        <v>1749</v>
      </c>
      <c r="J17" s="1273"/>
      <c r="K17" s="3288" t="s">
        <v>1765</v>
      </c>
      <c r="L17" s="3289"/>
      <c r="M17" s="3290"/>
      <c r="N17" s="3288" t="s">
        <v>1766</v>
      </c>
      <c r="O17" s="3289"/>
      <c r="P17" s="3290"/>
      <c r="R17" s="1795" t="s">
        <v>1767</v>
      </c>
      <c r="S17" s="60"/>
    </row>
    <row r="18" spans="1:19" ht="15">
      <c r="A18" s="1801"/>
      <c r="B18" s="1814"/>
      <c r="C18" s="1815"/>
      <c r="D18" s="1816"/>
      <c r="E18" s="1817" t="s">
        <v>1768</v>
      </c>
      <c r="F18" s="1818" t="s">
        <v>1769</v>
      </c>
      <c r="G18" s="1819" t="s">
        <v>1770</v>
      </c>
      <c r="H18" s="1172" t="s">
        <v>1771</v>
      </c>
      <c r="I18" s="1820" t="s">
        <v>1772</v>
      </c>
      <c r="J18" s="1273"/>
      <c r="K18" s="1172" t="s">
        <v>1773</v>
      </c>
      <c r="L18" s="1821" t="s">
        <v>1774</v>
      </c>
      <c r="M18" s="964" t="s">
        <v>1775</v>
      </c>
      <c r="N18" s="1172" t="s">
        <v>1773</v>
      </c>
      <c r="O18" s="1821" t="s">
        <v>1774</v>
      </c>
      <c r="P18" s="964" t="s">
        <v>1775</v>
      </c>
      <c r="R18" s="1157" t="s">
        <v>1776</v>
      </c>
      <c r="S18" s="1157" t="s">
        <v>1777</v>
      </c>
    </row>
    <row r="19" spans="1:19">
      <c r="A19" s="1822"/>
      <c r="B19" s="50" t="s">
        <v>1750</v>
      </c>
      <c r="C19" s="3207" t="s">
        <v>3162</v>
      </c>
      <c r="D19" s="48">
        <f>ROUND($D$3*E19/$E$3,2)</f>
        <v>1741.52</v>
      </c>
      <c r="E19" s="56">
        <f t="shared" ref="E19:E26" si="1">SUM(F19:G19)</f>
        <v>11340.73</v>
      </c>
      <c r="F19" s="2994">
        <f>'数据-基础表'!I14+'数据-基础表'!I15+'数据-基础表'!I16+'数据-基础表'!I17+'数据-基础表'!I18</f>
        <v>8494.75</v>
      </c>
      <c r="G19" s="2995">
        <f>'数据-基础表'!K13</f>
        <v>2845.98</v>
      </c>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1741.52</v>
      </c>
      <c r="S19" s="1158">
        <f t="shared" si="5"/>
        <v>11340.73</v>
      </c>
    </row>
    <row r="20" spans="1:19">
      <c r="A20" s="1826"/>
      <c r="B20" s="50" t="s">
        <v>1778</v>
      </c>
      <c r="C20" s="1823"/>
      <c r="D20" s="48">
        <f t="shared" ref="D20:D26" si="6">ROUND($D$3*E20/$E$3,2)</f>
        <v>0</v>
      </c>
      <c r="E20" s="56">
        <f t="shared" si="1"/>
        <v>0</v>
      </c>
      <c r="F20" s="2994"/>
      <c r="G20" s="2995"/>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1778</v>
      </c>
      <c r="C21" s="1823"/>
      <c r="D21" s="48">
        <f t="shared" si="6"/>
        <v>0</v>
      </c>
      <c r="E21" s="56">
        <f t="shared" si="1"/>
        <v>0</v>
      </c>
      <c r="F21" s="2994"/>
      <c r="G21" s="2995"/>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1778</v>
      </c>
      <c r="C22" s="58"/>
      <c r="D22" s="48">
        <f t="shared" si="6"/>
        <v>0</v>
      </c>
      <c r="E22" s="56">
        <f t="shared" si="1"/>
        <v>0</v>
      </c>
      <c r="F22" s="2996"/>
      <c r="G22" s="2997"/>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1778</v>
      </c>
      <c r="C23" s="58"/>
      <c r="D23" s="48">
        <f>ROUND($D$3*E23/$E$3,2)</f>
        <v>0</v>
      </c>
      <c r="E23" s="56">
        <f>SUM(F23:G23)</f>
        <v>0</v>
      </c>
      <c r="F23" s="2996"/>
      <c r="G23" s="2997"/>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1778</v>
      </c>
      <c r="C24" s="58"/>
      <c r="D24" s="48">
        <f>ROUND($D$3*E24/$E$3,2)</f>
        <v>0</v>
      </c>
      <c r="E24" s="56">
        <f>SUM(F24:G24)</f>
        <v>0</v>
      </c>
      <c r="F24" s="2996"/>
      <c r="G24" s="2997"/>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1778</v>
      </c>
      <c r="C25" s="58"/>
      <c r="D25" s="48">
        <f t="shared" si="6"/>
        <v>0</v>
      </c>
      <c r="E25" s="56">
        <f t="shared" si="1"/>
        <v>0</v>
      </c>
      <c r="F25" s="2996"/>
      <c r="G25" s="2997"/>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1778</v>
      </c>
      <c r="C26" s="59"/>
      <c r="D26" s="48">
        <f t="shared" si="6"/>
        <v>0</v>
      </c>
      <c r="E26" s="56">
        <f t="shared" si="1"/>
        <v>0</v>
      </c>
      <c r="F26" s="2996"/>
      <c r="G26" s="2997"/>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1779</v>
      </c>
      <c r="D27" s="1274">
        <f>SUM(D19:D26)</f>
        <v>1741.52</v>
      </c>
      <c r="E27" s="1275">
        <f>IF(SUM(E19:E26)='数据-基础表'!BA5,SUM(E19:E26),IF(F27="地上面积有误","面积有误","地下面积有误"))</f>
        <v>11340.73</v>
      </c>
      <c r="F27" s="1274">
        <f>IF(SUM(F19:F26)=E8,SUM(F19:F26),"地上面积有误")</f>
        <v>8494.75</v>
      </c>
      <c r="G27" s="1276">
        <f>SUM(G19:G26)</f>
        <v>2845.98</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1741.52</v>
      </c>
      <c r="S27" s="1157">
        <f>IF(SUM(S19:S26)=$E$3,SUM(S19:S26),SUM(S19:S26)&amp;"误差"&amp;ROUND(SUM(S19:S26)-E3,2))</f>
        <v>11340.73</v>
      </c>
    </row>
    <row r="28" spans="1:19">
      <c r="A28" s="1826"/>
      <c r="B28" s="50" t="s">
        <v>1780</v>
      </c>
      <c r="C28" s="1169" t="s">
        <v>1781</v>
      </c>
      <c r="D28" s="48">
        <f>ROUND($D$3*E28/$E$3,2)</f>
        <v>0</v>
      </c>
      <c r="E28" s="56">
        <f>SUM(F28:G28)</f>
        <v>0</v>
      </c>
      <c r="F28" s="60">
        <f>'数据-基础表'!BQ5+'数据-基础表'!BS5</f>
        <v>0</v>
      </c>
      <c r="G28" s="61">
        <f>'数据-基础表'!BR5+'数据-基础表'!BT5</f>
        <v>0</v>
      </c>
      <c r="H28" s="2854"/>
      <c r="I28" s="2854"/>
      <c r="J28" s="2854"/>
      <c r="K28" s="2854"/>
      <c r="L28" s="2854"/>
      <c r="M28" s="2854"/>
      <c r="N28" s="2854"/>
      <c r="O28" s="2854"/>
      <c r="P28" s="2854"/>
    </row>
    <row r="29" spans="1:19">
      <c r="A29" s="1826"/>
      <c r="B29" s="50" t="s">
        <v>1780</v>
      </c>
      <c r="C29" s="1830" t="s">
        <v>1782</v>
      </c>
      <c r="D29" s="48">
        <f>ROUND($D$3*E29/$E$3,2)</f>
        <v>0</v>
      </c>
      <c r="E29" s="56">
        <f>SUM(F29:G29)</f>
        <v>0</v>
      </c>
      <c r="F29" s="62">
        <f>'数据-基础表'!BM5+'数据-基础表'!BO5</f>
        <v>0</v>
      </c>
      <c r="G29" s="63">
        <f>'数据-基础表'!BN5+'数据-基础表'!BP5</f>
        <v>0</v>
      </c>
      <c r="H29" s="2854"/>
      <c r="I29" s="2854"/>
      <c r="J29" s="2854"/>
      <c r="K29" s="2854"/>
      <c r="L29" s="2854"/>
      <c r="M29" s="2854"/>
      <c r="N29" s="2854"/>
      <c r="O29" s="2854"/>
      <c r="P29" s="2854"/>
    </row>
    <row r="30" spans="1:19" ht="15">
      <c r="A30" s="1826"/>
      <c r="B30" s="50"/>
      <c r="C30" s="1831" t="s">
        <v>1779</v>
      </c>
      <c r="D30" s="1274">
        <f>SUM(D28:D29)</f>
        <v>0</v>
      </c>
      <c r="E30" s="1274">
        <f>SUM(E28:E29)</f>
        <v>0</v>
      </c>
      <c r="F30" s="1274">
        <f>SUM(F28:F29)</f>
        <v>0</v>
      </c>
      <c r="G30" s="1276">
        <f>SUM(G28:G29)</f>
        <v>0</v>
      </c>
      <c r="H30" s="2854"/>
      <c r="I30" s="2854"/>
      <c r="J30" s="2854"/>
      <c r="K30" s="2854"/>
      <c r="L30" s="2854"/>
      <c r="M30" s="2854"/>
      <c r="N30" s="2854"/>
      <c r="O30" s="2854"/>
      <c r="P30" s="2854"/>
    </row>
    <row r="31" spans="1:19" ht="15.75" thickBot="1">
      <c r="A31" s="1832"/>
      <c r="B31" s="1833"/>
      <c r="C31" s="944" t="s">
        <v>1783</v>
      </c>
      <c r="D31" s="685">
        <f>D27+D30</f>
        <v>1741.52</v>
      </c>
      <c r="E31" s="685">
        <f>E27+E30</f>
        <v>11340.73</v>
      </c>
      <c r="F31" s="686">
        <f>F27+F30</f>
        <v>8494.75</v>
      </c>
      <c r="G31" s="687">
        <f>G27+G30</f>
        <v>2845.98</v>
      </c>
      <c r="H31" s="2854"/>
      <c r="I31" s="2854"/>
      <c r="J31" s="2854"/>
      <c r="K31" s="2854"/>
      <c r="L31" s="2854"/>
      <c r="M31" s="2854"/>
      <c r="N31" s="2854"/>
      <c r="O31" s="2854"/>
      <c r="P31" s="2854"/>
    </row>
    <row r="32" spans="1:19">
      <c r="A32" s="1798"/>
      <c r="B32" s="1798" t="s">
        <v>1784</v>
      </c>
      <c r="C32" s="1798"/>
      <c r="D32" s="1798"/>
      <c r="E32" s="1184">
        <f>SUMIF(C19:C26,"*住宅*",E19:E26)</f>
        <v>0</v>
      </c>
      <c r="F32" s="1798"/>
      <c r="G32" s="1798"/>
      <c r="H32" s="2854"/>
      <c r="I32" s="2854"/>
      <c r="J32" s="2854"/>
      <c r="K32" s="2854"/>
      <c r="L32" s="2854"/>
      <c r="M32" s="2854"/>
      <c r="N32" s="2854"/>
      <c r="O32" s="2854"/>
      <c r="P32" s="2854"/>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M6" activePane="bottomRight" state="frozen"/>
      <selection activeCell="C50" sqref="C50"/>
      <selection pane="topRight" activeCell="C50" sqref="C50"/>
      <selection pane="bottomLeft" activeCell="C50" sqref="C50"/>
      <selection pane="bottomRight" activeCell="U23" sqref="U23"/>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1785</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68"/>
      <c r="AO1" s="2868"/>
      <c r="AP1" s="2868"/>
      <c r="AQ1" s="2868"/>
      <c r="AR1" s="2868"/>
    </row>
    <row r="2" spans="1:67" s="1714" customFormat="1" ht="15.75" thickBot="1">
      <c r="A2" s="1839" t="s">
        <v>1786</v>
      </c>
      <c r="B2" s="1176">
        <f>项目基本情况!D3</f>
        <v>44641</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0"/>
      <c r="AO2" s="2870"/>
      <c r="AP2" s="2870"/>
      <c r="AQ2" s="2870"/>
      <c r="AR2" s="2870"/>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0"/>
      <c r="AO3" s="2870"/>
      <c r="AP3" s="2870"/>
      <c r="AQ3" s="2870"/>
      <c r="AR3" s="2870"/>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1787</v>
      </c>
      <c r="B4" s="1844"/>
      <c r="C4" s="1845"/>
      <c r="D4" s="1846"/>
      <c r="E4" s="1845" t="s">
        <v>1788</v>
      </c>
      <c r="F4" s="1845"/>
      <c r="G4" s="1845"/>
      <c r="H4" s="1845"/>
      <c r="I4" s="1845"/>
      <c r="J4" s="1847"/>
      <c r="K4" s="1848"/>
      <c r="L4" s="1849"/>
      <c r="M4" s="1845"/>
      <c r="N4" s="1845" t="s">
        <v>1789</v>
      </c>
      <c r="O4" s="1845"/>
      <c r="P4" s="1845"/>
      <c r="Q4" s="1845"/>
      <c r="R4" s="1845"/>
      <c r="S4" s="1847"/>
      <c r="T4" s="2853" t="str">
        <f>'数据-汇总表'!I17</f>
        <v>按面积比例</v>
      </c>
      <c r="U4" s="1844" t="s">
        <v>1790</v>
      </c>
      <c r="V4" s="1845"/>
      <c r="W4" s="1845"/>
      <c r="X4" s="1845"/>
      <c r="Y4" s="1847"/>
      <c r="Z4" s="1807" t="s">
        <v>1791</v>
      </c>
      <c r="AA4" s="1807"/>
      <c r="AB4" s="1807"/>
      <c r="AC4" s="1807"/>
      <c r="AD4" s="1807"/>
      <c r="AE4" s="1805" t="s">
        <v>1792</v>
      </c>
      <c r="AF4" s="1807"/>
      <c r="AG4" s="1850"/>
      <c r="AH4" s="1844"/>
      <c r="AI4" s="1845"/>
      <c r="AJ4" s="1845"/>
      <c r="AK4" s="1845"/>
      <c r="AL4" s="1845"/>
      <c r="AM4" s="1847"/>
      <c r="AN4" s="2870"/>
      <c r="AO4" s="2870"/>
      <c r="AP4" s="2870"/>
      <c r="AQ4" s="2870"/>
      <c r="AR4" s="2870"/>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1793</v>
      </c>
      <c r="B5" s="1852" t="s">
        <v>1794</v>
      </c>
      <c r="C5" s="1853" t="s">
        <v>1795</v>
      </c>
      <c r="D5" s="1854" t="s">
        <v>1796</v>
      </c>
      <c r="E5" s="1178" t="s">
        <v>1797</v>
      </c>
      <c r="F5" s="1855" t="s">
        <v>1798</v>
      </c>
      <c r="G5" s="1178" t="s">
        <v>1799</v>
      </c>
      <c r="H5" s="1178" t="s">
        <v>1800</v>
      </c>
      <c r="I5" s="1178" t="s">
        <v>1801</v>
      </c>
      <c r="J5" s="1856" t="s">
        <v>1802</v>
      </c>
      <c r="K5" s="1857" t="s">
        <v>1803</v>
      </c>
      <c r="L5" s="1858" t="s">
        <v>1804</v>
      </c>
      <c r="M5" s="1859" t="s">
        <v>1805</v>
      </c>
      <c r="N5" s="1860" t="s">
        <v>3163</v>
      </c>
      <c r="O5" s="1858" t="s">
        <v>1806</v>
      </c>
      <c r="P5" s="1861" t="s">
        <v>1807</v>
      </c>
      <c r="Q5" s="65" t="s">
        <v>1808</v>
      </c>
      <c r="R5" s="1862" t="s">
        <v>1809</v>
      </c>
      <c r="S5" s="1863" t="s">
        <v>1810</v>
      </c>
      <c r="T5" s="1864" t="s">
        <v>1811</v>
      </c>
      <c r="U5" s="1177" t="s">
        <v>1812</v>
      </c>
      <c r="V5" s="1178" t="s">
        <v>1813</v>
      </c>
      <c r="W5" s="1178" t="s">
        <v>1814</v>
      </c>
      <c r="X5" s="67"/>
      <c r="Y5" s="66" t="s">
        <v>1815</v>
      </c>
      <c r="Z5" s="1865" t="s">
        <v>1812</v>
      </c>
      <c r="AA5" s="1178" t="s">
        <v>1813</v>
      </c>
      <c r="AB5" s="1178" t="s">
        <v>1814</v>
      </c>
      <c r="AC5" s="67"/>
      <c r="AD5" s="67" t="s">
        <v>1815</v>
      </c>
      <c r="AE5" s="1177" t="s">
        <v>1816</v>
      </c>
      <c r="AF5" s="1178" t="s">
        <v>1817</v>
      </c>
      <c r="AG5" s="66" t="s">
        <v>1818</v>
      </c>
      <c r="AH5" s="1177" t="s">
        <v>1819</v>
      </c>
      <c r="AI5" s="1865" t="s">
        <v>1820</v>
      </c>
      <c r="AJ5" s="1865" t="s">
        <v>1821</v>
      </c>
      <c r="AK5" s="1178" t="s">
        <v>1822</v>
      </c>
      <c r="AL5" s="1178" t="s">
        <v>1823</v>
      </c>
      <c r="AM5" s="66" t="s">
        <v>1824</v>
      </c>
      <c r="AN5" s="1866" t="s">
        <v>1825</v>
      </c>
      <c r="AO5" s="1717" t="s">
        <v>1826</v>
      </c>
      <c r="AP5" s="1159" t="s">
        <v>1827</v>
      </c>
      <c r="AQ5" s="1867" t="s">
        <v>1828</v>
      </c>
      <c r="AR5" s="1867" t="s">
        <v>1829</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商业</v>
      </c>
      <c r="B6" s="1869" t="str">
        <f>IF(A6=0,"","经营性")</f>
        <v>经营性</v>
      </c>
      <c r="C6" s="1870" t="s">
        <v>1283</v>
      </c>
      <c r="D6" s="967">
        <f>SUMIF(项目基本情况!D$12:I$12,C6,项目基本情况!D$14:I$14)</f>
        <v>40</v>
      </c>
      <c r="E6" s="966">
        <f>IF(B6="","",SUMIF(项目基本情况!D$12:I$12,C6,项目基本情况!D$13:I$13))</f>
        <v>53660</v>
      </c>
      <c r="F6" s="68">
        <f>SUMIF(项目基本情况!D$12:I$12,C6,项目基本情况!D$15:I$15)</f>
        <v>24.7</v>
      </c>
      <c r="G6" s="69">
        <f>IF(ISERROR(ROUND(POWER(1+H6,D6-F6)*(POWER(1+H6,F6)-1)/(POWER(1+H6,D6)-1),3)),0,ROUND(POWER(1+H6,D6-F6)*(POWER(1+H6,F6)-1)/(POWER(1+H6,D6)-1),3))</f>
        <v>0.81599999999999995</v>
      </c>
      <c r="H6" s="741">
        <v>0.05</v>
      </c>
      <c r="I6" s="741">
        <v>5.5E-2</v>
      </c>
      <c r="J6" s="70">
        <v>0.08</v>
      </c>
      <c r="K6" s="1161">
        <f>SUMIF('数据-汇总表'!C$19:C$33,A6,'数据-汇总表'!E$19:E$33)</f>
        <v>11340.73</v>
      </c>
      <c r="L6" s="742">
        <v>4000</v>
      </c>
      <c r="M6" s="71">
        <f t="shared" ref="M6:M14" si="0">ROUND(K6*L6/10000,0)</f>
        <v>4536</v>
      </c>
      <c r="N6" s="740">
        <f>N22</f>
        <v>0.81699999999999995</v>
      </c>
      <c r="O6" s="71" t="str">
        <f>IF($N$5="成新度","——",ROUND(M6*N6,0))</f>
        <v>——</v>
      </c>
      <c r="P6" s="72" t="str">
        <f>IF($N$5="成新度","——",M6-O6)</f>
        <v>——</v>
      </c>
      <c r="Q6" s="743">
        <v>0.2</v>
      </c>
      <c r="R6" s="73">
        <f ca="1">SUMIF('数据-汇总表'!C$19:C$33,A6,'数据-汇总表'!R$19:R$27)</f>
        <v>1741.52</v>
      </c>
      <c r="S6" s="54">
        <f>IF('数据-汇总表'!$I$17="按面积比例",SUMIF('数据-汇总表'!C$19:C$33,A6,'数据-汇总表'!K$19:K$33),SUMIF('数据-汇总表'!C$19:C$33,A6,'数据-汇总表'!N$19:N$33))</f>
        <v>0</v>
      </c>
      <c r="T6" s="1306">
        <f>ROUND($L$14*S6/10000,0)</f>
        <v>0</v>
      </c>
      <c r="U6" s="74">
        <v>14.5</v>
      </c>
      <c r="V6" s="75">
        <v>0.03</v>
      </c>
      <c r="W6" s="75">
        <v>0.1</v>
      </c>
      <c r="X6" s="1171"/>
      <c r="Y6" s="76">
        <f>N6</f>
        <v>0.81699999999999995</v>
      </c>
      <c r="Z6" s="77"/>
      <c r="AA6" s="70"/>
      <c r="AB6" s="70"/>
      <c r="AC6" s="1171"/>
      <c r="AD6" s="78"/>
      <c r="AE6" s="1172">
        <f ca="1">IF(AN6="",0,SUMIF(INDIRECT("'"&amp;AN6&amp;"'"&amp;"!E:E"),$AE$5,INDIRECT("'"&amp;AN6&amp;"'"&amp;"!F:F")))</f>
        <v>24.7</v>
      </c>
      <c r="AF6" s="1502"/>
      <c r="AG6" s="143">
        <f>IF(AF6="",0,AE6-AF6)</f>
        <v>0</v>
      </c>
      <c r="AH6" s="79"/>
      <c r="AI6" s="81">
        <v>365</v>
      </c>
      <c r="AJ6" s="82"/>
      <c r="AK6" s="83">
        <v>1.4999999999999999E-2</v>
      </c>
      <c r="AL6" s="84">
        <v>1.5E-3</v>
      </c>
      <c r="AM6" s="85">
        <v>0.01</v>
      </c>
      <c r="AN6" s="1871" t="s">
        <v>3167</v>
      </c>
      <c r="AO6" s="55">
        <f ca="1">SUMIF(INDIRECT("'"&amp;AN6&amp;"'"&amp;"!A:A"),"总价",INDIRECT("'"&amp;AN6&amp;"'"&amp;"!B:B"))</f>
        <v>77882</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1830</v>
      </c>
      <c r="B14" s="1869" t="s">
        <v>1831</v>
      </c>
      <c r="C14" s="1874" t="s">
        <v>1830</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68"/>
      <c r="AO14" s="2870"/>
      <c r="AP14" s="2870"/>
      <c r="AQ14" s="2870"/>
      <c r="AR14" s="2870"/>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1832</v>
      </c>
      <c r="B15" s="1869" t="s">
        <v>1831</v>
      </c>
      <c r="C15" s="1874" t="s">
        <v>1833</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68"/>
      <c r="AO15" s="2870"/>
      <c r="AP15" s="2870"/>
      <c r="AQ15" s="2870"/>
      <c r="AR15" s="2870"/>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1834</v>
      </c>
      <c r="B16" s="93"/>
      <c r="C16" s="942"/>
      <c r="D16" s="1876"/>
      <c r="E16" s="93"/>
      <c r="F16" s="93"/>
      <c r="G16" s="94">
        <f>ROUND(SUMPRODUCT(G6:G13,K6:K13)/SUMPRODUCT((G6:G13&gt;0)*(K6:K13)),3)</f>
        <v>0.81599999999999995</v>
      </c>
      <c r="H16" s="95">
        <f>ROUND(SUMPRODUCT(H6:H13,K6:K13)/SUMPRODUCT((H6:H13&gt;0)*(K6:K13)),3)</f>
        <v>0.05</v>
      </c>
      <c r="I16" s="96"/>
      <c r="J16" s="96"/>
      <c r="K16" s="97">
        <f>SUM(K6:K15)</f>
        <v>11340.73</v>
      </c>
      <c r="L16" s="98">
        <f>ROUND(M16*10000/SUM(K6:K14),0)</f>
        <v>4000</v>
      </c>
      <c r="M16" s="98">
        <f>SUM(M6:M14)</f>
        <v>4536</v>
      </c>
      <c r="N16" s="99">
        <f>ROUND(SUMPRODUCT(M6:M14,N6:N14)/M16,3)</f>
        <v>0.81699999999999995</v>
      </c>
      <c r="O16" s="98">
        <f>SUM(O6:O14)</f>
        <v>0</v>
      </c>
      <c r="P16" s="98">
        <f>SUM(P6:P14)</f>
        <v>0</v>
      </c>
      <c r="Q16" s="100">
        <f>ROUND(SUMPRODUCT(Q6:Q13,K6:K13)/SUMPRODUCT((Q6:Q13&gt;0)*(K6:K13)),2)</f>
        <v>0.2</v>
      </c>
      <c r="R16" s="1165">
        <f ca="1">SUM(R6:R13)</f>
        <v>1741.52</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68"/>
      <c r="AO16" s="2870"/>
      <c r="AP16" s="2870"/>
      <c r="AQ16" s="2870"/>
      <c r="AR16" s="2870"/>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79"/>
      <c r="C17" s="2868"/>
      <c r="D17" s="2872"/>
      <c r="E17" s="2872"/>
      <c r="F17" s="2868"/>
      <c r="G17" s="2868"/>
      <c r="H17" s="2868"/>
      <c r="I17" s="2868"/>
      <c r="J17" s="2868"/>
      <c r="K17" s="2869"/>
      <c r="L17" s="2869"/>
      <c r="M17" s="2868"/>
      <c r="N17" s="2868"/>
      <c r="O17" s="2868"/>
      <c r="P17" s="2868"/>
      <c r="Q17" s="2868"/>
      <c r="R17" s="2868"/>
      <c r="S17" s="2868"/>
      <c r="T17" s="2868"/>
      <c r="U17" s="2868"/>
      <c r="V17" s="2868"/>
      <c r="W17" s="2868"/>
      <c r="X17" s="2868"/>
      <c r="Y17" s="2868"/>
      <c r="Z17" s="2868"/>
      <c r="AA17" s="2868"/>
      <c r="AB17" s="2868"/>
      <c r="AC17" s="2868"/>
      <c r="AD17" s="2868"/>
      <c r="AE17" s="2868"/>
      <c r="AF17" s="2868"/>
      <c r="AG17" s="2868"/>
      <c r="AH17" s="2868"/>
      <c r="AI17" s="2868"/>
      <c r="AJ17" s="2868"/>
      <c r="AK17" s="2868"/>
      <c r="AL17" s="2868"/>
      <c r="AM17" s="2868"/>
      <c r="AN17" s="2868"/>
      <c r="AO17" s="2868"/>
      <c r="AP17" s="2868"/>
      <c r="AQ17" s="2868"/>
      <c r="AR17" s="2868"/>
    </row>
    <row r="18" spans="1:67" ht="15" thickBot="1">
      <c r="A18" s="64" t="s">
        <v>1835</v>
      </c>
      <c r="B18" s="2882"/>
      <c r="C18" s="2870"/>
      <c r="D18" s="2873"/>
      <c r="E18" s="2870"/>
      <c r="F18" s="2870"/>
      <c r="G18" s="2870"/>
      <c r="H18" s="2870"/>
      <c r="I18" s="2870"/>
      <c r="J18" s="2870"/>
      <c r="K18" s="2869"/>
      <c r="L18" s="2869"/>
      <c r="M18" s="2868"/>
      <c r="N18" s="2868"/>
      <c r="O18" s="2868"/>
      <c r="P18" s="2868"/>
      <c r="Q18" s="2868"/>
      <c r="R18" s="2868"/>
      <c r="S18" s="2868"/>
      <c r="T18" s="2868"/>
      <c r="U18" s="2868"/>
      <c r="V18" s="2868"/>
      <c r="W18" s="2868"/>
      <c r="X18" s="2868"/>
      <c r="Y18" s="2868"/>
      <c r="Z18" s="2868"/>
      <c r="AA18" s="2868"/>
      <c r="AB18" s="2868"/>
      <c r="AC18" s="2868"/>
      <c r="AD18" s="2868"/>
      <c r="AE18" s="2868"/>
      <c r="AF18" s="2868"/>
      <c r="AG18" s="2868"/>
      <c r="AH18" s="2868"/>
      <c r="AI18" s="2868"/>
      <c r="AJ18" s="2868"/>
      <c r="AK18" s="2868"/>
      <c r="AL18" s="2868"/>
      <c r="AM18" s="2868"/>
      <c r="AN18" s="2868"/>
      <c r="AO18" s="2868"/>
      <c r="AP18" s="2868"/>
      <c r="AQ18" s="2868"/>
      <c r="AR18" s="2868"/>
    </row>
    <row r="19" spans="1:67" ht="14.25">
      <c r="A19" s="1878" t="s">
        <v>1836</v>
      </c>
      <c r="B19" s="108">
        <v>0</v>
      </c>
      <c r="C19" s="2998" t="s">
        <v>2991</v>
      </c>
      <c r="D19" s="2873"/>
      <c r="E19" s="2870"/>
      <c r="F19" s="2870"/>
      <c r="G19" s="2870"/>
      <c r="H19" s="2870"/>
      <c r="I19" s="2870"/>
      <c r="J19" s="2870"/>
      <c r="K19" s="2869"/>
      <c r="L19" s="2869"/>
      <c r="M19" s="2868"/>
      <c r="N19" s="2868"/>
      <c r="O19" s="2868"/>
      <c r="P19" s="2868"/>
      <c r="Q19" s="2868"/>
      <c r="R19" s="2868"/>
      <c r="S19" s="2868"/>
      <c r="T19" s="2868"/>
      <c r="U19" s="2868"/>
      <c r="V19" s="2868"/>
      <c r="W19" s="2868"/>
      <c r="X19" s="2868"/>
      <c r="Y19" s="2868"/>
      <c r="Z19" s="2868"/>
      <c r="AA19" s="2868"/>
      <c r="AB19" s="2868"/>
      <c r="AC19" s="2868"/>
      <c r="AD19" s="2868"/>
      <c r="AE19" s="2868"/>
      <c r="AF19" s="2868"/>
      <c r="AG19" s="2868"/>
      <c r="AH19" s="2868"/>
      <c r="AI19" s="2868"/>
      <c r="AJ19" s="2868"/>
      <c r="AK19" s="2868"/>
      <c r="AL19" s="2868"/>
      <c r="AM19" s="2868"/>
      <c r="AN19" s="2868"/>
      <c r="AO19" s="2868"/>
      <c r="AP19" s="2868"/>
      <c r="AQ19" s="2868"/>
      <c r="AR19" s="2868"/>
    </row>
    <row r="20" spans="1:67" ht="14.25">
      <c r="A20" s="1879" t="s">
        <v>1837</v>
      </c>
      <c r="B20" s="109">
        <v>2</v>
      </c>
      <c r="C20" s="2999" t="s">
        <v>2989</v>
      </c>
      <c r="D20" s="2873"/>
      <c r="E20" s="2870"/>
      <c r="F20" s="2870"/>
      <c r="G20" s="2870"/>
      <c r="H20" s="2870"/>
      <c r="I20" s="2870"/>
      <c r="J20" s="2870"/>
      <c r="K20" s="2869"/>
      <c r="L20" s="2869"/>
      <c r="M20" s="2868"/>
      <c r="N20" s="3209">
        <f>1-(2022-2009)/60</f>
        <v>0.78333333333333333</v>
      </c>
      <c r="O20" s="2868"/>
      <c r="P20" s="2868"/>
      <c r="Q20" s="2868"/>
      <c r="R20" s="3212" t="s">
        <v>3172</v>
      </c>
      <c r="S20" s="3212" t="s">
        <v>3173</v>
      </c>
      <c r="T20" s="3212" t="s">
        <v>3174</v>
      </c>
      <c r="U20" s="2868"/>
      <c r="V20" s="2868"/>
      <c r="W20" s="2868"/>
      <c r="X20" s="2868"/>
      <c r="Y20" s="2868"/>
      <c r="Z20" s="2868"/>
      <c r="AA20" s="2868"/>
      <c r="AB20" s="2868"/>
      <c r="AC20" s="2868"/>
      <c r="AD20" s="2868"/>
      <c r="AE20" s="2868"/>
      <c r="AF20" s="2868"/>
      <c r="AG20" s="2868"/>
      <c r="AH20" s="2868"/>
      <c r="AI20" s="2868"/>
      <c r="AJ20" s="2868"/>
      <c r="AK20" s="2868"/>
      <c r="AL20" s="2868"/>
      <c r="AM20" s="2868"/>
      <c r="AN20" s="2868"/>
      <c r="AO20" s="2868"/>
      <c r="AP20" s="2868"/>
      <c r="AQ20" s="2868"/>
      <c r="AR20" s="2868"/>
    </row>
    <row r="21" spans="1:67" ht="14.25">
      <c r="A21" s="1880" t="s">
        <v>1838</v>
      </c>
      <c r="B21" s="109">
        <v>2</v>
      </c>
      <c r="C21" s="2870"/>
      <c r="D21" s="2873"/>
      <c r="E21" s="2870"/>
      <c r="F21" s="2870"/>
      <c r="G21" s="2870"/>
      <c r="H21" s="2870"/>
      <c r="I21" s="2870"/>
      <c r="J21" s="2870"/>
      <c r="K21" s="2869"/>
      <c r="L21" s="2869"/>
      <c r="M21" s="2868"/>
      <c r="N21" s="3210">
        <v>0.85</v>
      </c>
      <c r="O21" s="2868"/>
      <c r="P21" s="2868"/>
      <c r="Q21" s="1182" t="s">
        <v>3151</v>
      </c>
      <c r="R21" s="1781">
        <v>2845.98</v>
      </c>
      <c r="S21" s="1781">
        <v>0.5</v>
      </c>
      <c r="T21" s="1781">
        <f>S21*$T$22</f>
        <v>12.5</v>
      </c>
      <c r="U21" s="2868"/>
      <c r="V21" s="2868"/>
      <c r="W21" s="2868"/>
      <c r="X21" s="2868"/>
      <c r="Y21" s="2868"/>
      <c r="Z21" s="2868"/>
      <c r="AA21" s="2868"/>
      <c r="AB21" s="2868"/>
      <c r="AC21" s="2868"/>
      <c r="AD21" s="2868"/>
      <c r="AE21" s="2868"/>
      <c r="AF21" s="2868"/>
      <c r="AG21" s="2868"/>
      <c r="AH21" s="2868"/>
      <c r="AI21" s="2868"/>
      <c r="AJ21" s="2868"/>
      <c r="AK21" s="2868"/>
      <c r="AL21" s="2868"/>
      <c r="AM21" s="2868"/>
      <c r="AN21" s="2868"/>
      <c r="AO21" s="2868"/>
      <c r="AP21" s="2868"/>
      <c r="AQ21" s="2868"/>
      <c r="AR21" s="2868"/>
    </row>
    <row r="22" spans="1:67" ht="14.25">
      <c r="A22" s="1879" t="s">
        <v>1839</v>
      </c>
      <c r="B22" s="110">
        <f>B19+B20</f>
        <v>2</v>
      </c>
      <c r="C22" s="2870"/>
      <c r="D22" s="2873"/>
      <c r="E22" s="2870"/>
      <c r="F22" s="2870"/>
      <c r="G22" s="2870"/>
      <c r="H22" s="2870"/>
      <c r="I22" s="2870"/>
      <c r="J22" s="2870"/>
      <c r="K22" s="2869"/>
      <c r="L22" s="2869"/>
      <c r="M22" s="2868"/>
      <c r="N22" s="3208">
        <f>ROUND((N20+N21)/2,3)</f>
        <v>0.81699999999999995</v>
      </c>
      <c r="O22" s="2868"/>
      <c r="P22" s="2868"/>
      <c r="Q22" s="1182" t="s">
        <v>3156</v>
      </c>
      <c r="R22" s="1781">
        <v>1278.48</v>
      </c>
      <c r="S22" s="1781">
        <v>1</v>
      </c>
      <c r="T22" s="1781">
        <v>25</v>
      </c>
      <c r="U22" s="2868">
        <f ca="1">U27/S27</f>
        <v>100311.71970791068</v>
      </c>
      <c r="V22" s="2868"/>
      <c r="W22" s="2868"/>
      <c r="X22" s="2868"/>
      <c r="Y22" s="2868"/>
      <c r="Z22" s="2868"/>
      <c r="AA22" s="2868"/>
      <c r="AB22" s="2868"/>
      <c r="AC22" s="2868"/>
      <c r="AD22" s="2868"/>
      <c r="AE22" s="2868"/>
      <c r="AF22" s="2868"/>
      <c r="AG22" s="2868"/>
      <c r="AH22" s="2868"/>
      <c r="AI22" s="2868"/>
      <c r="AJ22" s="2868"/>
      <c r="AK22" s="2868"/>
      <c r="AL22" s="2868"/>
      <c r="AM22" s="2868"/>
      <c r="AN22" s="2868"/>
      <c r="AO22" s="2868"/>
      <c r="AP22" s="2868"/>
      <c r="AQ22" s="2868"/>
      <c r="AR22" s="2868"/>
    </row>
    <row r="23" spans="1:67" ht="14.25">
      <c r="A23" s="1880" t="s">
        <v>1840</v>
      </c>
      <c r="B23" s="110">
        <f>B19+B21</f>
        <v>2</v>
      </c>
      <c r="C23" s="2870"/>
      <c r="D23" s="2873"/>
      <c r="E23" s="2870"/>
      <c r="F23" s="2870"/>
      <c r="G23" s="2870"/>
      <c r="H23" s="2870"/>
      <c r="I23" s="2870"/>
      <c r="J23" s="2870"/>
      <c r="K23" s="2869"/>
      <c r="L23" s="2869"/>
      <c r="M23" s="2868"/>
      <c r="N23" s="2868"/>
      <c r="O23" s="2868"/>
      <c r="P23" s="2868"/>
      <c r="Q23" s="1182" t="s">
        <v>3157</v>
      </c>
      <c r="R23" s="1781">
        <v>1161.4100000000001</v>
      </c>
      <c r="S23" s="1781">
        <v>0.7</v>
      </c>
      <c r="T23" s="1781">
        <f>S23*$T$22</f>
        <v>17.5</v>
      </c>
      <c r="U23" s="2868"/>
      <c r="V23" s="2868"/>
      <c r="W23" s="2868"/>
      <c r="X23" s="2868"/>
      <c r="Y23" s="2868"/>
      <c r="Z23" s="2868"/>
      <c r="AA23" s="2868"/>
      <c r="AB23" s="2868"/>
      <c r="AC23" s="2868"/>
      <c r="AD23" s="2868"/>
      <c r="AE23" s="2868"/>
      <c r="AF23" s="2868"/>
      <c r="AG23" s="2868"/>
      <c r="AH23" s="2868"/>
      <c r="AI23" s="2868"/>
      <c r="AJ23" s="2868"/>
      <c r="AK23" s="2868"/>
      <c r="AL23" s="2868"/>
      <c r="AM23" s="2868"/>
      <c r="AN23" s="2868"/>
      <c r="AO23" s="2868"/>
      <c r="AP23" s="2868"/>
      <c r="AQ23" s="2868"/>
      <c r="AR23" s="2868"/>
    </row>
    <row r="24" spans="1:67" ht="15" thickBot="1">
      <c r="A24" s="1881" t="s">
        <v>1841</v>
      </c>
      <c r="B24" s="111">
        <f>B20-B21</f>
        <v>0</v>
      </c>
      <c r="C24" s="2870"/>
      <c r="D24" s="2873"/>
      <c r="E24" s="2870"/>
      <c r="F24" s="2870"/>
      <c r="G24" s="2870"/>
      <c r="H24" s="2870"/>
      <c r="I24" s="2870"/>
      <c r="J24" s="2870"/>
      <c r="K24" s="2869"/>
      <c r="L24" s="2869"/>
      <c r="M24" s="2868"/>
      <c r="N24" s="2868"/>
      <c r="O24" s="2868"/>
      <c r="P24" s="2868"/>
      <c r="Q24" s="1182" t="s">
        <v>3158</v>
      </c>
      <c r="R24" s="1781">
        <v>1921.63</v>
      </c>
      <c r="S24" s="1781">
        <v>0.6</v>
      </c>
      <c r="T24" s="1781">
        <f t="shared" ref="T24:T26" si="12">S24*$T$22</f>
        <v>15</v>
      </c>
      <c r="U24" s="2868"/>
      <c r="V24" s="2868"/>
      <c r="W24" s="2868"/>
      <c r="X24" s="2868"/>
      <c r="Y24" s="2868"/>
      <c r="Z24" s="2868"/>
      <c r="AA24" s="2868"/>
      <c r="AB24" s="2868"/>
      <c r="AC24" s="2868"/>
      <c r="AD24" s="2868"/>
      <c r="AE24" s="2868"/>
      <c r="AF24" s="2868"/>
      <c r="AG24" s="2868"/>
      <c r="AH24" s="2868"/>
      <c r="AI24" s="2868"/>
      <c r="AJ24" s="2868"/>
      <c r="AK24" s="2868"/>
      <c r="AL24" s="2868"/>
      <c r="AM24" s="2868"/>
      <c r="AN24" s="2868"/>
      <c r="AO24" s="2868"/>
      <c r="AP24" s="2868"/>
      <c r="AQ24" s="2868"/>
      <c r="AR24" s="2868"/>
    </row>
    <row r="25" spans="1:67" ht="15" thickBot="1">
      <c r="A25" s="1712"/>
      <c r="B25" s="1843"/>
      <c r="C25" s="2870"/>
      <c r="D25" s="2873"/>
      <c r="E25" s="2870"/>
      <c r="F25" s="2870"/>
      <c r="G25" s="2870"/>
      <c r="H25" s="2870"/>
      <c r="I25" s="2870"/>
      <c r="J25" s="2870"/>
      <c r="K25" s="2869"/>
      <c r="L25" s="2869"/>
      <c r="M25" s="2868"/>
      <c r="N25" s="2868"/>
      <c r="O25" s="2868"/>
      <c r="P25" s="2868"/>
      <c r="Q25" s="1182" t="s">
        <v>3159</v>
      </c>
      <c r="R25" s="1781">
        <v>2022.65</v>
      </c>
      <c r="S25" s="1781">
        <v>0.5</v>
      </c>
      <c r="T25" s="1781">
        <f t="shared" si="12"/>
        <v>12.5</v>
      </c>
      <c r="U25" s="2868"/>
      <c r="V25" s="2868"/>
      <c r="W25" s="2868"/>
      <c r="X25" s="2868"/>
      <c r="Y25" s="2868"/>
      <c r="Z25" s="2868"/>
      <c r="AA25" s="2868"/>
      <c r="AB25" s="2868"/>
      <c r="AC25" s="2868"/>
      <c r="AD25" s="2868"/>
      <c r="AE25" s="2868"/>
      <c r="AF25" s="2868"/>
      <c r="AG25" s="2868"/>
      <c r="AH25" s="2868"/>
      <c r="AI25" s="2868"/>
      <c r="AJ25" s="2868"/>
      <c r="AK25" s="2868"/>
      <c r="AL25" s="2868"/>
      <c r="AM25" s="2868"/>
      <c r="AN25" s="2868"/>
      <c r="AO25" s="2868"/>
      <c r="AP25" s="2868"/>
      <c r="AQ25" s="2868"/>
      <c r="AR25" s="2868"/>
    </row>
    <row r="26" spans="1:67" ht="15" thickBot="1">
      <c r="A26" s="1839" t="s">
        <v>1842</v>
      </c>
      <c r="B26" s="1882" t="s">
        <v>1843</v>
      </c>
      <c r="C26" s="2874" t="s">
        <v>1844</v>
      </c>
      <c r="D26" s="2873"/>
      <c r="E26" s="2870"/>
      <c r="F26" s="2870"/>
      <c r="G26" s="2870"/>
      <c r="H26" s="2870"/>
      <c r="I26" s="2870"/>
      <c r="J26" s="2870"/>
      <c r="K26" s="2869"/>
      <c r="L26" s="2869"/>
      <c r="M26" s="2868"/>
      <c r="N26" s="2868"/>
      <c r="O26" s="2868"/>
      <c r="P26" s="2868"/>
      <c r="Q26" s="1182" t="s">
        <v>3160</v>
      </c>
      <c r="R26" s="1781">
        <v>2110.58</v>
      </c>
      <c r="S26" s="1781">
        <v>0.45</v>
      </c>
      <c r="T26" s="1781">
        <f t="shared" si="12"/>
        <v>11.25</v>
      </c>
      <c r="U26" s="2868"/>
      <c r="V26" s="2868"/>
      <c r="W26" s="2868"/>
      <c r="X26" s="2868"/>
      <c r="Y26" s="2868"/>
      <c r="Z26" s="2868"/>
      <c r="AA26" s="2868"/>
      <c r="AB26" s="2868"/>
      <c r="AC26" s="2868"/>
      <c r="AD26" s="2868"/>
      <c r="AE26" s="2868"/>
      <c r="AF26" s="2868"/>
      <c r="AG26" s="2868"/>
      <c r="AH26" s="2868"/>
      <c r="AI26" s="2868"/>
      <c r="AJ26" s="2868"/>
      <c r="AK26" s="2868"/>
      <c r="AL26" s="2868"/>
      <c r="AM26" s="2868"/>
      <c r="AN26" s="2868"/>
      <c r="AO26" s="2868"/>
      <c r="AP26" s="2868"/>
      <c r="AQ26" s="2868"/>
      <c r="AR26" s="2868"/>
    </row>
    <row r="27" spans="1:67" s="1884" customFormat="1" ht="27.75">
      <c r="A27" s="1883" t="s">
        <v>1845</v>
      </c>
      <c r="B27" s="112">
        <v>160</v>
      </c>
      <c r="C27" s="3000" t="s">
        <v>2993</v>
      </c>
      <c r="D27" s="2876"/>
      <c r="E27" s="2856"/>
      <c r="F27" s="2856"/>
      <c r="G27" s="2870"/>
      <c r="H27" s="2870"/>
      <c r="I27" s="2870"/>
      <c r="J27" s="2870"/>
      <c r="K27" s="2869"/>
      <c r="L27" s="2869"/>
      <c r="M27" s="2868"/>
      <c r="N27" s="2868"/>
      <c r="O27" s="2868"/>
      <c r="P27" s="2868"/>
      <c r="Q27" s="1182"/>
      <c r="R27" s="1781"/>
      <c r="S27" s="1781">
        <f>SUMPRODUCT(S21:S26,R21:R26)/SUM(R21:R26)</f>
        <v>0.58448803560264651</v>
      </c>
      <c r="T27" s="1781">
        <f>SUMPRODUCT(T21:T26,R21:R26)/SUM(R21:R26)</f>
        <v>14.612200890066159</v>
      </c>
      <c r="U27" s="2868">
        <f ca="1">结果表!G20</f>
        <v>58631</v>
      </c>
      <c r="V27" s="2868"/>
      <c r="W27" s="2868"/>
      <c r="X27" s="2868"/>
      <c r="Y27" s="2868"/>
      <c r="Z27" s="2868"/>
      <c r="AA27" s="2868"/>
      <c r="AB27" s="2868"/>
      <c r="AC27" s="2868"/>
      <c r="AD27" s="2868"/>
      <c r="AE27" s="2868"/>
      <c r="AF27" s="2868"/>
      <c r="AG27" s="2868"/>
      <c r="AH27" s="2868"/>
      <c r="AI27" s="2868"/>
      <c r="AJ27" s="2868"/>
      <c r="AK27" s="2868"/>
      <c r="AL27" s="2868"/>
      <c r="AM27" s="2868"/>
      <c r="AN27" s="2868"/>
      <c r="AO27" s="2868"/>
      <c r="AP27" s="2868"/>
      <c r="AQ27" s="2868"/>
      <c r="AR27" s="2868"/>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1846</v>
      </c>
      <c r="B28" s="115">
        <v>200</v>
      </c>
      <c r="C28" s="2877"/>
      <c r="D28" s="2876"/>
      <c r="E28" s="2856"/>
      <c r="F28" s="2856"/>
      <c r="G28" s="2870"/>
      <c r="H28" s="2870"/>
      <c r="I28" s="2870"/>
      <c r="J28" s="2870"/>
      <c r="K28" s="2869"/>
      <c r="L28" s="2869"/>
      <c r="M28" s="2868"/>
      <c r="N28" s="2868"/>
      <c r="O28" s="2868"/>
      <c r="P28" s="2868"/>
      <c r="Q28" s="2868"/>
      <c r="R28" s="2868"/>
      <c r="S28" s="2868"/>
      <c r="T28" s="2868"/>
      <c r="U28" s="2868"/>
      <c r="V28" s="2868"/>
      <c r="W28" s="2868"/>
      <c r="X28" s="2868"/>
      <c r="Y28" s="2868"/>
      <c r="Z28" s="2868"/>
      <c r="AA28" s="2868"/>
      <c r="AB28" s="2868"/>
      <c r="AC28" s="2868"/>
      <c r="AD28" s="2868"/>
      <c r="AE28" s="2868"/>
      <c r="AF28" s="2868"/>
      <c r="AG28" s="2868"/>
      <c r="AH28" s="2868"/>
      <c r="AI28" s="2868"/>
      <c r="AJ28" s="2868"/>
      <c r="AK28" s="2868"/>
      <c r="AL28" s="2868"/>
      <c r="AM28" s="2868"/>
      <c r="AN28" s="2868"/>
      <c r="AO28" s="2868"/>
      <c r="AP28" s="2868"/>
      <c r="AQ28" s="2868"/>
      <c r="AR28" s="2868"/>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1847</v>
      </c>
      <c r="B29" s="117"/>
      <c r="C29" s="3001" t="s">
        <v>2980</v>
      </c>
      <c r="D29" s="2876"/>
      <c r="E29" s="2856"/>
      <c r="F29" s="2856"/>
      <c r="G29" s="2870"/>
      <c r="H29" s="2870"/>
      <c r="I29" s="2870"/>
      <c r="J29" s="2870"/>
      <c r="K29" s="2869"/>
      <c r="L29" s="2869"/>
      <c r="M29" s="2868"/>
      <c r="N29" s="2868"/>
      <c r="O29" s="2868"/>
      <c r="P29" s="2868"/>
      <c r="Q29" s="2868"/>
      <c r="R29" s="2868"/>
      <c r="S29" s="2868"/>
      <c r="T29" s="2868"/>
      <c r="U29" s="2868"/>
      <c r="V29" s="2868"/>
      <c r="W29" s="2868"/>
      <c r="X29" s="2868"/>
      <c r="Y29" s="2868"/>
      <c r="Z29" s="2868"/>
      <c r="AA29" s="2868"/>
      <c r="AB29" s="2868"/>
      <c r="AC29" s="2868"/>
      <c r="AD29" s="2868"/>
      <c r="AE29" s="2868"/>
      <c r="AF29" s="2868"/>
      <c r="AG29" s="2868"/>
      <c r="AH29" s="2868"/>
      <c r="AI29" s="2868"/>
      <c r="AJ29" s="2868"/>
      <c r="AK29" s="2868"/>
      <c r="AL29" s="2868"/>
      <c r="AM29" s="2868"/>
      <c r="AN29" s="2868"/>
      <c r="AO29" s="2868"/>
      <c r="AP29" s="2868"/>
      <c r="AQ29" s="2868"/>
      <c r="AR29" s="2868"/>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1848</v>
      </c>
      <c r="B30" s="680">
        <v>200</v>
      </c>
      <c r="C30" s="2877"/>
      <c r="D30" s="2876"/>
      <c r="E30" s="2856"/>
      <c r="F30" s="2856"/>
      <c r="G30" s="2870"/>
      <c r="H30" s="2870"/>
      <c r="I30" s="2870"/>
      <c r="J30" s="2870"/>
      <c r="K30" s="2869"/>
      <c r="L30" s="2869"/>
      <c r="M30" s="2868"/>
      <c r="N30" s="2868"/>
      <c r="O30" s="2868"/>
      <c r="P30" s="2868"/>
      <c r="Q30" s="2868"/>
      <c r="R30" s="2868"/>
      <c r="S30" s="2868"/>
      <c r="T30" s="2868"/>
      <c r="U30" s="2868"/>
      <c r="V30" s="2868"/>
      <c r="W30" s="2868"/>
      <c r="X30" s="2868"/>
      <c r="Y30" s="2868"/>
      <c r="Z30" s="2868"/>
      <c r="AA30" s="2868"/>
      <c r="AB30" s="2868"/>
      <c r="AC30" s="2868"/>
      <c r="AD30" s="2868"/>
      <c r="AE30" s="2868"/>
      <c r="AF30" s="2868"/>
      <c r="AG30" s="2868"/>
      <c r="AH30" s="2868"/>
      <c r="AI30" s="2868"/>
      <c r="AJ30" s="2868"/>
      <c r="AK30" s="2868"/>
      <c r="AL30" s="2868"/>
      <c r="AM30" s="2868"/>
      <c r="AN30" s="2868"/>
      <c r="AO30" s="2868"/>
      <c r="AP30" s="2868"/>
      <c r="AQ30" s="2868"/>
      <c r="AR30" s="2868"/>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1849</v>
      </c>
      <c r="B31" s="116">
        <f>B30-B32</f>
        <v>200</v>
      </c>
      <c r="C31" s="2875"/>
      <c r="D31" s="2876"/>
      <c r="E31" s="2856"/>
      <c r="F31" s="2856"/>
      <c r="G31" s="2870"/>
      <c r="H31" s="2870"/>
      <c r="I31" s="2870"/>
      <c r="J31" s="2870"/>
      <c r="K31" s="2869"/>
      <c r="L31" s="2869"/>
      <c r="M31" s="2868"/>
      <c r="N31" s="2868"/>
      <c r="O31" s="2868"/>
      <c r="P31" s="2868"/>
      <c r="Q31" s="2868"/>
      <c r="R31" s="2868"/>
      <c r="S31" s="2868"/>
      <c r="T31" s="2868"/>
      <c r="U31" s="2868"/>
      <c r="V31" s="2868"/>
      <c r="W31" s="2868"/>
      <c r="X31" s="2868"/>
      <c r="Y31" s="2868"/>
      <c r="Z31" s="2868"/>
      <c r="AA31" s="2868"/>
      <c r="AB31" s="2868"/>
      <c r="AC31" s="2868"/>
      <c r="AD31" s="2868"/>
      <c r="AE31" s="2868"/>
      <c r="AF31" s="2868"/>
      <c r="AG31" s="2868"/>
      <c r="AH31" s="2868"/>
      <c r="AI31" s="2868"/>
      <c r="AJ31" s="2868"/>
      <c r="AK31" s="2868"/>
      <c r="AL31" s="2868"/>
      <c r="AM31" s="2868"/>
      <c r="AN31" s="2868"/>
      <c r="AO31" s="2868"/>
      <c r="AP31" s="2868"/>
      <c r="AQ31" s="2868"/>
      <c r="AR31" s="2868"/>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1850</v>
      </c>
      <c r="B32" s="681"/>
      <c r="C32" s="2877"/>
      <c r="D32" s="2873"/>
      <c r="E32" s="2870"/>
      <c r="F32" s="2870"/>
      <c r="G32" s="2870"/>
      <c r="H32" s="2870"/>
      <c r="I32" s="2870"/>
      <c r="J32" s="2870"/>
      <c r="K32" s="2869"/>
      <c r="L32" s="2869"/>
      <c r="M32" s="2868"/>
      <c r="N32" s="2868"/>
      <c r="O32" s="2868"/>
      <c r="P32" s="2868"/>
      <c r="Q32" s="2868"/>
      <c r="R32" s="2868"/>
      <c r="S32" s="2868"/>
      <c r="T32" s="2868"/>
      <c r="U32" s="2868"/>
      <c r="V32" s="2868"/>
      <c r="W32" s="2868"/>
      <c r="X32" s="2868"/>
      <c r="Y32" s="2868"/>
      <c r="Z32" s="2868"/>
      <c r="AA32" s="2868"/>
      <c r="AB32" s="2868"/>
      <c r="AC32" s="2868"/>
      <c r="AD32" s="2868"/>
      <c r="AE32" s="2868"/>
      <c r="AF32" s="2868"/>
      <c r="AG32" s="2868"/>
      <c r="AH32" s="2868"/>
      <c r="AI32" s="2868"/>
      <c r="AJ32" s="2868"/>
      <c r="AK32" s="2868"/>
      <c r="AL32" s="2868"/>
      <c r="AM32" s="2868"/>
      <c r="AN32" s="2868"/>
      <c r="AO32" s="2868"/>
      <c r="AP32" s="2868"/>
      <c r="AQ32" s="2868"/>
      <c r="AR32" s="2868"/>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1851</v>
      </c>
      <c r="B33" s="682">
        <v>0.04</v>
      </c>
      <c r="C33" s="3002" t="s">
        <v>2981</v>
      </c>
      <c r="D33" s="2873"/>
      <c r="E33" s="2870"/>
      <c r="F33" s="2870"/>
      <c r="G33" s="2870"/>
      <c r="H33" s="2870"/>
      <c r="I33" s="2870"/>
      <c r="J33" s="2870"/>
      <c r="K33" s="2869"/>
      <c r="L33" s="2869"/>
      <c r="M33" s="2868"/>
      <c r="N33" s="2868"/>
      <c r="O33" s="2868"/>
      <c r="P33" s="2868"/>
      <c r="Q33" s="2868"/>
      <c r="R33" s="2868"/>
      <c r="S33" s="2868"/>
      <c r="T33" s="2868"/>
      <c r="U33" s="2868"/>
      <c r="V33" s="2868"/>
      <c r="W33" s="2868"/>
      <c r="X33" s="2868"/>
      <c r="Y33" s="2868"/>
      <c r="Z33" s="2868"/>
      <c r="AA33" s="2868"/>
      <c r="AB33" s="2868"/>
      <c r="AC33" s="2868"/>
      <c r="AD33" s="2868"/>
      <c r="AE33" s="2868"/>
      <c r="AF33" s="2868"/>
      <c r="AG33" s="2868"/>
      <c r="AH33" s="2868"/>
      <c r="AI33" s="2868"/>
      <c r="AJ33" s="2868"/>
      <c r="AK33" s="2868"/>
      <c r="AL33" s="2868"/>
      <c r="AM33" s="2868"/>
      <c r="AN33" s="2868"/>
      <c r="AO33" s="2868"/>
      <c r="AP33" s="2868"/>
      <c r="AQ33" s="2868"/>
      <c r="AR33" s="2868"/>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1852</v>
      </c>
      <c r="B34" s="118"/>
      <c r="C34" s="3002" t="s">
        <v>2982</v>
      </c>
      <c r="D34" s="2881" t="s">
        <v>2990</v>
      </c>
      <c r="E34" s="2879"/>
      <c r="F34" s="2870"/>
      <c r="G34" s="2870"/>
      <c r="H34" s="2870"/>
      <c r="I34" s="2870"/>
      <c r="J34" s="2870"/>
      <c r="K34" s="2869"/>
      <c r="L34" s="2869"/>
      <c r="M34" s="2868"/>
      <c r="N34" s="2868"/>
      <c r="O34" s="2868"/>
      <c r="P34" s="2868"/>
      <c r="Q34" s="2868"/>
      <c r="R34" s="2868"/>
      <c r="S34" s="2868"/>
      <c r="T34" s="2868"/>
      <c r="U34" s="2868"/>
      <c r="V34" s="2868"/>
      <c r="W34" s="2868"/>
      <c r="X34" s="2868"/>
      <c r="Y34" s="2868"/>
      <c r="Z34" s="2868"/>
      <c r="AA34" s="2868"/>
      <c r="AB34" s="2868"/>
      <c r="AC34" s="2868"/>
      <c r="AD34" s="2868"/>
      <c r="AE34" s="2868"/>
      <c r="AF34" s="2868"/>
      <c r="AG34" s="2868"/>
      <c r="AH34" s="2868"/>
      <c r="AI34" s="2868"/>
      <c r="AJ34" s="2868"/>
      <c r="AK34" s="2868"/>
      <c r="AL34" s="2868"/>
      <c r="AM34" s="2868"/>
      <c r="AN34" s="2868"/>
      <c r="AO34" s="2868"/>
      <c r="AP34" s="2868"/>
      <c r="AQ34" s="2868"/>
      <c r="AR34" s="2868"/>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1853</v>
      </c>
      <c r="B35" s="115">
        <v>200</v>
      </c>
      <c r="C35" s="3002" t="s">
        <v>2983</v>
      </c>
      <c r="D35" s="2876"/>
      <c r="E35" s="2856"/>
      <c r="F35" s="2856"/>
      <c r="G35" s="2870"/>
      <c r="H35" s="2870"/>
      <c r="I35" s="2870"/>
      <c r="J35" s="2870"/>
      <c r="K35" s="2869"/>
      <c r="L35" s="2869"/>
      <c r="M35" s="2868"/>
      <c r="N35" s="2868"/>
      <c r="O35" s="2868"/>
      <c r="P35" s="2868"/>
      <c r="Q35" s="2868"/>
      <c r="R35" s="2868"/>
      <c r="S35" s="2868"/>
      <c r="T35" s="2868"/>
      <c r="U35" s="2868"/>
      <c r="V35" s="2868"/>
      <c r="W35" s="2868"/>
      <c r="X35" s="2868"/>
      <c r="Y35" s="2868"/>
      <c r="Z35" s="2868"/>
      <c r="AA35" s="2868"/>
      <c r="AB35" s="2868"/>
      <c r="AC35" s="2868"/>
      <c r="AD35" s="2868"/>
      <c r="AE35" s="2868"/>
      <c r="AF35" s="2868"/>
      <c r="AG35" s="2868"/>
      <c r="AH35" s="2868"/>
      <c r="AI35" s="2868"/>
      <c r="AJ35" s="2868"/>
      <c r="AK35" s="2868"/>
      <c r="AL35" s="2868"/>
      <c r="AM35" s="2868"/>
      <c r="AN35" s="2868"/>
      <c r="AO35" s="2868"/>
      <c r="AP35" s="2868"/>
      <c r="AQ35" s="2868"/>
      <c r="AR35" s="2868"/>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1854</v>
      </c>
      <c r="B36" s="119">
        <v>1.4999999999999999E-2</v>
      </c>
      <c r="C36" s="3002" t="s">
        <v>2984</v>
      </c>
      <c r="D36" s="2873"/>
      <c r="E36" s="2870"/>
      <c r="F36" s="2870"/>
      <c r="G36" s="2870"/>
      <c r="H36" s="2870"/>
      <c r="I36" s="2870"/>
      <c r="J36" s="2870"/>
      <c r="K36" s="2869"/>
      <c r="L36" s="2869"/>
      <c r="M36" s="2868"/>
      <c r="N36" s="2868"/>
      <c r="O36" s="2868"/>
      <c r="P36" s="2868"/>
      <c r="Q36" s="2868"/>
      <c r="R36" s="2868"/>
      <c r="S36" s="2868"/>
      <c r="T36" s="2868"/>
      <c r="U36" s="2868"/>
      <c r="V36" s="2868"/>
      <c r="W36" s="2868"/>
      <c r="X36" s="2868"/>
      <c r="Y36" s="2868"/>
      <c r="Z36" s="2868"/>
      <c r="AA36" s="2868"/>
      <c r="AB36" s="2868"/>
      <c r="AC36" s="2868"/>
      <c r="AD36" s="2868"/>
      <c r="AE36" s="2868"/>
      <c r="AF36" s="2868"/>
      <c r="AG36" s="2868"/>
      <c r="AH36" s="2868"/>
      <c r="AI36" s="2868"/>
      <c r="AJ36" s="2868"/>
      <c r="AK36" s="2868"/>
      <c r="AL36" s="2868"/>
      <c r="AM36" s="2868"/>
      <c r="AN36" s="2868"/>
      <c r="AO36" s="2868"/>
      <c r="AP36" s="2868"/>
      <c r="AQ36" s="2868"/>
      <c r="AR36" s="2868"/>
    </row>
    <row r="37" spans="1:67" ht="14.25">
      <c r="A37" s="1887" t="s">
        <v>1855</v>
      </c>
      <c r="B37" s="120">
        <v>0.02</v>
      </c>
      <c r="C37" s="3002" t="s">
        <v>2985</v>
      </c>
      <c r="D37" s="2873"/>
      <c r="E37" s="2870"/>
      <c r="F37" s="2870"/>
      <c r="G37" s="2870"/>
      <c r="H37" s="2870"/>
      <c r="I37" s="2870"/>
      <c r="J37" s="2870"/>
      <c r="K37" s="2869"/>
      <c r="L37" s="2869"/>
      <c r="M37" s="2868"/>
      <c r="N37" s="2868"/>
      <c r="O37" s="2868"/>
      <c r="P37" s="2868"/>
      <c r="Q37" s="2868"/>
      <c r="R37" s="2868"/>
      <c r="S37" s="2868"/>
      <c r="T37" s="2868"/>
      <c r="U37" s="2868"/>
      <c r="V37" s="2868"/>
      <c r="W37" s="2868"/>
      <c r="X37" s="2868"/>
      <c r="Y37" s="2868"/>
      <c r="Z37" s="2868"/>
      <c r="AA37" s="2868"/>
      <c r="AB37" s="2868"/>
      <c r="AC37" s="2868"/>
      <c r="AD37" s="2868"/>
      <c r="AE37" s="2868"/>
      <c r="AF37" s="2868"/>
      <c r="AG37" s="2868"/>
      <c r="AH37" s="2868"/>
      <c r="AI37" s="2868"/>
      <c r="AJ37" s="2868"/>
      <c r="AK37" s="2868"/>
      <c r="AL37" s="2868"/>
      <c r="AM37" s="2868"/>
      <c r="AN37" s="2868"/>
      <c r="AO37" s="2868"/>
      <c r="AP37" s="2868"/>
      <c r="AQ37" s="2868"/>
      <c r="AR37" s="2868"/>
    </row>
    <row r="38" spans="1:67" ht="14.25">
      <c r="A38" s="1885" t="s">
        <v>1856</v>
      </c>
      <c r="B38" s="118">
        <v>0.02</v>
      </c>
      <c r="C38" s="3002" t="s">
        <v>2985</v>
      </c>
      <c r="D38" s="2873"/>
      <c r="E38" s="2870"/>
      <c r="F38" s="2870"/>
      <c r="G38" s="2870"/>
      <c r="H38" s="2870"/>
      <c r="I38" s="2870"/>
      <c r="J38" s="2870"/>
      <c r="K38" s="2869"/>
      <c r="L38" s="2869"/>
      <c r="M38" s="2868"/>
      <c r="N38" s="2868"/>
      <c r="O38" s="2868"/>
      <c r="P38" s="2868"/>
      <c r="Q38" s="2868"/>
      <c r="R38" s="2868"/>
      <c r="S38" s="2868"/>
      <c r="T38" s="2868"/>
      <c r="U38" s="2868"/>
      <c r="V38" s="2868"/>
      <c r="W38" s="2868"/>
      <c r="X38" s="2868"/>
      <c r="Y38" s="2868"/>
      <c r="Z38" s="2868"/>
      <c r="AA38" s="2868"/>
      <c r="AB38" s="2868"/>
      <c r="AC38" s="2868"/>
      <c r="AD38" s="2868"/>
      <c r="AE38" s="2868"/>
      <c r="AF38" s="2868"/>
      <c r="AG38" s="2868"/>
      <c r="AH38" s="2868"/>
      <c r="AI38" s="2868"/>
      <c r="AJ38" s="2868"/>
      <c r="AK38" s="2868"/>
      <c r="AL38" s="2868"/>
      <c r="AM38" s="2868"/>
      <c r="AN38" s="2868"/>
      <c r="AO38" s="2868"/>
      <c r="AP38" s="2868"/>
      <c r="AQ38" s="2868"/>
      <c r="AR38" s="2868"/>
    </row>
    <row r="39" spans="1:67" ht="14.25">
      <c r="A39" s="1888" t="s">
        <v>1857</v>
      </c>
      <c r="B39" s="323">
        <f ca="1">存贷款利率!I1</f>
        <v>1.4999999999999999E-2</v>
      </c>
      <c r="C39" s="2878"/>
      <c r="D39" s="2873"/>
      <c r="E39" s="2870"/>
      <c r="F39" s="2870"/>
      <c r="G39" s="2870"/>
      <c r="H39" s="2870"/>
      <c r="I39" s="2870"/>
      <c r="J39" s="2870"/>
      <c r="K39" s="2869"/>
      <c r="L39" s="2869"/>
      <c r="M39" s="2868"/>
      <c r="N39" s="2868"/>
      <c r="O39" s="2868"/>
      <c r="P39" s="2868"/>
      <c r="Q39" s="2868"/>
      <c r="R39" s="2868"/>
      <c r="S39" s="2868"/>
      <c r="T39" s="2868"/>
      <c r="U39" s="2868"/>
      <c r="V39" s="2868"/>
      <c r="W39" s="2868"/>
      <c r="X39" s="2868"/>
      <c r="Y39" s="2868"/>
      <c r="Z39" s="2868"/>
      <c r="AA39" s="2868"/>
      <c r="AB39" s="2868"/>
      <c r="AC39" s="2868"/>
      <c r="AD39" s="2868"/>
      <c r="AE39" s="2868"/>
      <c r="AF39" s="2868"/>
      <c r="AG39" s="2868"/>
      <c r="AH39" s="2868"/>
      <c r="AI39" s="2868"/>
      <c r="AJ39" s="2868"/>
      <c r="AK39" s="2868"/>
      <c r="AL39" s="2868"/>
      <c r="AM39" s="2868"/>
      <c r="AN39" s="2868"/>
      <c r="AO39" s="2868"/>
      <c r="AP39" s="2868"/>
      <c r="AQ39" s="2868"/>
      <c r="AR39" s="2868"/>
    </row>
    <row r="40" spans="1:67" ht="29.25" thickBot="1">
      <c r="A40" s="3014" t="s">
        <v>3164</v>
      </c>
      <c r="B40" s="1210">
        <f ca="1">IF(A40="利息：取LPR",存贷款利率!G1,存贷款利率!G1+C40)</f>
        <v>4.2000000000000003E-2</v>
      </c>
      <c r="C40" s="3013">
        <v>5.0000000000000001E-3</v>
      </c>
      <c r="D40" s="2868"/>
      <c r="E40" s="2873"/>
      <c r="F40" s="2870"/>
      <c r="G40" s="2870"/>
      <c r="H40" s="2870"/>
      <c r="I40" s="2870"/>
      <c r="J40" s="2870"/>
      <c r="K40" s="2869"/>
      <c r="L40" s="2869"/>
      <c r="M40" s="2868"/>
      <c r="N40" s="2868"/>
      <c r="O40" s="2868"/>
      <c r="P40" s="2868"/>
      <c r="Q40" s="2868"/>
      <c r="R40" s="2868"/>
      <c r="S40" s="2868"/>
      <c r="T40" s="2868"/>
      <c r="U40" s="2868"/>
      <c r="V40" s="2868"/>
      <c r="W40" s="2868"/>
      <c r="X40" s="2868"/>
      <c r="Y40" s="2868"/>
      <c r="Z40" s="2868"/>
      <c r="AA40" s="2868"/>
      <c r="AB40" s="2868"/>
      <c r="AC40" s="2868"/>
      <c r="AD40" s="2868"/>
      <c r="AE40" s="2868"/>
      <c r="AF40" s="2868"/>
      <c r="AG40" s="2868"/>
      <c r="AH40" s="2868"/>
      <c r="AI40" s="2868"/>
      <c r="AJ40" s="2868"/>
      <c r="AK40" s="2868"/>
      <c r="AL40" s="2868"/>
      <c r="AM40" s="2868"/>
      <c r="AN40" s="2868"/>
      <c r="AO40" s="2868"/>
      <c r="AP40" s="2868"/>
      <c r="AQ40" s="2868"/>
      <c r="AR40" s="2868"/>
    </row>
    <row r="41" spans="1:67" ht="14.25">
      <c r="A41" s="1883" t="s">
        <v>1858</v>
      </c>
      <c r="B41" s="121">
        <f>B42+B43</f>
        <v>5.6000000000000001E-2</v>
      </c>
      <c r="C41" s="2875"/>
      <c r="D41" s="2868"/>
      <c r="E41" s="2873"/>
      <c r="F41" s="2870"/>
      <c r="G41" s="2870"/>
      <c r="H41" s="2870"/>
      <c r="I41" s="2870"/>
      <c r="J41" s="2870"/>
      <c r="K41" s="2869"/>
      <c r="L41" s="2869"/>
      <c r="M41" s="2868"/>
      <c r="N41" s="2868"/>
      <c r="O41" s="2868"/>
      <c r="P41" s="2868"/>
      <c r="Q41" s="2868"/>
      <c r="R41" s="2868"/>
      <c r="S41" s="2868"/>
      <c r="T41" s="2868"/>
      <c r="U41" s="2868"/>
      <c r="V41" s="2868"/>
      <c r="W41" s="2868"/>
      <c r="X41" s="2868"/>
      <c r="Y41" s="2868"/>
      <c r="Z41" s="2868"/>
      <c r="AA41" s="2868"/>
      <c r="AB41" s="2868"/>
      <c r="AC41" s="2868"/>
      <c r="AD41" s="2868"/>
      <c r="AE41" s="2868"/>
      <c r="AF41" s="2868"/>
      <c r="AG41" s="2868"/>
      <c r="AH41" s="2868"/>
      <c r="AI41" s="2868"/>
      <c r="AJ41" s="2868"/>
      <c r="AK41" s="2868"/>
      <c r="AL41" s="2868"/>
      <c r="AM41" s="2868"/>
      <c r="AN41" s="2868"/>
      <c r="AO41" s="2868"/>
      <c r="AP41" s="2868"/>
      <c r="AQ41" s="2868"/>
      <c r="AR41" s="2868"/>
    </row>
    <row r="42" spans="1:67" ht="14.25">
      <c r="A42" s="1889" t="s">
        <v>1859</v>
      </c>
      <c r="B42" s="122">
        <v>0.05</v>
      </c>
      <c r="C42" s="2880">
        <f>IF(B2&lt;DATE(2016,5,1),0,B42)</f>
        <v>0.05</v>
      </c>
      <c r="D42" s="2873"/>
      <c r="E42" s="2870"/>
      <c r="F42" s="2870"/>
      <c r="G42" s="2870"/>
      <c r="H42" s="2870"/>
      <c r="I42" s="2870"/>
      <c r="J42" s="2870"/>
      <c r="K42" s="2869"/>
      <c r="L42" s="2869"/>
      <c r="M42" s="2868"/>
      <c r="N42" s="2868"/>
      <c r="O42" s="2868"/>
      <c r="P42" s="2868"/>
      <c r="Q42" s="2868"/>
      <c r="R42" s="2868"/>
      <c r="S42" s="2868"/>
      <c r="T42" s="2868"/>
      <c r="U42" s="2868"/>
      <c r="V42" s="2868"/>
      <c r="W42" s="2868"/>
      <c r="X42" s="2868"/>
      <c r="Y42" s="2868"/>
      <c r="Z42" s="2868"/>
      <c r="AA42" s="2868"/>
      <c r="AB42" s="2868"/>
      <c r="AC42" s="2868"/>
      <c r="AD42" s="2868"/>
      <c r="AE42" s="2868"/>
      <c r="AF42" s="2868"/>
      <c r="AG42" s="2868"/>
      <c r="AH42" s="2868"/>
      <c r="AI42" s="2868"/>
      <c r="AJ42" s="2868"/>
      <c r="AK42" s="2868"/>
      <c r="AL42" s="2868"/>
      <c r="AM42" s="2868"/>
      <c r="AN42" s="2868"/>
      <c r="AO42" s="2868"/>
      <c r="AP42" s="2868"/>
      <c r="AQ42" s="2868"/>
      <c r="AR42" s="2868"/>
    </row>
    <row r="43" spans="1:67" ht="14.25">
      <c r="A43" s="1889" t="s">
        <v>1860</v>
      </c>
      <c r="B43" s="123">
        <f>B42*(B44+B45+B46)+B47</f>
        <v>6.000000000000001E-3</v>
      </c>
      <c r="C43" s="2875"/>
      <c r="D43" s="2873"/>
      <c r="E43" s="2870"/>
      <c r="F43" s="2870"/>
      <c r="G43" s="2870"/>
      <c r="H43" s="2870"/>
      <c r="I43" s="2870"/>
      <c r="J43" s="2870"/>
      <c r="K43" s="2869"/>
      <c r="L43" s="2869"/>
      <c r="M43" s="2868"/>
      <c r="N43" s="2868"/>
      <c r="O43" s="2868"/>
      <c r="P43" s="2868"/>
      <c r="Q43" s="2868"/>
      <c r="R43" s="2868"/>
      <c r="S43" s="2868"/>
      <c r="T43" s="2868"/>
      <c r="U43" s="2868"/>
      <c r="V43" s="2868"/>
      <c r="W43" s="2868"/>
      <c r="X43" s="2868"/>
      <c r="Y43" s="2868"/>
      <c r="Z43" s="2868"/>
      <c r="AA43" s="2868"/>
      <c r="AB43" s="2868"/>
      <c r="AC43" s="2868"/>
      <c r="AD43" s="2868"/>
      <c r="AE43" s="2868"/>
      <c r="AF43" s="2868"/>
      <c r="AG43" s="2868"/>
      <c r="AH43" s="2868"/>
      <c r="AI43" s="2868"/>
      <c r="AJ43" s="2868"/>
      <c r="AK43" s="2868"/>
      <c r="AL43" s="2868"/>
      <c r="AM43" s="2868"/>
      <c r="AN43" s="2868"/>
      <c r="AO43" s="2868"/>
      <c r="AP43" s="2868"/>
      <c r="AQ43" s="2868"/>
      <c r="AR43" s="2868"/>
    </row>
    <row r="44" spans="1:67" ht="14.25">
      <c r="A44" s="1890" t="s">
        <v>1861</v>
      </c>
      <c r="B44" s="124">
        <v>7.0000000000000007E-2</v>
      </c>
      <c r="C44" s="3002" t="s">
        <v>2994</v>
      </c>
      <c r="D44" s="2873"/>
      <c r="E44" s="2870"/>
      <c r="F44" s="2870"/>
      <c r="G44" s="2870"/>
      <c r="H44" s="2870"/>
      <c r="I44" s="2870"/>
      <c r="J44" s="2870"/>
      <c r="K44" s="2869"/>
      <c r="L44" s="2869"/>
      <c r="M44" s="2868"/>
      <c r="N44" s="2868"/>
      <c r="O44" s="2868"/>
      <c r="P44" s="2868"/>
      <c r="Q44" s="2868"/>
      <c r="R44" s="2868"/>
      <c r="S44" s="2868"/>
      <c r="T44" s="2868"/>
      <c r="U44" s="2868"/>
      <c r="V44" s="2868"/>
      <c r="W44" s="2868"/>
      <c r="X44" s="2868"/>
      <c r="Y44" s="2868"/>
      <c r="Z44" s="2868"/>
      <c r="AA44" s="2868"/>
      <c r="AB44" s="2868"/>
      <c r="AC44" s="2868"/>
      <c r="AD44" s="2868"/>
      <c r="AE44" s="2868"/>
      <c r="AF44" s="2868"/>
      <c r="AG44" s="2868"/>
      <c r="AH44" s="2868"/>
      <c r="AI44" s="2868"/>
      <c r="AJ44" s="2868"/>
      <c r="AK44" s="2868"/>
      <c r="AL44" s="2868"/>
      <c r="AM44" s="2868"/>
      <c r="AN44" s="2868"/>
      <c r="AO44" s="2868"/>
      <c r="AP44" s="2868"/>
      <c r="AQ44" s="2868"/>
      <c r="AR44" s="2868"/>
    </row>
    <row r="45" spans="1:67" ht="14.25">
      <c r="A45" s="1890" t="s">
        <v>1862</v>
      </c>
      <c r="B45" s="122">
        <v>0.03</v>
      </c>
      <c r="C45" s="3001" t="s">
        <v>2986</v>
      </c>
      <c r="D45" s="2873"/>
      <c r="E45" s="2870"/>
      <c r="F45" s="2870"/>
      <c r="G45" s="2870"/>
      <c r="H45" s="2870"/>
      <c r="I45" s="2870"/>
      <c r="J45" s="2870"/>
      <c r="K45" s="2869"/>
      <c r="L45" s="2869"/>
      <c r="M45" s="2868"/>
      <c r="N45" s="2868"/>
      <c r="O45" s="2868"/>
      <c r="P45" s="2868"/>
      <c r="Q45" s="2868"/>
      <c r="R45" s="2868"/>
      <c r="S45" s="2868"/>
      <c r="T45" s="2868"/>
      <c r="U45" s="2868"/>
      <c r="V45" s="2868"/>
      <c r="W45" s="2868"/>
      <c r="X45" s="2868"/>
      <c r="Y45" s="2868"/>
      <c r="Z45" s="2868"/>
      <c r="AA45" s="2868"/>
      <c r="AB45" s="2868"/>
      <c r="AC45" s="2868"/>
      <c r="AD45" s="2868"/>
      <c r="AE45" s="2868"/>
      <c r="AF45" s="2868"/>
      <c r="AG45" s="2868"/>
      <c r="AH45" s="2868"/>
      <c r="AI45" s="2868"/>
      <c r="AJ45" s="2868"/>
      <c r="AK45" s="2868"/>
      <c r="AL45" s="2868"/>
      <c r="AM45" s="2868"/>
      <c r="AN45" s="2868"/>
      <c r="AO45" s="2868"/>
      <c r="AP45" s="2868"/>
      <c r="AQ45" s="2868"/>
      <c r="AR45" s="2868"/>
    </row>
    <row r="46" spans="1:67" ht="14.25">
      <c r="A46" s="1890" t="s">
        <v>1863</v>
      </c>
      <c r="B46" s="122">
        <v>0.02</v>
      </c>
      <c r="C46" s="3001" t="s">
        <v>2987</v>
      </c>
      <c r="D46" s="2873"/>
      <c r="E46" s="2870"/>
      <c r="F46" s="2870"/>
      <c r="G46" s="2870"/>
      <c r="H46" s="2870"/>
      <c r="I46" s="2870"/>
      <c r="J46" s="2870"/>
      <c r="K46" s="2869"/>
      <c r="L46" s="2869"/>
      <c r="M46" s="2868"/>
      <c r="N46" s="2868"/>
      <c r="O46" s="2868"/>
      <c r="P46" s="2868"/>
      <c r="Q46" s="2868"/>
      <c r="R46" s="2868"/>
      <c r="S46" s="2868"/>
      <c r="T46" s="2868"/>
      <c r="U46" s="2868"/>
      <c r="V46" s="2868"/>
      <c r="W46" s="2868"/>
      <c r="X46" s="2868"/>
      <c r="Y46" s="2868"/>
      <c r="Z46" s="2868"/>
      <c r="AA46" s="2868"/>
      <c r="AB46" s="2868"/>
      <c r="AC46" s="2868"/>
      <c r="AD46" s="2868"/>
      <c r="AE46" s="2868"/>
      <c r="AF46" s="2868"/>
      <c r="AG46" s="2868"/>
      <c r="AH46" s="2868"/>
      <c r="AI46" s="2868"/>
      <c r="AJ46" s="2868"/>
      <c r="AK46" s="2868"/>
      <c r="AL46" s="2868"/>
      <c r="AM46" s="2868"/>
      <c r="AN46" s="2868"/>
      <c r="AO46" s="2868"/>
      <c r="AP46" s="2868"/>
      <c r="AQ46" s="2868"/>
      <c r="AR46" s="2868"/>
    </row>
    <row r="47" spans="1:67" ht="15" thickBot="1">
      <c r="A47" s="1891" t="s">
        <v>1864</v>
      </c>
      <c r="B47" s="125"/>
      <c r="C47" s="3004" t="s">
        <v>2995</v>
      </c>
      <c r="D47" s="2873"/>
      <c r="E47" s="2870"/>
      <c r="F47" s="2870"/>
      <c r="G47" s="2870"/>
      <c r="H47" s="2870"/>
      <c r="I47" s="2870"/>
      <c r="J47" s="2870"/>
      <c r="K47" s="2869"/>
      <c r="L47" s="2869"/>
      <c r="M47" s="2868"/>
      <c r="N47" s="2868"/>
      <c r="O47" s="2868"/>
      <c r="P47" s="2868"/>
      <c r="Q47" s="2868"/>
      <c r="R47" s="2868"/>
      <c r="S47" s="2868"/>
      <c r="T47" s="2868"/>
      <c r="U47" s="2868"/>
      <c r="V47" s="2868"/>
      <c r="W47" s="2868"/>
      <c r="X47" s="2868"/>
      <c r="Y47" s="2868"/>
      <c r="Z47" s="2868"/>
      <c r="AA47" s="2868"/>
      <c r="AB47" s="2868"/>
      <c r="AC47" s="2868"/>
      <c r="AD47" s="2868"/>
      <c r="AE47" s="2868"/>
      <c r="AF47" s="2868"/>
      <c r="AG47" s="2868"/>
      <c r="AH47" s="2868"/>
      <c r="AI47" s="2868"/>
      <c r="AJ47" s="2868"/>
      <c r="AK47" s="2868"/>
      <c r="AL47" s="2868"/>
      <c r="AM47" s="2868"/>
      <c r="AN47" s="2868"/>
      <c r="AO47" s="2868"/>
      <c r="AP47" s="2868"/>
      <c r="AQ47" s="2868"/>
      <c r="AR47" s="2868"/>
    </row>
    <row r="48" spans="1:67" ht="14.25">
      <c r="A48" s="1892" t="s">
        <v>1865</v>
      </c>
      <c r="B48" s="126">
        <v>0.03</v>
      </c>
      <c r="C48" s="3001" t="s">
        <v>2986</v>
      </c>
      <c r="D48" s="2873"/>
      <c r="E48" s="2870"/>
      <c r="F48" s="2870"/>
      <c r="G48" s="2870"/>
      <c r="H48" s="2870"/>
      <c r="I48" s="2870"/>
      <c r="J48" s="2870"/>
      <c r="K48" s="2869"/>
      <c r="L48" s="2869"/>
      <c r="M48" s="2868"/>
      <c r="N48" s="2868"/>
      <c r="O48" s="2868"/>
      <c r="P48" s="2868"/>
      <c r="Q48" s="2868"/>
      <c r="R48" s="2868"/>
      <c r="S48" s="2868"/>
      <c r="T48" s="2868"/>
      <c r="U48" s="2868"/>
      <c r="V48" s="2868"/>
      <c r="W48" s="2868"/>
      <c r="X48" s="2868"/>
      <c r="Y48" s="2868"/>
      <c r="Z48" s="2868"/>
      <c r="AA48" s="2868"/>
      <c r="AB48" s="2868"/>
      <c r="AC48" s="2868"/>
      <c r="AD48" s="2868"/>
      <c r="AE48" s="2868"/>
      <c r="AF48" s="2868"/>
      <c r="AG48" s="2868"/>
      <c r="AH48" s="2868"/>
      <c r="AI48" s="2868"/>
      <c r="AJ48" s="2868"/>
      <c r="AK48" s="2868"/>
      <c r="AL48" s="2868"/>
      <c r="AM48" s="2868"/>
      <c r="AN48" s="2868"/>
      <c r="AO48" s="2868"/>
      <c r="AP48" s="2868"/>
      <c r="AQ48" s="2868"/>
      <c r="AR48" s="2868"/>
    </row>
    <row r="49" spans="1:44" ht="15" thickBot="1">
      <c r="A49" s="1888" t="s">
        <v>1866</v>
      </c>
      <c r="B49" s="122">
        <v>5.0000000000000001E-4</v>
      </c>
      <c r="C49" s="3001" t="s">
        <v>2988</v>
      </c>
      <c r="D49" s="2873"/>
      <c r="E49" s="2870"/>
      <c r="F49" s="2870"/>
      <c r="G49" s="2870"/>
      <c r="H49" s="2870"/>
      <c r="I49" s="2870"/>
      <c r="J49" s="2870"/>
      <c r="K49" s="2869"/>
      <c r="L49" s="2869"/>
      <c r="M49" s="2868"/>
      <c r="N49" s="2868"/>
      <c r="O49" s="2868"/>
      <c r="P49" s="2868"/>
      <c r="Q49" s="2868"/>
      <c r="R49" s="2868"/>
      <c r="S49" s="2868"/>
      <c r="T49" s="2868"/>
      <c r="U49" s="2868"/>
      <c r="V49" s="2868"/>
      <c r="W49" s="2868"/>
      <c r="X49" s="2868"/>
      <c r="Y49" s="2868"/>
      <c r="Z49" s="2868"/>
      <c r="AA49" s="2868"/>
      <c r="AB49" s="2868"/>
      <c r="AC49" s="2868"/>
      <c r="AD49" s="2868"/>
      <c r="AE49" s="2868"/>
      <c r="AF49" s="2868"/>
      <c r="AG49" s="2868"/>
      <c r="AH49" s="2868"/>
      <c r="AI49" s="2868"/>
      <c r="AJ49" s="2868"/>
      <c r="AK49" s="2868"/>
      <c r="AL49" s="2868"/>
      <c r="AM49" s="2868"/>
      <c r="AN49" s="2868"/>
      <c r="AO49" s="2868"/>
      <c r="AP49" s="2868"/>
      <c r="AQ49" s="2868"/>
      <c r="AR49" s="2868"/>
    </row>
    <row r="50" spans="1:44" ht="14.25">
      <c r="A50" s="1893" t="s">
        <v>1867</v>
      </c>
      <c r="B50" s="127">
        <v>1.2E-2</v>
      </c>
      <c r="C50" s="2856"/>
      <c r="D50" s="2873"/>
      <c r="E50" s="2870"/>
      <c r="F50" s="2870"/>
      <c r="G50" s="2870"/>
      <c r="H50" s="2870"/>
      <c r="I50" s="2870"/>
      <c r="J50" s="2870"/>
      <c r="K50" s="2869"/>
      <c r="L50" s="2869"/>
      <c r="M50" s="2868"/>
      <c r="N50" s="2868"/>
      <c r="O50" s="2868"/>
      <c r="P50" s="2868"/>
      <c r="Q50" s="2868"/>
      <c r="R50" s="2868"/>
      <c r="S50" s="2868"/>
      <c r="T50" s="2868"/>
      <c r="U50" s="2868"/>
      <c r="V50" s="2868"/>
      <c r="W50" s="2868"/>
      <c r="X50" s="2868"/>
      <c r="Y50" s="2868"/>
      <c r="Z50" s="2868"/>
      <c r="AA50" s="2868"/>
      <c r="AB50" s="2868"/>
      <c r="AC50" s="2868"/>
      <c r="AD50" s="2868"/>
      <c r="AE50" s="2868"/>
      <c r="AF50" s="2868"/>
      <c r="AG50" s="2868"/>
      <c r="AH50" s="2868"/>
      <c r="AI50" s="2868"/>
      <c r="AJ50" s="2868"/>
      <c r="AK50" s="2868"/>
      <c r="AL50" s="2868"/>
      <c r="AM50" s="2868"/>
      <c r="AN50" s="2868"/>
      <c r="AO50" s="2868"/>
      <c r="AP50" s="2868"/>
      <c r="AQ50" s="2868"/>
      <c r="AR50" s="2868"/>
    </row>
    <row r="51" spans="1:44" ht="15" thickBot="1">
      <c r="A51" s="1886" t="s">
        <v>1868</v>
      </c>
      <c r="B51" s="128">
        <v>0.12</v>
      </c>
      <c r="C51" s="2856"/>
      <c r="D51" s="2873"/>
      <c r="E51" s="2870"/>
      <c r="F51" s="2870"/>
      <c r="G51" s="2870"/>
      <c r="H51" s="2870"/>
      <c r="I51" s="2870"/>
      <c r="J51" s="2870"/>
      <c r="K51" s="2869"/>
      <c r="L51" s="2869"/>
      <c r="M51" s="2868"/>
      <c r="N51" s="2868"/>
      <c r="O51" s="2868"/>
      <c r="P51" s="2868"/>
      <c r="Q51" s="2868"/>
      <c r="R51" s="2868"/>
      <c r="S51" s="2868"/>
      <c r="T51" s="2868"/>
      <c r="U51" s="2868"/>
      <c r="V51" s="2868"/>
      <c r="W51" s="2868"/>
      <c r="X51" s="2868"/>
      <c r="Y51" s="2868"/>
      <c r="Z51" s="2868"/>
      <c r="AA51" s="2868"/>
      <c r="AB51" s="2868"/>
      <c r="AC51" s="2868"/>
      <c r="AD51" s="2868"/>
      <c r="AE51" s="2868"/>
      <c r="AF51" s="2868"/>
      <c r="AG51" s="2868"/>
      <c r="AH51" s="2868"/>
      <c r="AI51" s="2868"/>
      <c r="AJ51" s="2868"/>
      <c r="AK51" s="2868"/>
      <c r="AL51" s="2868"/>
      <c r="AM51" s="2868"/>
      <c r="AN51" s="2868"/>
      <c r="AO51" s="2868"/>
      <c r="AP51" s="2868"/>
      <c r="AQ51" s="2868"/>
      <c r="AR51" s="2868"/>
    </row>
    <row r="52" spans="1:44" ht="14.25">
      <c r="A52" s="1893" t="s">
        <v>1869</v>
      </c>
      <c r="B52" s="129">
        <f>SUMIF(A54:A63,B53,B54:B63)</f>
        <v>24</v>
      </c>
      <c r="C52" s="2856"/>
      <c r="D52" s="2873"/>
      <c r="E52" s="2870"/>
      <c r="F52" s="2870"/>
      <c r="G52" s="2870"/>
      <c r="H52" s="2870"/>
      <c r="I52" s="2870"/>
      <c r="J52" s="2870"/>
      <c r="K52" s="2869"/>
      <c r="L52" s="2869"/>
      <c r="M52" s="2868"/>
      <c r="N52" s="2868"/>
      <c r="O52" s="2868"/>
      <c r="P52" s="2868"/>
      <c r="Q52" s="2868"/>
      <c r="R52" s="2868"/>
      <c r="S52" s="2868"/>
      <c r="T52" s="2868"/>
      <c r="U52" s="2868"/>
      <c r="V52" s="2868"/>
      <c r="W52" s="2868"/>
      <c r="X52" s="2868"/>
      <c r="Y52" s="2868"/>
      <c r="Z52" s="2868"/>
      <c r="AA52" s="2868"/>
      <c r="AB52" s="2868"/>
      <c r="AC52" s="2868"/>
      <c r="AD52" s="2868"/>
      <c r="AE52" s="2868"/>
      <c r="AF52" s="2868"/>
      <c r="AG52" s="2868"/>
      <c r="AH52" s="2868"/>
      <c r="AI52" s="2868"/>
      <c r="AJ52" s="2868"/>
      <c r="AK52" s="2868"/>
      <c r="AL52" s="2868"/>
      <c r="AM52" s="2868"/>
      <c r="AN52" s="2868"/>
      <c r="AO52" s="2868"/>
      <c r="AP52" s="2868"/>
      <c r="AQ52" s="2868"/>
      <c r="AR52" s="2868"/>
    </row>
    <row r="53" spans="1:44" ht="27">
      <c r="A53" s="1885" t="s">
        <v>1870</v>
      </c>
      <c r="B53" s="1894" t="s">
        <v>269</v>
      </c>
      <c r="C53" s="2856" t="s">
        <v>1871</v>
      </c>
      <c r="D53" s="3003" t="s">
        <v>2992</v>
      </c>
      <c r="E53" s="2870"/>
      <c r="F53" s="2870"/>
      <c r="G53" s="2870"/>
      <c r="H53" s="2870"/>
      <c r="I53" s="2870"/>
      <c r="J53" s="2870"/>
      <c r="K53" s="2869"/>
      <c r="L53" s="2869"/>
      <c r="M53" s="2868"/>
      <c r="N53" s="2868"/>
      <c r="O53" s="2868"/>
      <c r="P53" s="2868"/>
      <c r="Q53" s="2868"/>
      <c r="R53" s="2868"/>
      <c r="S53" s="2868"/>
      <c r="T53" s="2868"/>
      <c r="U53" s="2868"/>
      <c r="V53" s="2868"/>
      <c r="W53" s="2868"/>
      <c r="X53" s="2868"/>
      <c r="Y53" s="2868"/>
      <c r="Z53" s="2868"/>
      <c r="AA53" s="2868"/>
      <c r="AB53" s="2868"/>
      <c r="AC53" s="2868"/>
      <c r="AD53" s="2868"/>
      <c r="AE53" s="2868"/>
      <c r="AF53" s="2868"/>
      <c r="AG53" s="2868"/>
      <c r="AH53" s="2868"/>
      <c r="AI53" s="2868"/>
      <c r="AJ53" s="2868"/>
      <c r="AK53" s="2868"/>
      <c r="AL53" s="2868"/>
      <c r="AM53" s="2868"/>
      <c r="AN53" s="2868"/>
      <c r="AO53" s="2868"/>
      <c r="AP53" s="2868"/>
      <c r="AQ53" s="2868"/>
      <c r="AR53" s="2868"/>
    </row>
    <row r="54" spans="1:44" ht="14.25">
      <c r="A54" s="1895" t="s">
        <v>1872</v>
      </c>
      <c r="B54" s="80">
        <v>30</v>
      </c>
      <c r="C54" s="2856">
        <v>30</v>
      </c>
      <c r="D54" s="2873"/>
      <c r="E54" s="2870"/>
      <c r="F54" s="2870"/>
      <c r="G54" s="2870"/>
      <c r="H54" s="2870"/>
      <c r="I54" s="2870"/>
      <c r="J54" s="2870"/>
      <c r="K54" s="2869"/>
      <c r="L54" s="2869"/>
      <c r="M54" s="2868"/>
      <c r="N54" s="2868"/>
      <c r="O54" s="2868"/>
      <c r="P54" s="2868"/>
      <c r="Q54" s="2868"/>
      <c r="R54" s="2868"/>
      <c r="S54" s="2868"/>
      <c r="T54" s="2868"/>
      <c r="U54" s="2868"/>
      <c r="V54" s="2868"/>
      <c r="W54" s="2868"/>
      <c r="X54" s="2868"/>
      <c r="Y54" s="2868"/>
      <c r="Z54" s="2868"/>
      <c r="AA54" s="2868"/>
      <c r="AB54" s="2868"/>
      <c r="AC54" s="2868"/>
      <c r="AD54" s="2868"/>
      <c r="AE54" s="2868"/>
      <c r="AF54" s="2868"/>
      <c r="AG54" s="2868"/>
      <c r="AH54" s="2868"/>
      <c r="AI54" s="2868"/>
      <c r="AJ54" s="2868"/>
      <c r="AK54" s="2868"/>
      <c r="AL54" s="2868"/>
      <c r="AM54" s="2868"/>
      <c r="AN54" s="2868"/>
      <c r="AO54" s="2868"/>
      <c r="AP54" s="2868"/>
      <c r="AQ54" s="2868"/>
      <c r="AR54" s="2868"/>
    </row>
    <row r="55" spans="1:44" ht="14.25">
      <c r="A55" s="1895" t="s">
        <v>1873</v>
      </c>
      <c r="B55" s="80">
        <v>24</v>
      </c>
      <c r="C55" s="2856">
        <v>24</v>
      </c>
      <c r="D55" s="2873"/>
      <c r="E55" s="2870"/>
      <c r="F55" s="2870"/>
      <c r="G55" s="2870"/>
      <c r="H55" s="2870"/>
      <c r="I55" s="2871"/>
      <c r="J55" s="2870"/>
      <c r="K55" s="2869"/>
      <c r="L55" s="2869"/>
      <c r="M55" s="2868"/>
      <c r="N55" s="2868"/>
      <c r="O55" s="2868"/>
      <c r="P55" s="2868"/>
      <c r="Q55" s="2868"/>
      <c r="R55" s="2868"/>
      <c r="S55" s="2868"/>
      <c r="T55" s="2868"/>
      <c r="U55" s="2868"/>
      <c r="V55" s="2868"/>
      <c r="W55" s="2868"/>
      <c r="X55" s="2868"/>
      <c r="Y55" s="2868"/>
      <c r="Z55" s="2868"/>
      <c r="AA55" s="2868"/>
      <c r="AB55" s="2868"/>
      <c r="AC55" s="2868"/>
      <c r="AD55" s="2868"/>
      <c r="AE55" s="2868"/>
      <c r="AF55" s="2868"/>
      <c r="AG55" s="2868"/>
      <c r="AH55" s="2868"/>
      <c r="AI55" s="2868"/>
      <c r="AJ55" s="2868"/>
      <c r="AK55" s="2868"/>
      <c r="AL55" s="2868"/>
      <c r="AM55" s="2868"/>
      <c r="AN55" s="2868"/>
      <c r="AO55" s="2868"/>
      <c r="AP55" s="2868"/>
      <c r="AQ55" s="2868"/>
      <c r="AR55" s="2868"/>
    </row>
    <row r="56" spans="1:44" ht="14.25">
      <c r="A56" s="1895" t="s">
        <v>1874</v>
      </c>
      <c r="B56" s="80">
        <v>18</v>
      </c>
      <c r="C56" s="2856">
        <v>18</v>
      </c>
      <c r="D56" s="2873"/>
      <c r="E56" s="2870"/>
      <c r="F56" s="2870"/>
      <c r="G56" s="2870"/>
      <c r="H56" s="2870"/>
      <c r="I56" s="2870"/>
      <c r="J56" s="2870"/>
      <c r="K56" s="2869"/>
      <c r="L56" s="2869"/>
      <c r="M56" s="2868"/>
      <c r="N56" s="2868"/>
      <c r="O56" s="2868"/>
      <c r="P56" s="2868"/>
      <c r="Q56" s="2868"/>
      <c r="R56" s="2868"/>
      <c r="S56" s="2868"/>
      <c r="T56" s="2868"/>
      <c r="U56" s="2868"/>
      <c r="V56" s="2868"/>
      <c r="W56" s="2868"/>
      <c r="X56" s="2868"/>
      <c r="Y56" s="2868"/>
      <c r="Z56" s="2868"/>
      <c r="AA56" s="2868"/>
      <c r="AB56" s="2868"/>
      <c r="AC56" s="2868"/>
      <c r="AD56" s="2868"/>
      <c r="AE56" s="2868"/>
      <c r="AF56" s="2868"/>
      <c r="AG56" s="2868"/>
      <c r="AH56" s="2868"/>
      <c r="AI56" s="2868"/>
      <c r="AJ56" s="2868"/>
      <c r="AK56" s="2868"/>
      <c r="AL56" s="2868"/>
      <c r="AM56" s="2868"/>
      <c r="AN56" s="2868"/>
      <c r="AO56" s="2868"/>
      <c r="AP56" s="2868"/>
      <c r="AQ56" s="2868"/>
      <c r="AR56" s="2868"/>
    </row>
    <row r="57" spans="1:44" ht="14.25">
      <c r="A57" s="1895" t="s">
        <v>1875</v>
      </c>
      <c r="B57" s="80">
        <v>12</v>
      </c>
      <c r="C57" s="2856">
        <v>12</v>
      </c>
      <c r="D57" s="2873"/>
      <c r="E57" s="2870"/>
      <c r="F57" s="2870"/>
      <c r="G57" s="2870"/>
      <c r="H57" s="2870"/>
      <c r="I57" s="2870"/>
      <c r="J57" s="2870"/>
      <c r="K57" s="2869"/>
      <c r="L57" s="2869"/>
      <c r="M57" s="286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row>
    <row r="58" spans="1:44" ht="14.25">
      <c r="A58" s="1895" t="s">
        <v>1876</v>
      </c>
      <c r="B58" s="80">
        <v>3</v>
      </c>
      <c r="C58" s="2856">
        <v>3</v>
      </c>
      <c r="D58" s="2873"/>
      <c r="E58" s="2870"/>
      <c r="F58" s="2870"/>
      <c r="G58" s="2870"/>
      <c r="H58" s="2870"/>
      <c r="I58" s="2870"/>
      <c r="J58" s="2870"/>
      <c r="K58" s="2869"/>
      <c r="L58" s="2869"/>
      <c r="M58" s="286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row>
    <row r="59" spans="1:44" ht="14.25">
      <c r="A59" s="1895" t="s">
        <v>1877</v>
      </c>
      <c r="B59" s="80">
        <v>1.5</v>
      </c>
      <c r="C59" s="2856">
        <v>1.5</v>
      </c>
      <c r="D59" s="2873"/>
      <c r="E59" s="2870"/>
      <c r="F59" s="2870"/>
      <c r="G59" s="2870"/>
      <c r="H59" s="2870"/>
      <c r="I59" s="2870"/>
      <c r="J59" s="2870"/>
      <c r="K59" s="2869"/>
      <c r="L59" s="2869"/>
      <c r="M59" s="286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row>
    <row r="60" spans="1:44" ht="14.25">
      <c r="A60" s="1895" t="s">
        <v>1878</v>
      </c>
      <c r="B60" s="80"/>
      <c r="C60" s="2870"/>
      <c r="D60" s="2873"/>
      <c r="E60" s="2870"/>
      <c r="F60" s="2870"/>
      <c r="G60" s="2870"/>
      <c r="H60" s="2870"/>
      <c r="I60" s="2870"/>
      <c r="J60" s="2870"/>
      <c r="K60" s="2869"/>
      <c r="L60" s="2869"/>
      <c r="M60" s="286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row>
    <row r="61" spans="1:44" ht="14.25">
      <c r="A61" s="1895" t="s">
        <v>1879</v>
      </c>
      <c r="B61" s="80"/>
      <c r="C61" s="2870"/>
      <c r="D61" s="2873"/>
      <c r="E61" s="2870"/>
      <c r="F61" s="2870"/>
      <c r="G61" s="2870"/>
      <c r="H61" s="2870"/>
      <c r="I61" s="2870"/>
      <c r="J61" s="2870"/>
      <c r="K61" s="2869"/>
      <c r="L61" s="2869"/>
      <c r="M61" s="286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row>
    <row r="62" spans="1:44" ht="14.25">
      <c r="A62" s="1895" t="s">
        <v>1880</v>
      </c>
      <c r="B62" s="80"/>
      <c r="C62" s="2870"/>
      <c r="D62" s="2873"/>
      <c r="E62" s="2870"/>
      <c r="F62" s="2870"/>
      <c r="G62" s="2870"/>
      <c r="H62" s="2870"/>
      <c r="I62" s="2870"/>
      <c r="J62" s="2870"/>
      <c r="K62" s="2869"/>
      <c r="L62" s="2869"/>
      <c r="M62" s="286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row>
    <row r="63" spans="1:44" ht="15" thickBot="1">
      <c r="A63" s="1896" t="s">
        <v>1881</v>
      </c>
      <c r="B63" s="130"/>
      <c r="C63" s="2870"/>
      <c r="D63" s="2873"/>
      <c r="E63" s="2870"/>
      <c r="F63" s="2870"/>
      <c r="G63" s="2870"/>
      <c r="H63" s="2870"/>
      <c r="I63" s="2870"/>
      <c r="J63" s="2870"/>
      <c r="K63" s="2869"/>
      <c r="L63" s="2869"/>
      <c r="M63" s="286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row>
    <row r="64" spans="1:44" s="901" customFormat="1">
      <c r="A64" s="2859"/>
      <c r="B64" s="2868"/>
      <c r="C64" s="2868"/>
      <c r="D64" s="2872"/>
      <c r="E64" s="2868"/>
      <c r="F64" s="2868"/>
      <c r="G64" s="2868"/>
      <c r="H64" s="2868"/>
      <c r="I64" s="2868"/>
      <c r="J64" s="2868"/>
      <c r="K64" s="2869"/>
      <c r="L64" s="2869"/>
      <c r="M64" s="2868"/>
      <c r="N64" s="2868"/>
      <c r="O64" s="2868"/>
      <c r="P64" s="2868"/>
      <c r="Q64" s="2868"/>
      <c r="R64" s="2868"/>
      <c r="S64" s="2868"/>
      <c r="T64" s="2868"/>
      <c r="U64" s="2868"/>
      <c r="V64" s="2868"/>
      <c r="W64" s="2868"/>
      <c r="X64" s="2868"/>
      <c r="Y64" s="2868"/>
      <c r="Z64" s="2868"/>
      <c r="AA64" s="2868"/>
      <c r="AB64" s="2868"/>
      <c r="AC64" s="2868"/>
      <c r="AD64" s="2868"/>
      <c r="AE64" s="2868"/>
      <c r="AF64" s="2868"/>
      <c r="AG64" s="2868"/>
      <c r="AH64" s="2868"/>
      <c r="AI64" s="2868"/>
      <c r="AJ64" s="2868"/>
      <c r="AK64" s="2868"/>
      <c r="AL64" s="2868"/>
      <c r="AM64" s="2868"/>
      <c r="AN64" s="2868"/>
      <c r="AO64" s="2868"/>
      <c r="AP64" s="2868"/>
      <c r="AQ64" s="2868"/>
      <c r="AR64" s="2868"/>
    </row>
    <row r="65" spans="1:44" s="901" customFormat="1">
      <c r="A65" s="2859"/>
      <c r="B65" s="2868"/>
      <c r="C65" s="2868"/>
      <c r="D65" s="2872"/>
      <c r="E65" s="2868"/>
      <c r="F65" s="2868"/>
      <c r="G65" s="2868"/>
      <c r="H65" s="2868"/>
      <c r="I65" s="2868"/>
      <c r="J65" s="2868"/>
      <c r="K65" s="2869"/>
      <c r="L65" s="2869"/>
      <c r="M65" s="2868"/>
      <c r="N65" s="2868"/>
      <c r="O65" s="2868"/>
      <c r="P65" s="2868"/>
      <c r="Q65" s="2868"/>
      <c r="R65" s="2868"/>
      <c r="S65" s="2868"/>
      <c r="T65" s="2868"/>
      <c r="U65" s="2868"/>
      <c r="V65" s="2868"/>
      <c r="W65" s="2868"/>
      <c r="X65" s="2868"/>
      <c r="Y65" s="2868"/>
      <c r="Z65" s="2868"/>
      <c r="AA65" s="2868"/>
      <c r="AB65" s="2868"/>
      <c r="AC65" s="2868"/>
      <c r="AD65" s="2868"/>
      <c r="AE65" s="2868"/>
      <c r="AF65" s="2868"/>
      <c r="AG65" s="2868"/>
      <c r="AH65" s="2868"/>
      <c r="AI65" s="2868"/>
      <c r="AJ65" s="2868"/>
      <c r="AK65" s="2868"/>
      <c r="AL65" s="2868"/>
      <c r="AM65" s="2868"/>
      <c r="AN65" s="2868"/>
      <c r="AO65" s="2868"/>
      <c r="AP65" s="2868"/>
      <c r="AQ65" s="2868"/>
      <c r="AR65" s="2868"/>
    </row>
    <row r="66" spans="1:44" s="901" customFormat="1">
      <c r="A66" s="2859"/>
      <c r="B66" s="2868"/>
      <c r="C66" s="2868"/>
      <c r="D66" s="2872"/>
      <c r="E66" s="2868"/>
      <c r="F66" s="2868"/>
      <c r="G66" s="2868"/>
      <c r="H66" s="2868"/>
      <c r="I66" s="2868"/>
      <c r="J66" s="2868"/>
      <c r="K66" s="2869"/>
      <c r="L66" s="2869"/>
      <c r="M66" s="2868"/>
      <c r="N66" s="2868"/>
      <c r="O66" s="2868"/>
      <c r="P66" s="2868"/>
      <c r="Q66" s="2868"/>
      <c r="R66" s="2868"/>
      <c r="S66" s="2868"/>
      <c r="T66" s="2868"/>
      <c r="U66" s="2868"/>
      <c r="V66" s="2868"/>
      <c r="W66" s="2868"/>
      <c r="X66" s="2868"/>
      <c r="Y66" s="2868"/>
      <c r="Z66" s="2868"/>
      <c r="AA66" s="2868"/>
      <c r="AB66" s="2868"/>
      <c r="AC66" s="2868"/>
      <c r="AD66" s="2868"/>
      <c r="AE66" s="2868"/>
      <c r="AF66" s="2868"/>
      <c r="AG66" s="2868"/>
      <c r="AH66" s="2868"/>
      <c r="AI66" s="2868"/>
      <c r="AJ66" s="2868"/>
      <c r="AK66" s="2868"/>
      <c r="AL66" s="2868"/>
      <c r="AM66" s="2868"/>
      <c r="AN66" s="2868"/>
      <c r="AO66" s="2868"/>
      <c r="AP66" s="2868"/>
      <c r="AQ66" s="2868"/>
      <c r="AR66" s="2868"/>
    </row>
    <row r="67" spans="1:44" s="901" customFormat="1">
      <c r="A67" s="2859"/>
      <c r="B67" s="2868"/>
      <c r="C67" s="2868"/>
      <c r="D67" s="2872"/>
      <c r="E67" s="2868"/>
      <c r="F67" s="2868"/>
      <c r="G67" s="2868"/>
      <c r="H67" s="2868"/>
      <c r="I67" s="2868"/>
      <c r="J67" s="2868"/>
      <c r="K67" s="2869"/>
      <c r="L67" s="2869"/>
      <c r="M67" s="2868"/>
      <c r="N67" s="2868"/>
      <c r="O67" s="2868"/>
      <c r="P67" s="2868"/>
      <c r="Q67" s="2868"/>
      <c r="R67" s="2868"/>
      <c r="S67" s="2868"/>
      <c r="T67" s="2868"/>
      <c r="U67" s="2868"/>
      <c r="V67" s="2868"/>
      <c r="W67" s="2868"/>
      <c r="X67" s="2868"/>
      <c r="Y67" s="2868"/>
      <c r="Z67" s="2868"/>
      <c r="AA67" s="2868"/>
      <c r="AB67" s="2868"/>
      <c r="AC67" s="2868"/>
      <c r="AD67" s="2868"/>
      <c r="AE67" s="2868"/>
      <c r="AF67" s="2868"/>
      <c r="AG67" s="2868"/>
      <c r="AH67" s="2868"/>
      <c r="AI67" s="2868"/>
      <c r="AJ67" s="2868"/>
      <c r="AK67" s="2868"/>
      <c r="AL67" s="2868"/>
      <c r="AM67" s="2868"/>
      <c r="AN67" s="2868"/>
      <c r="AO67" s="2868"/>
      <c r="AP67" s="2868"/>
      <c r="AQ67" s="2868"/>
      <c r="AR67" s="2868"/>
    </row>
    <row r="68" spans="1:44" s="901" customFormat="1">
      <c r="A68" s="2859"/>
      <c r="B68" s="2868"/>
      <c r="C68" s="2868"/>
      <c r="D68" s="2872"/>
      <c r="E68" s="2868"/>
      <c r="F68" s="2868"/>
      <c r="G68" s="2868"/>
      <c r="H68" s="2868"/>
      <c r="I68" s="2868"/>
      <c r="J68" s="2868"/>
      <c r="K68" s="2869"/>
      <c r="L68" s="2869"/>
      <c r="M68" s="2868"/>
      <c r="N68" s="2868"/>
      <c r="O68" s="2868"/>
      <c r="P68" s="2868"/>
      <c r="Q68" s="2868"/>
      <c r="R68" s="2868"/>
      <c r="S68" s="2868"/>
      <c r="T68" s="2868"/>
      <c r="U68" s="2868"/>
      <c r="V68" s="2868"/>
      <c r="W68" s="2868"/>
      <c r="X68" s="2868"/>
      <c r="Y68" s="2868"/>
      <c r="Z68" s="2868"/>
      <c r="AA68" s="2868"/>
      <c r="AB68" s="2868"/>
      <c r="AC68" s="2868"/>
      <c r="AD68" s="2868"/>
      <c r="AE68" s="2868"/>
      <c r="AF68" s="2868"/>
      <c r="AG68" s="2868"/>
      <c r="AH68" s="2868"/>
      <c r="AI68" s="2868"/>
      <c r="AJ68" s="2868"/>
      <c r="AK68" s="2868"/>
      <c r="AL68" s="2868"/>
      <c r="AM68" s="2868"/>
      <c r="AN68" s="2868"/>
      <c r="AO68" s="2868"/>
      <c r="AP68" s="2868"/>
      <c r="AQ68" s="2868"/>
      <c r="AR68" s="2868"/>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42" customWidth="1"/>
    <col min="2" max="2" width="24.5" style="1727" customWidth="1"/>
    <col min="3" max="3" width="24.5" style="2704" customWidth="1"/>
    <col min="4" max="4" width="2.625" style="2704" customWidth="1"/>
    <col min="5" max="5" width="5.875" style="2704" customWidth="1"/>
    <col min="6" max="6" width="27" style="1727" customWidth="1"/>
    <col min="7" max="7" width="27" style="2705" customWidth="1"/>
    <col min="8" max="8" width="11.875" style="2685" customWidth="1"/>
    <col min="9" max="9" width="16.75" style="2686" customWidth="1"/>
    <col min="10" max="10" width="2.625" style="2685" customWidth="1"/>
    <col min="11" max="11" width="11.875" style="2685" customWidth="1"/>
    <col min="12" max="12" width="16.75" style="2686" customWidth="1"/>
    <col min="13" max="13" width="2.625" style="2685" customWidth="1"/>
    <col min="14" max="14" width="11.875" style="2685" customWidth="1"/>
    <col min="15" max="15" width="16.75" style="2686" customWidth="1"/>
    <col min="16" max="16" width="2.625" style="2685" customWidth="1"/>
    <col min="17" max="17" width="11.875" style="2685" customWidth="1"/>
    <col min="18" max="18" width="16.75" style="2687" customWidth="1"/>
    <col min="19" max="29" width="9" style="907"/>
    <col min="30" max="16384" width="9" style="1842"/>
  </cols>
  <sheetData>
    <row r="1" spans="1:29" s="2651" customFormat="1" ht="18.75" thickBot="1">
      <c r="A1" s="3303" t="s">
        <v>2972</v>
      </c>
      <c r="B1" s="3304"/>
      <c r="C1" s="3304"/>
      <c r="D1" s="3304"/>
      <c r="E1" s="3304"/>
      <c r="F1" s="3304"/>
      <c r="G1" s="3304"/>
      <c r="H1" s="2646"/>
      <c r="I1" s="2647"/>
      <c r="J1" s="2646"/>
      <c r="K1" s="2646"/>
      <c r="L1" s="2647"/>
      <c r="M1" s="2646"/>
      <c r="N1" s="2646"/>
      <c r="O1" s="2647"/>
      <c r="P1" s="2646"/>
      <c r="Q1" s="2648"/>
      <c r="R1" s="2649"/>
      <c r="S1" s="2650"/>
      <c r="T1" s="2650"/>
      <c r="U1" s="2650"/>
      <c r="V1" s="2650"/>
      <c r="W1" s="2650"/>
      <c r="X1" s="2650"/>
      <c r="Y1" s="2650"/>
      <c r="Z1" s="2650"/>
      <c r="AA1" s="2650"/>
      <c r="AB1" s="2650"/>
      <c r="AC1" s="2650"/>
    </row>
    <row r="2" spans="1:29" ht="15" thickBot="1">
      <c r="A2" s="2652"/>
      <c r="B2" s="2653"/>
      <c r="C2" s="2654" t="s">
        <v>2967</v>
      </c>
      <c r="D2" s="2655"/>
      <c r="E2" s="2652"/>
      <c r="F2" s="2656"/>
      <c r="G2" s="2654" t="s">
        <v>2968</v>
      </c>
      <c r="H2" s="907"/>
      <c r="I2" s="907"/>
      <c r="J2" s="907"/>
      <c r="K2" s="907"/>
      <c r="L2" s="907"/>
      <c r="M2" s="907"/>
      <c r="N2" s="907"/>
      <c r="O2" s="907"/>
      <c r="P2" s="907"/>
      <c r="Q2" s="907"/>
      <c r="R2" s="907"/>
    </row>
    <row r="3" spans="1:29" ht="48">
      <c r="A3" s="2635" t="s">
        <v>2969</v>
      </c>
      <c r="B3" s="2657" t="s">
        <v>2938</v>
      </c>
      <c r="C3" s="2658" t="s">
        <v>2970</v>
      </c>
      <c r="D3" s="2659"/>
      <c r="E3" s="2636" t="s">
        <v>2969</v>
      </c>
      <c r="F3" s="2660" t="s">
        <v>2939</v>
      </c>
      <c r="G3" s="2661" t="s">
        <v>2971</v>
      </c>
      <c r="H3" s="907"/>
      <c r="I3" s="907"/>
      <c r="J3" s="907"/>
      <c r="K3" s="907"/>
      <c r="L3" s="907"/>
      <c r="M3" s="907"/>
      <c r="N3" s="907"/>
      <c r="O3" s="907"/>
      <c r="P3" s="907"/>
      <c r="Q3" s="907"/>
      <c r="R3" s="907"/>
    </row>
    <row r="4" spans="1:29" ht="36.75">
      <c r="A4" s="2636"/>
      <c r="B4" s="329" t="s">
        <v>2940</v>
      </c>
      <c r="C4" s="2662" t="s">
        <v>2941</v>
      </c>
      <c r="D4" s="2659"/>
      <c r="E4" s="2663"/>
      <c r="F4" s="1527" t="s">
        <v>2942</v>
      </c>
      <c r="G4" s="2664" t="s">
        <v>2943</v>
      </c>
      <c r="H4" s="907"/>
      <c r="I4" s="907"/>
      <c r="J4" s="907"/>
      <c r="K4" s="907"/>
      <c r="L4" s="907"/>
      <c r="M4" s="907"/>
      <c r="N4" s="907"/>
      <c r="O4" s="907"/>
      <c r="P4" s="907"/>
      <c r="Q4" s="907"/>
      <c r="R4" s="907"/>
    </row>
    <row r="5" spans="1:29" ht="36.75">
      <c r="A5" s="2636"/>
      <c r="B5" s="329" t="s">
        <v>2944</v>
      </c>
      <c r="C5" s="2662" t="s">
        <v>2945</v>
      </c>
      <c r="D5" s="2659"/>
      <c r="E5" s="2663"/>
      <c r="F5" s="329" t="s">
        <v>2946</v>
      </c>
      <c r="G5" s="2664" t="s">
        <v>2947</v>
      </c>
      <c r="H5" s="907"/>
      <c r="I5" s="907"/>
      <c r="J5" s="907"/>
      <c r="K5" s="907"/>
      <c r="L5" s="907"/>
      <c r="M5" s="907"/>
      <c r="N5" s="907"/>
      <c r="O5" s="907"/>
      <c r="P5" s="907"/>
      <c r="Q5" s="907"/>
      <c r="R5" s="907"/>
    </row>
    <row r="6" spans="1:29" ht="36">
      <c r="A6" s="2636"/>
      <c r="B6" s="329" t="s">
        <v>2948</v>
      </c>
      <c r="C6" s="2664" t="s">
        <v>2943</v>
      </c>
      <c r="D6" s="2659"/>
      <c r="E6" s="2663"/>
      <c r="F6" s="329" t="s">
        <v>2949</v>
      </c>
      <c r="G6" s="2664" t="s">
        <v>2950</v>
      </c>
      <c r="H6" s="907"/>
      <c r="I6" s="907"/>
      <c r="J6" s="907"/>
      <c r="K6" s="907"/>
      <c r="L6" s="907"/>
      <c r="M6" s="907"/>
      <c r="N6" s="907"/>
      <c r="O6" s="907"/>
      <c r="P6" s="907"/>
      <c r="Q6" s="907"/>
      <c r="R6" s="907"/>
    </row>
    <row r="7" spans="1:29" ht="24.75" thickBot="1">
      <c r="A7" s="2636"/>
      <c r="B7" s="329" t="s">
        <v>2946</v>
      </c>
      <c r="C7" s="2664" t="s">
        <v>2947</v>
      </c>
      <c r="D7" s="2665"/>
      <c r="E7" s="2666"/>
      <c r="F7" s="2667" t="s">
        <v>2951</v>
      </c>
      <c r="G7" s="2668" t="s">
        <v>2952</v>
      </c>
      <c r="H7" s="907"/>
      <c r="I7" s="907"/>
      <c r="J7" s="907"/>
      <c r="K7" s="907"/>
      <c r="L7" s="907"/>
      <c r="M7" s="907"/>
      <c r="N7" s="907"/>
      <c r="O7" s="907"/>
      <c r="P7" s="907"/>
      <c r="Q7" s="907"/>
      <c r="R7" s="907"/>
    </row>
    <row r="8" spans="1:29">
      <c r="A8" s="2636"/>
      <c r="B8" s="329" t="s">
        <v>2949</v>
      </c>
      <c r="C8" s="2664" t="s">
        <v>2950</v>
      </c>
      <c r="D8" s="2665"/>
      <c r="E8" s="2665"/>
      <c r="F8" s="2669"/>
      <c r="G8" s="2669"/>
      <c r="H8" s="907"/>
      <c r="I8" s="907"/>
      <c r="J8" s="907"/>
      <c r="K8" s="907"/>
      <c r="L8" s="907"/>
      <c r="M8" s="907"/>
      <c r="N8" s="907"/>
      <c r="O8" s="907"/>
      <c r="P8" s="907"/>
      <c r="Q8" s="907"/>
      <c r="R8" s="907"/>
    </row>
    <row r="9" spans="1:29" ht="24">
      <c r="A9" s="2636"/>
      <c r="B9" s="329" t="s">
        <v>2953</v>
      </c>
      <c r="C9" s="2662" t="s">
        <v>2954</v>
      </c>
      <c r="D9" s="2659"/>
      <c r="E9" s="2665"/>
      <c r="F9" s="2669"/>
      <c r="G9" s="2669"/>
      <c r="H9" s="907"/>
      <c r="I9" s="907"/>
      <c r="J9" s="907"/>
      <c r="K9" s="907"/>
      <c r="L9" s="907"/>
      <c r="M9" s="907"/>
      <c r="N9" s="907"/>
      <c r="O9" s="907"/>
      <c r="P9" s="907"/>
      <c r="Q9" s="907"/>
      <c r="R9" s="907"/>
    </row>
    <row r="10" spans="1:29" s="2675" customFormat="1" ht="15" thickBot="1">
      <c r="A10" s="2637"/>
      <c r="B10" s="2670" t="s">
        <v>2955</v>
      </c>
      <c r="C10" s="2671"/>
      <c r="D10" s="2659"/>
      <c r="E10" s="2659"/>
      <c r="F10" s="2669"/>
      <c r="G10" s="2669"/>
      <c r="H10" s="2672"/>
      <c r="I10" s="2673"/>
      <c r="J10" s="2674"/>
      <c r="K10" s="2672"/>
      <c r="L10" s="2673"/>
      <c r="M10" s="2674"/>
      <c r="N10" s="2672"/>
      <c r="O10" s="2673"/>
      <c r="P10" s="2674"/>
      <c r="Q10" s="2672"/>
      <c r="R10" s="2673"/>
      <c r="S10" s="907"/>
      <c r="T10" s="907"/>
      <c r="U10" s="907"/>
      <c r="V10" s="907"/>
      <c r="W10" s="907"/>
      <c r="X10" s="907"/>
      <c r="Y10" s="907"/>
      <c r="Z10" s="907"/>
      <c r="AA10" s="907"/>
      <c r="AB10" s="907"/>
      <c r="AC10" s="907"/>
    </row>
    <row r="11" spans="1:29" s="2675" customFormat="1">
      <c r="A11" s="2676"/>
      <c r="B11" s="2665"/>
      <c r="C11" s="2659"/>
      <c r="D11" s="2659"/>
      <c r="E11" s="2659"/>
      <c r="F11" s="2665"/>
      <c r="G11" s="2677"/>
      <c r="H11" s="2672"/>
      <c r="I11" s="2673"/>
      <c r="J11" s="2674"/>
      <c r="K11" s="2672"/>
      <c r="L11" s="2673"/>
      <c r="M11" s="2674"/>
      <c r="N11" s="2672"/>
      <c r="O11" s="2673"/>
      <c r="P11" s="2674"/>
      <c r="Q11" s="2672"/>
      <c r="R11" s="2673"/>
      <c r="S11" s="907"/>
      <c r="T11" s="907"/>
      <c r="U11" s="907"/>
      <c r="V11" s="907"/>
      <c r="W11" s="907"/>
      <c r="X11" s="907"/>
      <c r="Y11" s="907"/>
      <c r="Z11" s="907"/>
      <c r="AA11" s="907"/>
      <c r="AB11" s="907"/>
      <c r="AC11" s="907"/>
    </row>
    <row r="12" spans="1:29" s="2651" customFormat="1" ht="18">
      <c r="A12" s="2676"/>
      <c r="B12" s="2665"/>
      <c r="C12" s="2659"/>
      <c r="D12" s="2678"/>
      <c r="E12" s="2659"/>
      <c r="F12" s="2665"/>
      <c r="G12" s="2677"/>
      <c r="H12" s="2679"/>
      <c r="I12" s="2680"/>
      <c r="J12" s="2679"/>
      <c r="K12" s="2679"/>
      <c r="L12" s="2681"/>
      <c r="M12" s="2679"/>
      <c r="N12" s="2682"/>
      <c r="O12" s="2683"/>
      <c r="P12" s="2682"/>
      <c r="Q12" s="2682"/>
      <c r="R12" s="2649"/>
      <c r="S12" s="2650"/>
      <c r="T12" s="2650"/>
      <c r="U12" s="2650"/>
      <c r="V12" s="2650"/>
      <c r="W12" s="2650"/>
      <c r="X12" s="2650"/>
      <c r="Y12" s="2650"/>
      <c r="Z12" s="2650"/>
      <c r="AA12" s="2650"/>
      <c r="AB12" s="2650"/>
      <c r="AC12" s="2650"/>
    </row>
    <row r="13" spans="1:29" ht="15.75" thickBot="1">
      <c r="A13" s="2684" t="s">
        <v>2973</v>
      </c>
      <c r="B13" s="2678"/>
      <c r="C13" s="2678"/>
      <c r="D13" s="2676"/>
      <c r="E13" s="2678"/>
      <c r="F13" s="2678"/>
      <c r="G13" s="2678"/>
    </row>
    <row r="14" spans="1:29" ht="15" thickBot="1">
      <c r="A14" s="2688"/>
      <c r="B14" s="2688"/>
      <c r="C14" s="2689" t="s">
        <v>2956</v>
      </c>
      <c r="D14" s="2659"/>
      <c r="E14" s="2690"/>
      <c r="F14" s="2690"/>
      <c r="G14" s="2654" t="s">
        <v>2957</v>
      </c>
    </row>
    <row r="15" spans="1:29" ht="51">
      <c r="A15" s="2638" t="s">
        <v>2958</v>
      </c>
      <c r="B15" s="2691" t="s">
        <v>2938</v>
      </c>
      <c r="C15" s="2692" t="str">
        <f>C3</f>
        <v>估价对象周边居住用地比例、居住小区规模和社区发展完善程度，综合评价居住社区成熟度一般</v>
      </c>
      <c r="D15" s="2659"/>
      <c r="E15" s="2639" t="s">
        <v>2959</v>
      </c>
      <c r="F15" s="2691" t="s">
        <v>2960</v>
      </c>
      <c r="G15" s="2693" t="str">
        <f>G3</f>
        <v>估价对象位于XX开发区，园区建设成熟度XX，产业集聚程度XX</v>
      </c>
    </row>
    <row r="16" spans="1:29" ht="38.25">
      <c r="A16" s="2640"/>
      <c r="B16" s="2694" t="s">
        <v>2940</v>
      </c>
      <c r="C16" s="2695" t="str">
        <f>C4</f>
        <v>估价对象位于XX商圈，周边商业氛围成熟，人流量大，商业繁华度好</v>
      </c>
      <c r="D16" s="2659"/>
      <c r="E16" s="2641"/>
      <c r="F16" s="2696" t="s">
        <v>2942</v>
      </c>
      <c r="G16" s="2697" t="str">
        <f>G4</f>
        <v>估价对象周边道路状况、公共交通通达情况、停车便捷程度，综合评价交通便捷度较好</v>
      </c>
    </row>
    <row r="17" spans="1:18" ht="38.25">
      <c r="A17" s="2640"/>
      <c r="B17" s="2694" t="s">
        <v>2944</v>
      </c>
      <c r="C17" s="2695" t="str">
        <f>C5</f>
        <v>估价对象位于XX商圈，周边办公楼项目较多，入驻率高，办公集聚程度较好</v>
      </c>
      <c r="D17" s="2665"/>
      <c r="E17" s="2641"/>
      <c r="F17" s="2696" t="s">
        <v>2961</v>
      </c>
      <c r="G17" s="2698"/>
    </row>
    <row r="18" spans="1:18" ht="38.25">
      <c r="A18" s="2640"/>
      <c r="B18" s="2696" t="s">
        <v>2948</v>
      </c>
      <c r="C18" s="2697" t="str">
        <f>C6</f>
        <v>估价对象周边道路状况、公共交通通达情况、停车便捷程度，综合评价交通便捷度较好</v>
      </c>
      <c r="D18" s="2665"/>
      <c r="E18" s="2641"/>
      <c r="F18" s="2696" t="s">
        <v>2951</v>
      </c>
      <c r="G18" s="2697" t="str">
        <f>G7</f>
        <v>该园区内是否有污染型企业，绿化情况，卫生条件，整体环境状况判断</v>
      </c>
    </row>
    <row r="19" spans="1:18" ht="25.5">
      <c r="A19" s="2640"/>
      <c r="B19" s="2696" t="s">
        <v>2962</v>
      </c>
      <c r="C19" s="2698"/>
      <c r="D19" s="2659"/>
      <c r="E19" s="2641"/>
      <c r="F19" s="329" t="s">
        <v>2946</v>
      </c>
      <c r="G19" s="2697" t="str">
        <f>G5</f>
        <v>估价对象所在区域公共配套设施齐备情况</v>
      </c>
    </row>
    <row r="20" spans="1:18" ht="25.5">
      <c r="A20" s="2640"/>
      <c r="B20" s="2696" t="s">
        <v>2963</v>
      </c>
      <c r="C20" s="2695" t="str">
        <f>C9</f>
        <v>区域自然环境：；人文环境；综合评价环境状况一般</v>
      </c>
      <c r="D20" s="2665"/>
      <c r="E20" s="2641"/>
      <c r="F20" s="329" t="s">
        <v>2949</v>
      </c>
      <c r="G20" s="2697" t="str">
        <f>G6</f>
        <v>估价对象所在区域基础设施水平</v>
      </c>
    </row>
    <row r="21" spans="1:18" ht="25.5">
      <c r="A21" s="2640"/>
      <c r="B21" s="329" t="s">
        <v>2946</v>
      </c>
      <c r="C21" s="2697" t="str">
        <f>C7</f>
        <v>估价对象所在区域公共配套设施齐备情况</v>
      </c>
      <c r="D21" s="2659"/>
      <c r="E21" s="2641"/>
      <c r="F21" s="2696" t="s">
        <v>2964</v>
      </c>
      <c r="G21" s="2699"/>
    </row>
    <row r="22" spans="1:18" ht="13.5" customHeight="1">
      <c r="A22" s="2640"/>
      <c r="B22" s="329" t="s">
        <v>2949</v>
      </c>
      <c r="C22" s="2697" t="str">
        <f>C8</f>
        <v>估价对象所在区域基础设施水平</v>
      </c>
      <c r="D22" s="2659"/>
      <c r="E22" s="2641"/>
      <c r="F22" s="2696" t="s">
        <v>2955</v>
      </c>
      <c r="G22" s="2698"/>
    </row>
    <row r="23" spans="1:18" s="907" customFormat="1" ht="15" thickBot="1">
      <c r="A23" s="2640"/>
      <c r="B23" s="2696" t="s">
        <v>2964</v>
      </c>
      <c r="C23" s="2699"/>
      <c r="D23" s="1897"/>
      <c r="E23" s="2642"/>
      <c r="F23" s="2700" t="s">
        <v>2965</v>
      </c>
      <c r="G23" s="2701"/>
      <c r="H23" s="2685"/>
      <c r="I23" s="2686"/>
      <c r="J23" s="2685"/>
      <c r="K23" s="2685"/>
      <c r="L23" s="2686"/>
      <c r="M23" s="2685"/>
      <c r="N23" s="2685"/>
      <c r="O23" s="2686"/>
      <c r="P23" s="2685"/>
      <c r="Q23" s="2685"/>
      <c r="R23" s="2687"/>
    </row>
    <row r="24" spans="1:18" s="907" customFormat="1" ht="15" thickBot="1">
      <c r="A24" s="2643"/>
      <c r="B24" s="2700" t="s">
        <v>2966</v>
      </c>
      <c r="C24" s="2702">
        <f>C10</f>
        <v>0</v>
      </c>
      <c r="D24" s="1897"/>
      <c r="E24" s="2633"/>
      <c r="F24" s="2633"/>
      <c r="G24" s="2703"/>
      <c r="H24" s="2685"/>
      <c r="I24" s="2686"/>
      <c r="J24" s="2685"/>
      <c r="K24" s="2685"/>
      <c r="L24" s="2686"/>
      <c r="M24" s="2685"/>
      <c r="N24" s="2685"/>
      <c r="O24" s="2686"/>
      <c r="P24" s="2685"/>
      <c r="Q24" s="2685"/>
      <c r="R24" s="2687"/>
    </row>
    <row r="25" spans="1:18" s="907" customFormat="1">
      <c r="B25" s="2685"/>
      <c r="C25" s="2685"/>
      <c r="D25" s="2685"/>
      <c r="H25" s="2685"/>
      <c r="I25" s="2686"/>
      <c r="J25" s="2685"/>
      <c r="K25" s="2685"/>
      <c r="L25" s="2686"/>
      <c r="M25" s="2685"/>
      <c r="N25" s="2685"/>
      <c r="O25" s="2686"/>
      <c r="P25" s="2685"/>
      <c r="Q25" s="2685"/>
      <c r="R25" s="2687"/>
    </row>
    <row r="26" spans="1:18" s="907" customFormat="1">
      <c r="B26" s="2685"/>
      <c r="C26" s="2685"/>
      <c r="D26" s="2685"/>
      <c r="H26" s="2685"/>
      <c r="I26" s="2686"/>
      <c r="J26" s="2685"/>
      <c r="K26" s="2685"/>
      <c r="L26" s="2686"/>
      <c r="M26" s="2685"/>
      <c r="N26" s="2685"/>
      <c r="O26" s="2686"/>
      <c r="P26" s="2685"/>
      <c r="Q26" s="2685"/>
      <c r="R26" s="2687"/>
    </row>
    <row r="27" spans="1:18" s="907" customFormat="1">
      <c r="B27" s="2685"/>
      <c r="C27" s="2685"/>
      <c r="D27" s="2685"/>
      <c r="H27" s="2685"/>
      <c r="I27" s="2686"/>
      <c r="J27" s="2685"/>
      <c r="K27" s="2685"/>
      <c r="L27" s="2686"/>
      <c r="M27" s="2685"/>
      <c r="N27" s="2685"/>
      <c r="O27" s="2686"/>
      <c r="P27" s="2685"/>
      <c r="Q27" s="2685"/>
      <c r="R27" s="2687"/>
    </row>
    <row r="28" spans="1:18" s="907" customFormat="1">
      <c r="B28" s="2685"/>
      <c r="C28" s="2685"/>
      <c r="D28" s="2685"/>
      <c r="H28" s="2685"/>
      <c r="I28" s="2686"/>
      <c r="J28" s="2685"/>
      <c r="K28" s="2685"/>
      <c r="L28" s="2686"/>
      <c r="M28" s="2685"/>
      <c r="N28" s="2685"/>
      <c r="O28" s="2686"/>
      <c r="P28" s="2685"/>
      <c r="Q28" s="2685"/>
      <c r="R28" s="2687"/>
    </row>
    <row r="29" spans="1:18" s="907" customFormat="1">
      <c r="B29" s="2685"/>
      <c r="C29" s="2685"/>
      <c r="D29" s="2685"/>
      <c r="H29" s="2685"/>
      <c r="I29" s="2686"/>
      <c r="J29" s="2685"/>
      <c r="K29" s="2685"/>
      <c r="L29" s="2686"/>
      <c r="M29" s="2685"/>
      <c r="N29" s="2685"/>
      <c r="O29" s="2686"/>
      <c r="P29" s="2685"/>
      <c r="Q29" s="2685"/>
      <c r="R29" s="2687"/>
    </row>
    <row r="30" spans="1:18" s="907" customFormat="1">
      <c r="B30" s="2685"/>
      <c r="C30" s="2685"/>
      <c r="D30" s="2685"/>
      <c r="H30" s="2685"/>
      <c r="I30" s="2686"/>
      <c r="J30" s="2685"/>
      <c r="K30" s="2685"/>
      <c r="L30" s="2686"/>
      <c r="M30" s="2685"/>
      <c r="N30" s="2685"/>
      <c r="O30" s="2686"/>
      <c r="P30" s="2685"/>
      <c r="Q30" s="2685"/>
      <c r="R30" s="2687"/>
    </row>
    <row r="31" spans="1:18" s="907" customFormat="1">
      <c r="B31" s="2685"/>
      <c r="C31" s="2685"/>
      <c r="D31" s="2685"/>
      <c r="H31" s="2685"/>
      <c r="I31" s="2686"/>
      <c r="J31" s="2685"/>
      <c r="K31" s="2685"/>
      <c r="L31" s="2686"/>
      <c r="M31" s="2685"/>
      <c r="N31" s="2685"/>
      <c r="O31" s="2686"/>
      <c r="P31" s="2685"/>
      <c r="Q31" s="2685"/>
      <c r="R31" s="2687"/>
    </row>
    <row r="32" spans="1:18" s="907" customFormat="1">
      <c r="B32" s="2685"/>
      <c r="C32" s="2685"/>
      <c r="D32" s="2685"/>
      <c r="H32" s="2685"/>
      <c r="I32" s="2686"/>
      <c r="J32" s="2685"/>
      <c r="K32" s="2685"/>
      <c r="L32" s="2686"/>
      <c r="M32" s="2685"/>
      <c r="N32" s="2685"/>
      <c r="O32" s="2686"/>
      <c r="P32" s="2685"/>
      <c r="Q32" s="2685"/>
      <c r="R32" s="2687"/>
    </row>
    <row r="33" spans="2:18" s="907" customFormat="1">
      <c r="B33" s="2685"/>
      <c r="C33" s="2685"/>
      <c r="D33" s="2685"/>
      <c r="H33" s="2685"/>
      <c r="I33" s="2686"/>
      <c r="J33" s="2685"/>
      <c r="K33" s="2685"/>
      <c r="L33" s="2686"/>
      <c r="M33" s="2685"/>
      <c r="N33" s="2685"/>
      <c r="O33" s="2686"/>
      <c r="P33" s="2685"/>
      <c r="Q33" s="2685"/>
      <c r="R33" s="2687"/>
    </row>
    <row r="34" spans="2:18" s="907" customFormat="1">
      <c r="B34" s="2685"/>
      <c r="C34" s="2685"/>
      <c r="D34" s="2685"/>
      <c r="H34" s="2685"/>
      <c r="I34" s="2686"/>
      <c r="J34" s="2685"/>
      <c r="K34" s="2685"/>
      <c r="L34" s="2686"/>
      <c r="M34" s="2685"/>
      <c r="N34" s="2685"/>
      <c r="O34" s="2686"/>
      <c r="P34" s="2685"/>
      <c r="Q34" s="2685"/>
      <c r="R34" s="2687"/>
    </row>
    <row r="35" spans="2:18" s="907" customFormat="1">
      <c r="B35" s="2685"/>
      <c r="C35" s="2685"/>
      <c r="D35" s="2685"/>
      <c r="H35" s="2685"/>
      <c r="I35" s="2686"/>
      <c r="J35" s="2685"/>
      <c r="K35" s="2685"/>
      <c r="L35" s="2686"/>
      <c r="M35" s="2685"/>
      <c r="N35" s="2685"/>
      <c r="O35" s="2686"/>
      <c r="P35" s="2685"/>
      <c r="Q35" s="2685"/>
      <c r="R35" s="2687"/>
    </row>
    <row r="36" spans="2:18" s="907" customFormat="1">
      <c r="B36" s="2685"/>
      <c r="C36" s="2685"/>
      <c r="D36" s="2685"/>
      <c r="H36" s="2685"/>
      <c r="I36" s="2686"/>
      <c r="J36" s="2685"/>
      <c r="K36" s="2685"/>
      <c r="L36" s="2686"/>
      <c r="M36" s="2685"/>
      <c r="N36" s="2685"/>
      <c r="O36" s="2686"/>
      <c r="P36" s="2685"/>
      <c r="Q36" s="2685"/>
      <c r="R36" s="2687"/>
    </row>
    <row r="37" spans="2:18" s="907" customFormat="1">
      <c r="B37" s="2685"/>
      <c r="C37" s="2685"/>
      <c r="D37" s="2685"/>
      <c r="H37" s="2685"/>
      <c r="I37" s="2686"/>
      <c r="J37" s="2685"/>
      <c r="K37" s="2685"/>
      <c r="L37" s="2686"/>
      <c r="M37" s="2685"/>
      <c r="N37" s="2685"/>
      <c r="O37" s="2686"/>
      <c r="P37" s="2685"/>
      <c r="Q37" s="2685"/>
      <c r="R37" s="2687"/>
    </row>
    <row r="38" spans="2:18" s="907" customFormat="1">
      <c r="B38" s="2685"/>
      <c r="C38" s="2685"/>
      <c r="D38" s="2685"/>
      <c r="E38" s="2685"/>
      <c r="F38" s="2685"/>
      <c r="G38" s="2686"/>
      <c r="H38" s="2685"/>
      <c r="I38" s="2686"/>
      <c r="J38" s="2685"/>
      <c r="K38" s="2685"/>
      <c r="L38" s="2686"/>
      <c r="M38" s="2685"/>
      <c r="N38" s="2685"/>
      <c r="O38" s="2686"/>
      <c r="P38" s="2685"/>
      <c r="Q38" s="2685"/>
      <c r="R38" s="2687"/>
    </row>
    <row r="39" spans="2:18" s="907" customFormat="1">
      <c r="B39" s="2685"/>
      <c r="C39" s="2685"/>
      <c r="D39" s="2685"/>
      <c r="E39" s="2685"/>
      <c r="F39" s="2685"/>
      <c r="G39" s="2686"/>
      <c r="H39" s="2685"/>
      <c r="I39" s="2686"/>
      <c r="J39" s="2685"/>
      <c r="K39" s="2685"/>
      <c r="L39" s="2686"/>
      <c r="M39" s="2685"/>
      <c r="N39" s="2685"/>
      <c r="O39" s="2686"/>
      <c r="P39" s="2685"/>
      <c r="Q39" s="2685"/>
      <c r="R39" s="2687"/>
    </row>
    <row r="40" spans="2:18" s="907" customFormat="1">
      <c r="B40" s="2685"/>
      <c r="C40" s="2685"/>
      <c r="D40" s="2685"/>
      <c r="E40" s="2685"/>
      <c r="F40" s="2685"/>
      <c r="G40" s="2686"/>
      <c r="H40" s="2685"/>
      <c r="I40" s="2686"/>
      <c r="J40" s="2685"/>
      <c r="K40" s="2685"/>
      <c r="L40" s="2686"/>
      <c r="M40" s="2685"/>
      <c r="N40" s="2685"/>
      <c r="O40" s="2686"/>
      <c r="P40" s="2685"/>
      <c r="Q40" s="2685"/>
      <c r="R40" s="2687"/>
    </row>
    <row r="41" spans="2:18" s="907" customFormat="1">
      <c r="B41" s="2685"/>
      <c r="C41" s="2685"/>
      <c r="D41" s="2685"/>
      <c r="E41" s="2685"/>
      <c r="F41" s="2685"/>
      <c r="G41" s="2686"/>
      <c r="H41" s="2685"/>
      <c r="I41" s="2686"/>
      <c r="J41" s="2685"/>
      <c r="K41" s="2685"/>
      <c r="L41" s="2686"/>
      <c r="M41" s="2685"/>
      <c r="N41" s="2685"/>
      <c r="O41" s="2686"/>
      <c r="P41" s="2685"/>
      <c r="Q41" s="2685"/>
      <c r="R41" s="2687"/>
    </row>
    <row r="42" spans="2:18" s="907" customFormat="1">
      <c r="B42" s="2685"/>
      <c r="C42" s="2685"/>
      <c r="D42" s="2685"/>
      <c r="E42" s="2685"/>
      <c r="F42" s="2685"/>
      <c r="G42" s="2686"/>
      <c r="H42" s="2685"/>
      <c r="I42" s="2686"/>
      <c r="J42" s="2685"/>
      <c r="K42" s="2685"/>
      <c r="L42" s="2686"/>
      <c r="M42" s="2685"/>
      <c r="N42" s="2685"/>
      <c r="O42" s="2686"/>
      <c r="P42" s="2685"/>
      <c r="Q42" s="2685"/>
      <c r="R42" s="2687"/>
    </row>
    <row r="43" spans="2:18" s="907" customFormat="1">
      <c r="B43" s="2685"/>
      <c r="C43" s="2685"/>
      <c r="D43" s="2685"/>
      <c r="E43" s="2685"/>
      <c r="F43" s="2685"/>
      <c r="G43" s="2686"/>
      <c r="H43" s="2685"/>
      <c r="I43" s="2686"/>
      <c r="J43" s="2685"/>
      <c r="K43" s="2685"/>
      <c r="L43" s="2686"/>
      <c r="M43" s="2685"/>
      <c r="N43" s="2685"/>
      <c r="O43" s="2686"/>
      <c r="P43" s="2685"/>
      <c r="Q43" s="2685"/>
      <c r="R43" s="2687"/>
    </row>
    <row r="44" spans="2:18" s="907" customFormat="1">
      <c r="B44" s="2685"/>
      <c r="C44" s="2685"/>
      <c r="D44" s="2685"/>
      <c r="E44" s="2685"/>
      <c r="F44" s="2685"/>
      <c r="G44" s="2686"/>
      <c r="H44" s="2685"/>
      <c r="I44" s="2686"/>
      <c r="J44" s="2685"/>
      <c r="K44" s="2685"/>
      <c r="L44" s="2686"/>
      <c r="M44" s="2685"/>
      <c r="N44" s="2685"/>
      <c r="O44" s="2686"/>
      <c r="P44" s="2685"/>
      <c r="Q44" s="2685"/>
      <c r="R44" s="2687"/>
    </row>
    <row r="45" spans="2:18" s="907" customFormat="1">
      <c r="B45" s="2685"/>
      <c r="C45" s="2685"/>
      <c r="D45" s="2685"/>
      <c r="E45" s="2685"/>
      <c r="F45" s="2685"/>
      <c r="G45" s="2686"/>
      <c r="H45" s="2685"/>
      <c r="I45" s="2686"/>
      <c r="J45" s="2685"/>
      <c r="K45" s="2685"/>
      <c r="L45" s="2686"/>
      <c r="M45" s="2685"/>
      <c r="N45" s="2685"/>
      <c r="O45" s="2686"/>
      <c r="P45" s="2685"/>
      <c r="Q45" s="2685"/>
      <c r="R45" s="2687"/>
    </row>
    <row r="46" spans="2:18" s="907" customFormat="1">
      <c r="B46" s="2685"/>
      <c r="C46" s="2685"/>
      <c r="D46" s="2685"/>
      <c r="E46" s="2685"/>
      <c r="F46" s="2685"/>
      <c r="G46" s="2686"/>
      <c r="H46" s="2685"/>
      <c r="I46" s="2686"/>
      <c r="J46" s="2685"/>
      <c r="K46" s="2685"/>
      <c r="L46" s="2686"/>
      <c r="M46" s="2685"/>
      <c r="N46" s="2685"/>
      <c r="O46" s="2686"/>
      <c r="P46" s="2685"/>
      <c r="Q46" s="2685"/>
      <c r="R46" s="2687"/>
    </row>
    <row r="47" spans="2:18" s="907" customFormat="1">
      <c r="B47" s="2685"/>
      <c r="C47" s="2685"/>
      <c r="D47" s="2685"/>
      <c r="E47" s="2685"/>
      <c r="F47" s="2685"/>
      <c r="G47" s="2686"/>
      <c r="H47" s="2685"/>
      <c r="I47" s="2686"/>
      <c r="J47" s="2685"/>
      <c r="K47" s="2685"/>
      <c r="L47" s="2686"/>
      <c r="M47" s="2685"/>
      <c r="N47" s="2685"/>
      <c r="O47" s="2686"/>
      <c r="P47" s="2685"/>
      <c r="Q47" s="2685"/>
      <c r="R47" s="2687"/>
    </row>
    <row r="48" spans="2:18" s="907" customFormat="1">
      <c r="B48" s="2685"/>
      <c r="C48" s="2685"/>
      <c r="D48" s="2685"/>
      <c r="E48" s="2685"/>
      <c r="F48" s="2685"/>
      <c r="G48" s="2686"/>
      <c r="H48" s="2685"/>
      <c r="I48" s="2686"/>
      <c r="J48" s="2685"/>
      <c r="K48" s="2685"/>
      <c r="L48" s="2686"/>
      <c r="M48" s="2685"/>
      <c r="N48" s="2685"/>
      <c r="O48" s="2686"/>
      <c r="P48" s="2685"/>
      <c r="Q48" s="2685"/>
      <c r="R48" s="2687"/>
    </row>
    <row r="49" spans="2:18" s="907" customFormat="1">
      <c r="B49" s="2685"/>
      <c r="C49" s="2685"/>
      <c r="D49" s="2685"/>
      <c r="E49" s="2685"/>
      <c r="F49" s="2685"/>
      <c r="G49" s="2686"/>
      <c r="H49" s="2685"/>
      <c r="I49" s="2686"/>
      <c r="J49" s="2685"/>
      <c r="K49" s="2685"/>
      <c r="L49" s="2686"/>
      <c r="M49" s="2685"/>
      <c r="N49" s="2685"/>
      <c r="O49" s="2686"/>
      <c r="P49" s="2685"/>
      <c r="Q49" s="2685"/>
      <c r="R49" s="2687"/>
    </row>
    <row r="50" spans="2:18" s="907" customFormat="1">
      <c r="B50" s="2685"/>
      <c r="C50" s="2685"/>
      <c r="D50" s="2685"/>
      <c r="E50" s="2685"/>
      <c r="F50" s="2685"/>
      <c r="G50" s="2686"/>
      <c r="H50" s="2685"/>
      <c r="I50" s="2686"/>
      <c r="J50" s="2685"/>
      <c r="K50" s="2685"/>
      <c r="L50" s="2686"/>
      <c r="M50" s="2685"/>
      <c r="N50" s="2685"/>
      <c r="O50" s="2686"/>
      <c r="P50" s="2685"/>
      <c r="Q50" s="2685"/>
      <c r="R50" s="2687"/>
    </row>
    <row r="51" spans="2:18" s="907" customFormat="1">
      <c r="B51" s="2685"/>
      <c r="C51" s="2685"/>
      <c r="D51" s="2685"/>
      <c r="E51" s="2685"/>
      <c r="F51" s="2685"/>
      <c r="G51" s="2686"/>
      <c r="H51" s="2685"/>
      <c r="I51" s="2686"/>
      <c r="J51" s="2685"/>
      <c r="K51" s="2685"/>
      <c r="L51" s="2686"/>
      <c r="M51" s="2685"/>
      <c r="N51" s="2685"/>
      <c r="O51" s="2686"/>
      <c r="P51" s="2685"/>
      <c r="Q51" s="2685"/>
      <c r="R51" s="2687"/>
    </row>
    <row r="52" spans="2:18" s="907" customFormat="1">
      <c r="B52" s="2685"/>
      <c r="C52" s="2685"/>
      <c r="D52" s="2685"/>
      <c r="E52" s="2685"/>
      <c r="F52" s="2685"/>
      <c r="G52" s="2686"/>
      <c r="H52" s="2685"/>
      <c r="I52" s="2686"/>
      <c r="J52" s="2685"/>
      <c r="K52" s="2685"/>
      <c r="L52" s="2686"/>
      <c r="M52" s="2685"/>
      <c r="N52" s="2685"/>
      <c r="O52" s="2686"/>
      <c r="P52" s="2685"/>
      <c r="Q52" s="2685"/>
      <c r="R52" s="2687"/>
    </row>
    <row r="53" spans="2:18" s="907" customFormat="1">
      <c r="B53" s="2685"/>
      <c r="C53" s="2685"/>
      <c r="D53" s="2685"/>
      <c r="E53" s="2685"/>
      <c r="F53" s="2685"/>
      <c r="G53" s="2686"/>
      <c r="H53" s="2685"/>
      <c r="I53" s="2686"/>
      <c r="J53" s="2685"/>
      <c r="K53" s="2685"/>
      <c r="L53" s="2686"/>
      <c r="M53" s="2685"/>
      <c r="N53" s="2685"/>
      <c r="O53" s="2686"/>
      <c r="P53" s="2685"/>
      <c r="Q53" s="2685"/>
      <c r="R53" s="2687"/>
    </row>
    <row r="54" spans="2:18" s="907" customFormat="1">
      <c r="B54" s="2685"/>
      <c r="C54" s="2685"/>
      <c r="D54" s="2685"/>
      <c r="E54" s="2685"/>
      <c r="F54" s="2685"/>
      <c r="G54" s="2686"/>
      <c r="H54" s="2685"/>
      <c r="I54" s="2686"/>
      <c r="J54" s="2685"/>
      <c r="K54" s="2685"/>
      <c r="L54" s="2686"/>
      <c r="M54" s="2685"/>
      <c r="N54" s="2685"/>
      <c r="O54" s="2686"/>
      <c r="P54" s="2685"/>
      <c r="Q54" s="2685"/>
      <c r="R54" s="2687"/>
    </row>
    <row r="55" spans="2:18" s="907" customFormat="1">
      <c r="B55" s="2685"/>
      <c r="C55" s="2685"/>
      <c r="D55" s="2685"/>
      <c r="E55" s="2685"/>
      <c r="F55" s="2685"/>
      <c r="G55" s="2686"/>
      <c r="H55" s="2685"/>
      <c r="I55" s="2686"/>
      <c r="J55" s="2685"/>
      <c r="K55" s="2685"/>
      <c r="L55" s="2686"/>
      <c r="M55" s="2685"/>
      <c r="N55" s="2685"/>
      <c r="O55" s="2686"/>
      <c r="P55" s="2685"/>
      <c r="Q55" s="2685"/>
      <c r="R55" s="2687"/>
    </row>
    <row r="56" spans="2:18" s="907" customFormat="1">
      <c r="B56" s="2685"/>
      <c r="C56" s="2685"/>
      <c r="D56" s="2685"/>
      <c r="E56" s="2685"/>
      <c r="F56" s="2685"/>
      <c r="G56" s="2686"/>
      <c r="H56" s="2685"/>
      <c r="I56" s="2686"/>
      <c r="J56" s="2685"/>
      <c r="K56" s="2685"/>
      <c r="L56" s="2686"/>
      <c r="M56" s="2685"/>
      <c r="N56" s="2685"/>
      <c r="O56" s="2686"/>
      <c r="P56" s="2685"/>
      <c r="Q56" s="2685"/>
      <c r="R56" s="2687"/>
    </row>
    <row r="57" spans="2:18" s="907" customFormat="1">
      <c r="B57" s="2685"/>
      <c r="C57" s="2685"/>
      <c r="D57" s="2685"/>
      <c r="E57" s="2685"/>
      <c r="F57" s="2685"/>
      <c r="G57" s="2686"/>
      <c r="H57" s="2685"/>
      <c r="I57" s="2686"/>
      <c r="J57" s="2685"/>
      <c r="K57" s="2685"/>
      <c r="L57" s="2686"/>
      <c r="M57" s="2685"/>
      <c r="N57" s="2685"/>
      <c r="O57" s="2686"/>
      <c r="P57" s="2685"/>
      <c r="Q57" s="2685"/>
      <c r="R57" s="2687"/>
    </row>
    <row r="58" spans="2:18" s="907" customFormat="1">
      <c r="B58" s="2685"/>
      <c r="C58" s="2685"/>
      <c r="D58" s="2685"/>
      <c r="E58" s="2685"/>
      <c r="F58" s="2685"/>
      <c r="G58" s="2686"/>
      <c r="H58" s="2685"/>
      <c r="I58" s="2686"/>
      <c r="J58" s="2685"/>
      <c r="K58" s="2685"/>
      <c r="L58" s="2686"/>
      <c r="M58" s="2685"/>
      <c r="N58" s="2685"/>
      <c r="O58" s="2686"/>
      <c r="P58" s="2685"/>
      <c r="Q58" s="2685"/>
      <c r="R58" s="2687"/>
    </row>
    <row r="59" spans="2:18" s="907" customFormat="1">
      <c r="B59" s="2685"/>
      <c r="C59" s="2685"/>
      <c r="D59" s="2685"/>
      <c r="E59" s="2685"/>
      <c r="F59" s="2685"/>
      <c r="G59" s="2686"/>
      <c r="H59" s="2685"/>
      <c r="I59" s="2686"/>
      <c r="J59" s="2685"/>
      <c r="K59" s="2685"/>
      <c r="L59" s="2686"/>
      <c r="M59" s="2685"/>
      <c r="N59" s="2685"/>
      <c r="O59" s="2686"/>
      <c r="P59" s="2685"/>
      <c r="Q59" s="2685"/>
      <c r="R59" s="2687"/>
    </row>
    <row r="60" spans="2:18" s="907" customFormat="1">
      <c r="B60" s="2685"/>
      <c r="C60" s="2685"/>
      <c r="D60" s="2685"/>
      <c r="E60" s="2685"/>
      <c r="F60" s="2685"/>
      <c r="G60" s="2686"/>
      <c r="H60" s="2685"/>
      <c r="I60" s="2686"/>
      <c r="J60" s="2685"/>
      <c r="K60" s="2685"/>
      <c r="L60" s="2686"/>
      <c r="M60" s="2685"/>
      <c r="N60" s="2685"/>
      <c r="O60" s="2686"/>
      <c r="P60" s="2685"/>
      <c r="Q60" s="2685"/>
      <c r="R60" s="2687"/>
    </row>
    <row r="61" spans="2:18" s="907" customFormat="1">
      <c r="B61" s="2685"/>
      <c r="C61" s="2685"/>
      <c r="D61" s="2685"/>
      <c r="E61" s="2685"/>
      <c r="F61" s="2685"/>
      <c r="G61" s="2686"/>
      <c r="H61" s="2685"/>
      <c r="I61" s="2686"/>
      <c r="J61" s="2685"/>
      <c r="K61" s="2685"/>
      <c r="L61" s="2686"/>
      <c r="M61" s="2685"/>
      <c r="N61" s="2685"/>
      <c r="O61" s="2686"/>
      <c r="P61" s="2685"/>
      <c r="Q61" s="2685"/>
      <c r="R61" s="2687"/>
    </row>
    <row r="62" spans="2:18" s="907" customFormat="1">
      <c r="B62" s="2685"/>
      <c r="C62" s="2685"/>
      <c r="D62" s="2685"/>
      <c r="E62" s="2685"/>
      <c r="F62" s="2685"/>
      <c r="G62" s="2686"/>
      <c r="H62" s="2685"/>
      <c r="I62" s="2686"/>
      <c r="J62" s="2685"/>
      <c r="K62" s="2685"/>
      <c r="L62" s="2686"/>
      <c r="M62" s="2685"/>
      <c r="N62" s="2685"/>
      <c r="O62" s="2686"/>
      <c r="P62" s="2685"/>
      <c r="Q62" s="2685"/>
      <c r="R62" s="2687"/>
    </row>
    <row r="63" spans="2:18" s="907" customFormat="1">
      <c r="B63" s="2685"/>
      <c r="C63" s="2685"/>
      <c r="D63" s="2685"/>
      <c r="E63" s="2685"/>
      <c r="F63" s="2685"/>
      <c r="G63" s="2686"/>
      <c r="H63" s="2685"/>
      <c r="I63" s="2686"/>
      <c r="J63" s="2685"/>
      <c r="K63" s="2685"/>
      <c r="L63" s="2686"/>
      <c r="M63" s="2685"/>
      <c r="N63" s="2685"/>
      <c r="O63" s="2686"/>
      <c r="P63" s="2685"/>
      <c r="Q63" s="2685"/>
      <c r="R63" s="2687"/>
    </row>
    <row r="64" spans="2:18" s="907" customFormat="1">
      <c r="B64" s="2685"/>
      <c r="C64" s="2685"/>
      <c r="D64" s="2685"/>
      <c r="E64" s="2685"/>
      <c r="F64" s="2685"/>
      <c r="G64" s="2686"/>
      <c r="H64" s="2685"/>
      <c r="I64" s="2686"/>
      <c r="J64" s="2685"/>
      <c r="K64" s="2685"/>
      <c r="L64" s="2686"/>
      <c r="M64" s="2685"/>
      <c r="N64" s="2685"/>
      <c r="O64" s="2686"/>
      <c r="P64" s="2685"/>
      <c r="Q64" s="2685"/>
      <c r="R64" s="2687"/>
    </row>
    <row r="65" spans="2:18" s="907" customFormat="1">
      <c r="B65" s="2685"/>
      <c r="C65" s="2685"/>
      <c r="D65" s="2685"/>
      <c r="E65" s="2685"/>
      <c r="F65" s="2685"/>
      <c r="G65" s="2686"/>
      <c r="H65" s="2685"/>
      <c r="I65" s="2686"/>
      <c r="J65" s="2685"/>
      <c r="K65" s="2685"/>
      <c r="L65" s="2686"/>
      <c r="M65" s="2685"/>
      <c r="N65" s="2685"/>
      <c r="O65" s="2686"/>
      <c r="P65" s="2685"/>
      <c r="Q65" s="2685"/>
      <c r="R65" s="2687"/>
    </row>
    <row r="66" spans="2:18" s="907" customFormat="1">
      <c r="B66" s="2685"/>
      <c r="C66" s="2685"/>
      <c r="D66" s="2685"/>
      <c r="E66" s="2685"/>
      <c r="F66" s="2685"/>
      <c r="G66" s="2686"/>
      <c r="H66" s="2685"/>
      <c r="I66" s="2686"/>
      <c r="J66" s="2685"/>
      <c r="K66" s="2685"/>
      <c r="L66" s="2686"/>
      <c r="M66" s="2685"/>
      <c r="N66" s="2685"/>
      <c r="O66" s="2686"/>
      <c r="P66" s="2685"/>
      <c r="Q66" s="2685"/>
      <c r="R66" s="2687"/>
    </row>
    <row r="67" spans="2:18" s="907" customFormat="1">
      <c r="B67" s="2685"/>
      <c r="C67" s="2685"/>
      <c r="D67" s="2685"/>
      <c r="E67" s="2685"/>
      <c r="F67" s="2685"/>
      <c r="G67" s="2686"/>
      <c r="H67" s="2685"/>
      <c r="I67" s="2686"/>
      <c r="J67" s="2685"/>
      <c r="K67" s="2685"/>
      <c r="L67" s="2686"/>
      <c r="M67" s="2685"/>
      <c r="N67" s="2685"/>
      <c r="O67" s="2686"/>
      <c r="P67" s="2685"/>
      <c r="Q67" s="2685"/>
      <c r="R67" s="2687"/>
    </row>
    <row r="68" spans="2:18" s="907" customFormat="1">
      <c r="B68" s="2685"/>
      <c r="C68" s="2685"/>
      <c r="D68" s="2685"/>
      <c r="E68" s="2685"/>
      <c r="F68" s="2685"/>
      <c r="G68" s="2686"/>
      <c r="H68" s="2685"/>
      <c r="I68" s="2686"/>
      <c r="J68" s="2685"/>
      <c r="K68" s="2685"/>
      <c r="L68" s="2686"/>
      <c r="M68" s="2685"/>
      <c r="N68" s="2685"/>
      <c r="O68" s="2686"/>
      <c r="P68" s="2685"/>
      <c r="Q68" s="2685"/>
      <c r="R68" s="2687"/>
    </row>
    <row r="69" spans="2:18" s="907" customFormat="1">
      <c r="B69" s="2685"/>
      <c r="C69" s="2685"/>
      <c r="D69" s="2685"/>
      <c r="E69" s="2685"/>
      <c r="F69" s="2685"/>
      <c r="G69" s="2686"/>
      <c r="H69" s="2685"/>
      <c r="I69" s="2686"/>
      <c r="J69" s="2685"/>
      <c r="K69" s="2685"/>
      <c r="L69" s="2686"/>
      <c r="M69" s="2685"/>
      <c r="N69" s="2685"/>
      <c r="O69" s="2686"/>
      <c r="P69" s="2685"/>
      <c r="Q69" s="2685"/>
      <c r="R69" s="2687"/>
    </row>
    <row r="70" spans="2:18" s="907" customFormat="1">
      <c r="B70" s="2685"/>
      <c r="C70" s="2685"/>
      <c r="D70" s="2685"/>
      <c r="E70" s="2685"/>
      <c r="F70" s="2685"/>
      <c r="G70" s="2686"/>
      <c r="H70" s="2685"/>
      <c r="I70" s="2686"/>
      <c r="J70" s="2685"/>
      <c r="K70" s="2685"/>
      <c r="L70" s="2686"/>
      <c r="M70" s="2685"/>
      <c r="N70" s="2685"/>
      <c r="O70" s="2686"/>
      <c r="P70" s="2685"/>
      <c r="Q70" s="2685"/>
      <c r="R70" s="2687"/>
    </row>
    <row r="71" spans="2:18" s="907" customFormat="1">
      <c r="B71" s="2685"/>
      <c r="C71" s="2685"/>
      <c r="D71" s="2685"/>
      <c r="E71" s="2685"/>
      <c r="F71" s="2685"/>
      <c r="G71" s="2686"/>
      <c r="H71" s="2685"/>
      <c r="I71" s="2686"/>
      <c r="J71" s="2685"/>
      <c r="K71" s="2685"/>
      <c r="L71" s="2686"/>
      <c r="M71" s="2685"/>
      <c r="N71" s="2685"/>
      <c r="O71" s="2686"/>
      <c r="P71" s="2685"/>
      <c r="Q71" s="2685"/>
      <c r="R71" s="2687"/>
    </row>
    <row r="72" spans="2:18" s="907" customFormat="1">
      <c r="B72" s="2685"/>
      <c r="C72" s="2685"/>
      <c r="D72" s="2685"/>
      <c r="E72" s="2685"/>
      <c r="F72" s="2685"/>
      <c r="G72" s="2686"/>
      <c r="H72" s="2685"/>
      <c r="I72" s="2686"/>
      <c r="J72" s="2685"/>
      <c r="K72" s="2685"/>
      <c r="L72" s="2686"/>
      <c r="M72" s="2685"/>
      <c r="N72" s="2685"/>
      <c r="O72" s="2686"/>
      <c r="P72" s="2685"/>
      <c r="Q72" s="2685"/>
      <c r="R72" s="2687"/>
    </row>
    <row r="73" spans="2:18" s="907" customFormat="1">
      <c r="B73" s="2685"/>
      <c r="C73" s="2685"/>
      <c r="D73" s="2685"/>
      <c r="E73" s="2685"/>
      <c r="F73" s="2685"/>
      <c r="G73" s="2686"/>
      <c r="H73" s="2685"/>
      <c r="I73" s="2686"/>
      <c r="J73" s="2685"/>
      <c r="K73" s="2685"/>
      <c r="L73" s="2686"/>
      <c r="M73" s="2685"/>
      <c r="N73" s="2685"/>
      <c r="O73" s="2686"/>
      <c r="P73" s="2685"/>
      <c r="Q73" s="2685"/>
      <c r="R73" s="2687"/>
    </row>
    <row r="74" spans="2:18" s="907" customFormat="1">
      <c r="B74" s="2685"/>
      <c r="C74" s="2685"/>
      <c r="D74" s="2685"/>
      <c r="E74" s="2685"/>
      <c r="F74" s="2685"/>
      <c r="G74" s="2686"/>
      <c r="H74" s="2685"/>
      <c r="I74" s="2686"/>
      <c r="J74" s="2685"/>
      <c r="K74" s="2685"/>
      <c r="L74" s="2686"/>
      <c r="M74" s="2685"/>
      <c r="N74" s="2685"/>
      <c r="O74" s="2686"/>
      <c r="P74" s="2685"/>
      <c r="Q74" s="2685"/>
      <c r="R74" s="2687"/>
    </row>
    <row r="75" spans="2:18" s="907" customFormat="1">
      <c r="B75" s="2685"/>
      <c r="C75" s="2685"/>
      <c r="D75" s="2685"/>
      <c r="E75" s="2685"/>
      <c r="F75" s="2685"/>
      <c r="G75" s="2686"/>
      <c r="H75" s="2685"/>
      <c r="I75" s="2686"/>
      <c r="J75" s="2685"/>
      <c r="K75" s="2685"/>
      <c r="L75" s="2686"/>
      <c r="M75" s="2685"/>
      <c r="N75" s="2685"/>
      <c r="O75" s="2686"/>
      <c r="P75" s="2685"/>
      <c r="Q75" s="2685"/>
      <c r="R75" s="2687"/>
    </row>
    <row r="76" spans="2:18" s="907" customFormat="1">
      <c r="B76" s="2685"/>
      <c r="C76" s="2685"/>
      <c r="D76" s="2685"/>
      <c r="E76" s="2685"/>
      <c r="F76" s="2685"/>
      <c r="G76" s="2686"/>
      <c r="H76" s="2685"/>
      <c r="I76" s="2686"/>
      <c r="J76" s="2685"/>
      <c r="K76" s="2685"/>
      <c r="L76" s="2686"/>
      <c r="M76" s="2685"/>
      <c r="N76" s="2685"/>
      <c r="O76" s="2686"/>
      <c r="P76" s="2685"/>
      <c r="Q76" s="2685"/>
      <c r="R76" s="2687"/>
    </row>
    <row r="77" spans="2:18" s="907" customFormat="1">
      <c r="B77" s="2685"/>
      <c r="C77" s="2685"/>
      <c r="D77" s="2685"/>
      <c r="E77" s="2685"/>
      <c r="F77" s="2685"/>
      <c r="G77" s="2686"/>
      <c r="H77" s="2685"/>
      <c r="I77" s="2686"/>
      <c r="J77" s="2685"/>
      <c r="K77" s="2685"/>
      <c r="L77" s="2686"/>
      <c r="M77" s="2685"/>
      <c r="N77" s="2685"/>
      <c r="O77" s="2686"/>
      <c r="P77" s="2685"/>
      <c r="Q77" s="2685"/>
      <c r="R77" s="2687"/>
    </row>
    <row r="78" spans="2:18" s="907" customFormat="1">
      <c r="B78" s="2685"/>
      <c r="C78" s="2685"/>
      <c r="D78" s="2685"/>
      <c r="E78" s="2685"/>
      <c r="F78" s="2685"/>
      <c r="G78" s="2686"/>
      <c r="H78" s="2685"/>
      <c r="I78" s="2686"/>
      <c r="J78" s="2685"/>
      <c r="K78" s="2685"/>
      <c r="L78" s="2686"/>
      <c r="M78" s="2685"/>
      <c r="N78" s="2685"/>
      <c r="O78" s="2686"/>
      <c r="P78" s="2685"/>
      <c r="Q78" s="2685"/>
      <c r="R78" s="2687"/>
    </row>
    <row r="79" spans="2:18" s="907" customFormat="1">
      <c r="B79" s="2685"/>
      <c r="C79" s="2685"/>
      <c r="D79" s="2685"/>
      <c r="E79" s="2685"/>
      <c r="F79" s="2685"/>
      <c r="G79" s="2686"/>
      <c r="H79" s="2685"/>
      <c r="I79" s="2686"/>
      <c r="J79" s="2685"/>
      <c r="K79" s="2685"/>
      <c r="L79" s="2686"/>
      <c r="M79" s="2685"/>
      <c r="N79" s="2685"/>
      <c r="O79" s="2686"/>
      <c r="P79" s="2685"/>
      <c r="Q79" s="2685"/>
      <c r="R79" s="2687"/>
    </row>
    <row r="80" spans="2:18" s="907" customFormat="1">
      <c r="B80" s="2685"/>
      <c r="C80" s="2685"/>
      <c r="D80" s="2685"/>
      <c r="E80" s="2685"/>
      <c r="F80" s="2685"/>
      <c r="G80" s="2686"/>
      <c r="H80" s="2685"/>
      <c r="I80" s="2686"/>
      <c r="J80" s="2685"/>
      <c r="K80" s="2685"/>
      <c r="L80" s="2686"/>
      <c r="M80" s="2685"/>
      <c r="N80" s="2685"/>
      <c r="O80" s="2686"/>
      <c r="P80" s="2685"/>
      <c r="Q80" s="2685"/>
      <c r="R80" s="2687"/>
    </row>
    <row r="81" spans="2:18" s="907" customFormat="1">
      <c r="B81" s="2685"/>
      <c r="C81" s="2685"/>
      <c r="D81" s="2685"/>
      <c r="E81" s="2685"/>
      <c r="F81" s="2685"/>
      <c r="G81" s="2686"/>
      <c r="H81" s="2685"/>
      <c r="I81" s="2686"/>
      <c r="J81" s="2685"/>
      <c r="K81" s="2685"/>
      <c r="L81" s="2686"/>
      <c r="M81" s="2685"/>
      <c r="N81" s="2685"/>
      <c r="O81" s="2686"/>
      <c r="P81" s="2685"/>
      <c r="Q81" s="2685"/>
      <c r="R81" s="2687"/>
    </row>
    <row r="82" spans="2:18" s="907" customFormat="1">
      <c r="B82" s="2685"/>
      <c r="C82" s="2685"/>
      <c r="D82" s="2685"/>
      <c r="E82" s="2685"/>
      <c r="F82" s="2685"/>
      <c r="G82" s="2686"/>
      <c r="H82" s="2685"/>
      <c r="I82" s="2686"/>
      <c r="J82" s="2685"/>
      <c r="K82" s="2685"/>
      <c r="L82" s="2686"/>
      <c r="M82" s="2685"/>
      <c r="N82" s="2685"/>
      <c r="O82" s="2686"/>
      <c r="P82" s="2685"/>
      <c r="Q82" s="2685"/>
      <c r="R82" s="2687"/>
    </row>
    <row r="83" spans="2:18" s="907" customFormat="1">
      <c r="B83" s="2685"/>
      <c r="C83" s="2685"/>
      <c r="D83" s="2685"/>
      <c r="E83" s="2685"/>
      <c r="F83" s="2685"/>
      <c r="G83" s="2686"/>
      <c r="H83" s="2685"/>
      <c r="I83" s="2686"/>
      <c r="J83" s="2685"/>
      <c r="K83" s="2685"/>
      <c r="L83" s="2686"/>
      <c r="M83" s="2685"/>
      <c r="N83" s="2685"/>
      <c r="O83" s="2686"/>
      <c r="P83" s="2685"/>
      <c r="Q83" s="2685"/>
      <c r="R83" s="2687"/>
    </row>
    <row r="84" spans="2:18" s="907" customFormat="1">
      <c r="B84" s="2685"/>
      <c r="C84" s="2685"/>
      <c r="D84" s="2685"/>
      <c r="E84" s="2685"/>
      <c r="F84" s="2685"/>
      <c r="G84" s="2686"/>
      <c r="H84" s="2685"/>
      <c r="I84" s="2686"/>
      <c r="J84" s="2685"/>
      <c r="K84" s="2685"/>
      <c r="L84" s="2686"/>
      <c r="M84" s="2685"/>
      <c r="N84" s="2685"/>
      <c r="O84" s="2686"/>
      <c r="P84" s="2685"/>
      <c r="Q84" s="2685"/>
      <c r="R84" s="2687"/>
    </row>
    <row r="85" spans="2:18" s="907" customFormat="1">
      <c r="B85" s="2685"/>
      <c r="C85" s="2685"/>
      <c r="D85" s="2685"/>
      <c r="E85" s="2685"/>
      <c r="F85" s="2685"/>
      <c r="G85" s="2686"/>
      <c r="H85" s="2685"/>
      <c r="I85" s="2686"/>
      <c r="J85" s="2685"/>
      <c r="K85" s="2685"/>
      <c r="L85" s="2686"/>
      <c r="M85" s="2685"/>
      <c r="N85" s="2685"/>
      <c r="O85" s="2686"/>
      <c r="P85" s="2685"/>
      <c r="Q85" s="2685"/>
      <c r="R85" s="2687"/>
    </row>
    <row r="86" spans="2:18" s="907" customFormat="1">
      <c r="B86" s="2685"/>
      <c r="C86" s="2685"/>
      <c r="D86" s="2685"/>
      <c r="E86" s="2685"/>
      <c r="F86" s="2685"/>
      <c r="G86" s="2686"/>
      <c r="H86" s="2685"/>
      <c r="I86" s="2686"/>
      <c r="J86" s="2685"/>
      <c r="K86" s="2685"/>
      <c r="L86" s="2686"/>
      <c r="M86" s="2685"/>
      <c r="N86" s="2685"/>
      <c r="O86" s="2686"/>
      <c r="P86" s="2685"/>
      <c r="Q86" s="2685"/>
      <c r="R86" s="2687"/>
    </row>
    <row r="87" spans="2:18" s="907" customFormat="1">
      <c r="B87" s="2685"/>
      <c r="C87" s="2685"/>
      <c r="D87" s="2685"/>
      <c r="E87" s="2685"/>
      <c r="F87" s="2685"/>
      <c r="G87" s="2686"/>
      <c r="H87" s="2685"/>
      <c r="I87" s="2686"/>
      <c r="J87" s="2685"/>
      <c r="K87" s="2685"/>
      <c r="L87" s="2686"/>
      <c r="M87" s="2685"/>
      <c r="N87" s="2685"/>
      <c r="O87" s="2686"/>
      <c r="P87" s="2685"/>
      <c r="Q87" s="2685"/>
      <c r="R87" s="2687"/>
    </row>
    <row r="88" spans="2:18" s="907" customFormat="1">
      <c r="B88" s="2685"/>
      <c r="C88" s="2685"/>
      <c r="D88" s="2685"/>
      <c r="E88" s="2685"/>
      <c r="F88" s="2685"/>
      <c r="G88" s="2686"/>
      <c r="H88" s="2685"/>
      <c r="I88" s="2686"/>
      <c r="J88" s="2685"/>
      <c r="K88" s="2685"/>
      <c r="L88" s="2686"/>
      <c r="M88" s="2685"/>
      <c r="N88" s="2685"/>
      <c r="O88" s="2686"/>
      <c r="P88" s="2685"/>
      <c r="Q88" s="2685"/>
      <c r="R88" s="2687"/>
    </row>
    <row r="89" spans="2:18" s="907" customFormat="1">
      <c r="B89" s="2685"/>
      <c r="C89" s="2685"/>
      <c r="D89" s="2685"/>
      <c r="E89" s="2685"/>
      <c r="F89" s="2685"/>
      <c r="G89" s="2686"/>
      <c r="H89" s="2685"/>
      <c r="I89" s="2686"/>
      <c r="J89" s="2685"/>
      <c r="K89" s="2685"/>
      <c r="L89" s="2686"/>
      <c r="M89" s="2685"/>
      <c r="N89" s="2685"/>
      <c r="O89" s="2686"/>
      <c r="P89" s="2685"/>
      <c r="Q89" s="2685"/>
      <c r="R89" s="2687"/>
    </row>
    <row r="90" spans="2:18" s="907" customFormat="1">
      <c r="B90" s="2685"/>
      <c r="C90" s="2685"/>
      <c r="D90" s="2685"/>
      <c r="E90" s="2685"/>
      <c r="F90" s="2685"/>
      <c r="G90" s="2686"/>
      <c r="H90" s="2685"/>
      <c r="I90" s="2686"/>
      <c r="J90" s="2685"/>
      <c r="K90" s="2685"/>
      <c r="L90" s="2686"/>
      <c r="M90" s="2685"/>
      <c r="N90" s="2685"/>
      <c r="O90" s="2686"/>
      <c r="P90" s="2685"/>
      <c r="Q90" s="2685"/>
      <c r="R90" s="2687"/>
    </row>
    <row r="91" spans="2:18" s="907" customFormat="1">
      <c r="B91" s="2685"/>
      <c r="C91" s="2685"/>
      <c r="D91" s="2685"/>
      <c r="E91" s="2685"/>
      <c r="F91" s="2685"/>
      <c r="G91" s="2686"/>
      <c r="H91" s="2685"/>
      <c r="I91" s="2686"/>
      <c r="J91" s="2685"/>
      <c r="K91" s="2685"/>
      <c r="L91" s="2686"/>
      <c r="M91" s="2685"/>
      <c r="N91" s="2685"/>
      <c r="O91" s="2686"/>
      <c r="P91" s="2685"/>
      <c r="Q91" s="2685"/>
      <c r="R91" s="2687"/>
    </row>
    <row r="92" spans="2:18" s="907" customFormat="1">
      <c r="B92" s="2685"/>
      <c r="C92" s="2685"/>
      <c r="D92" s="2685"/>
      <c r="E92" s="2685"/>
      <c r="F92" s="2685"/>
      <c r="G92" s="2686"/>
      <c r="H92" s="2685"/>
      <c r="I92" s="2686"/>
      <c r="J92" s="2685"/>
      <c r="K92" s="2685"/>
      <c r="L92" s="2686"/>
      <c r="M92" s="2685"/>
      <c r="N92" s="2685"/>
      <c r="O92" s="2686"/>
      <c r="P92" s="2685"/>
      <c r="Q92" s="2685"/>
      <c r="R92" s="2687"/>
    </row>
    <row r="93" spans="2:18" s="907" customFormat="1">
      <c r="B93" s="2685"/>
      <c r="C93" s="2685"/>
      <c r="D93" s="2685"/>
      <c r="E93" s="2685"/>
      <c r="F93" s="2685"/>
      <c r="G93" s="2686"/>
      <c r="H93" s="2685"/>
      <c r="I93" s="2686"/>
      <c r="J93" s="2685"/>
      <c r="K93" s="2685"/>
      <c r="L93" s="2686"/>
      <c r="M93" s="2685"/>
      <c r="N93" s="2685"/>
      <c r="O93" s="2686"/>
      <c r="P93" s="2685"/>
      <c r="Q93" s="2685"/>
      <c r="R93" s="2687"/>
    </row>
    <row r="94" spans="2:18" s="907" customFormat="1">
      <c r="B94" s="2685"/>
      <c r="C94" s="2685"/>
      <c r="D94" s="2685"/>
      <c r="E94" s="2685"/>
      <c r="F94" s="2685"/>
      <c r="G94" s="2686"/>
      <c r="H94" s="2685"/>
      <c r="I94" s="2686"/>
      <c r="J94" s="2685"/>
      <c r="K94" s="2685"/>
      <c r="L94" s="2686"/>
      <c r="M94" s="2685"/>
      <c r="N94" s="2685"/>
      <c r="O94" s="2686"/>
      <c r="P94" s="2685"/>
      <c r="Q94" s="2685"/>
      <c r="R94" s="2687"/>
    </row>
    <row r="95" spans="2:18" s="907" customFormat="1">
      <c r="B95" s="2685"/>
      <c r="C95" s="2685"/>
      <c r="D95" s="2685"/>
      <c r="E95" s="2685"/>
      <c r="F95" s="2685"/>
      <c r="G95" s="2686"/>
      <c r="H95" s="2685"/>
      <c r="I95" s="2686"/>
      <c r="J95" s="2685"/>
      <c r="K95" s="2685"/>
      <c r="L95" s="2686"/>
      <c r="M95" s="2685"/>
      <c r="N95" s="2685"/>
      <c r="O95" s="2686"/>
      <c r="P95" s="2685"/>
      <c r="Q95" s="2685"/>
      <c r="R95" s="2687"/>
    </row>
    <row r="96" spans="2:18" s="907" customFormat="1">
      <c r="B96" s="2685"/>
      <c r="C96" s="2685"/>
      <c r="D96" s="2685"/>
      <c r="E96" s="2685"/>
      <c r="F96" s="2685"/>
      <c r="G96" s="2686"/>
      <c r="H96" s="2685"/>
      <c r="I96" s="2686"/>
      <c r="J96" s="2685"/>
      <c r="K96" s="2685"/>
      <c r="L96" s="2686"/>
      <c r="M96" s="2685"/>
      <c r="N96" s="2685"/>
      <c r="O96" s="2686"/>
      <c r="P96" s="2685"/>
      <c r="Q96" s="2685"/>
      <c r="R96" s="2687"/>
    </row>
    <row r="97" spans="2:18" s="907" customFormat="1">
      <c r="B97" s="2685"/>
      <c r="C97" s="2685"/>
      <c r="D97" s="2685"/>
      <c r="E97" s="2685"/>
      <c r="F97" s="2685"/>
      <c r="G97" s="2686"/>
      <c r="H97" s="2685"/>
      <c r="I97" s="2686"/>
      <c r="J97" s="2685"/>
      <c r="K97" s="2685"/>
      <c r="L97" s="2686"/>
      <c r="M97" s="2685"/>
      <c r="N97" s="2685"/>
      <c r="O97" s="2686"/>
      <c r="P97" s="2685"/>
      <c r="Q97" s="2685"/>
      <c r="R97" s="2687"/>
    </row>
    <row r="98" spans="2:18" s="907" customFormat="1">
      <c r="B98" s="2685"/>
      <c r="C98" s="2685"/>
      <c r="D98" s="2685"/>
      <c r="E98" s="2685"/>
      <c r="F98" s="2685"/>
      <c r="G98" s="2686"/>
      <c r="H98" s="2685"/>
      <c r="I98" s="2686"/>
      <c r="J98" s="2685"/>
      <c r="K98" s="2685"/>
      <c r="L98" s="2686"/>
      <c r="M98" s="2685"/>
      <c r="N98" s="2685"/>
      <c r="O98" s="2686"/>
      <c r="P98" s="2685"/>
      <c r="Q98" s="2685"/>
      <c r="R98" s="2687"/>
    </row>
    <row r="99" spans="2:18" s="907" customFormat="1">
      <c r="B99" s="2685"/>
      <c r="C99" s="2685"/>
      <c r="D99" s="2685"/>
      <c r="E99" s="2685"/>
      <c r="F99" s="2685"/>
      <c r="G99" s="2686"/>
      <c r="H99" s="2685"/>
      <c r="I99" s="2686"/>
      <c r="J99" s="2685"/>
      <c r="K99" s="2685"/>
      <c r="L99" s="2686"/>
      <c r="M99" s="2685"/>
      <c r="N99" s="2685"/>
      <c r="O99" s="2686"/>
      <c r="P99" s="2685"/>
      <c r="Q99" s="2685"/>
      <c r="R99" s="2687"/>
    </row>
    <row r="100" spans="2:18" s="907" customFormat="1">
      <c r="B100" s="2685"/>
      <c r="C100" s="2685"/>
      <c r="D100" s="2685"/>
      <c r="E100" s="2685"/>
      <c r="F100" s="2685"/>
      <c r="G100" s="2686"/>
      <c r="H100" s="2685"/>
      <c r="I100" s="2686"/>
      <c r="J100" s="2685"/>
      <c r="K100" s="2685"/>
      <c r="L100" s="2686"/>
      <c r="M100" s="2685"/>
      <c r="N100" s="2685"/>
      <c r="O100" s="2686"/>
      <c r="P100" s="2685"/>
      <c r="Q100" s="2685"/>
      <c r="R100" s="2687"/>
    </row>
    <row r="101" spans="2:18" s="907" customFormat="1">
      <c r="B101" s="2685"/>
      <c r="C101" s="2685"/>
      <c r="D101" s="2685"/>
      <c r="E101" s="2685"/>
      <c r="F101" s="2685"/>
      <c r="G101" s="2686"/>
      <c r="H101" s="2685"/>
      <c r="I101" s="2686"/>
      <c r="J101" s="2685"/>
      <c r="K101" s="2685"/>
      <c r="L101" s="2686"/>
      <c r="M101" s="2685"/>
      <c r="N101" s="2685"/>
      <c r="O101" s="2686"/>
      <c r="P101" s="2685"/>
      <c r="Q101" s="2685"/>
      <c r="R101" s="2687"/>
    </row>
    <row r="102" spans="2:18" s="907" customFormat="1">
      <c r="B102" s="2685"/>
      <c r="C102" s="2685"/>
      <c r="D102" s="2685"/>
      <c r="E102" s="2685"/>
      <c r="F102" s="2685"/>
      <c r="G102" s="2686"/>
      <c r="H102" s="2685"/>
      <c r="I102" s="2686"/>
      <c r="J102" s="2685"/>
      <c r="K102" s="2685"/>
      <c r="L102" s="2686"/>
      <c r="M102" s="2685"/>
      <c r="N102" s="2685"/>
      <c r="O102" s="2686"/>
      <c r="P102" s="2685"/>
      <c r="Q102" s="2685"/>
      <c r="R102" s="2687"/>
    </row>
    <row r="103" spans="2:18" s="907" customFormat="1">
      <c r="B103" s="2685"/>
      <c r="C103" s="2685"/>
      <c r="D103" s="2685"/>
      <c r="E103" s="2685"/>
      <c r="F103" s="2685"/>
      <c r="G103" s="2686"/>
      <c r="H103" s="2685"/>
      <c r="I103" s="2686"/>
      <c r="J103" s="2685"/>
      <c r="K103" s="2685"/>
      <c r="L103" s="2686"/>
      <c r="M103" s="2685"/>
      <c r="N103" s="2685"/>
      <c r="O103" s="2686"/>
      <c r="P103" s="2685"/>
      <c r="Q103" s="2685"/>
      <c r="R103" s="2687"/>
    </row>
    <row r="104" spans="2:18" s="907" customFormat="1">
      <c r="B104" s="2685"/>
      <c r="C104" s="2685"/>
      <c r="D104" s="2685"/>
      <c r="E104" s="2685"/>
      <c r="F104" s="2685"/>
      <c r="G104" s="2686"/>
      <c r="H104" s="2685"/>
      <c r="I104" s="2686"/>
      <c r="J104" s="2685"/>
      <c r="K104" s="2685"/>
      <c r="L104" s="2686"/>
      <c r="M104" s="2685"/>
      <c r="N104" s="2685"/>
      <c r="O104" s="2686"/>
      <c r="P104" s="2685"/>
      <c r="Q104" s="2685"/>
      <c r="R104" s="2687"/>
    </row>
    <row r="105" spans="2:18" s="907" customFormat="1">
      <c r="B105" s="2685"/>
      <c r="C105" s="2685"/>
      <c r="D105" s="2685"/>
      <c r="E105" s="2685"/>
      <c r="F105" s="2685"/>
      <c r="G105" s="2686"/>
      <c r="H105" s="2685"/>
      <c r="I105" s="2686"/>
      <c r="J105" s="2685"/>
      <c r="K105" s="2685"/>
      <c r="L105" s="2686"/>
      <c r="M105" s="2685"/>
      <c r="N105" s="2685"/>
      <c r="O105" s="2686"/>
      <c r="P105" s="2685"/>
      <c r="Q105" s="2685"/>
      <c r="R105" s="2687"/>
    </row>
    <row r="106" spans="2:18" s="907" customFormat="1">
      <c r="B106" s="2685"/>
      <c r="C106" s="2685"/>
      <c r="D106" s="2685"/>
      <c r="E106" s="2685"/>
      <c r="F106" s="2685"/>
      <c r="G106" s="2686"/>
      <c r="H106" s="2685"/>
      <c r="I106" s="2686"/>
      <c r="J106" s="2685"/>
      <c r="K106" s="2685"/>
      <c r="L106" s="2686"/>
      <c r="M106" s="2685"/>
      <c r="N106" s="2685"/>
      <c r="O106" s="2686"/>
      <c r="P106" s="2685"/>
      <c r="Q106" s="2685"/>
      <c r="R106" s="2687"/>
    </row>
    <row r="107" spans="2:18" s="907" customFormat="1">
      <c r="B107" s="2685"/>
      <c r="C107" s="2685"/>
      <c r="D107" s="2685"/>
      <c r="E107" s="2685"/>
      <c r="F107" s="2685"/>
      <c r="G107" s="2686"/>
      <c r="H107" s="2685"/>
      <c r="I107" s="2686"/>
      <c r="J107" s="2685"/>
      <c r="K107" s="2685"/>
      <c r="L107" s="2686"/>
      <c r="M107" s="2685"/>
      <c r="N107" s="2685"/>
      <c r="O107" s="2686"/>
      <c r="P107" s="2685"/>
      <c r="Q107" s="2685"/>
      <c r="R107" s="2687"/>
    </row>
    <row r="108" spans="2:18" s="907" customFormat="1">
      <c r="B108" s="2685"/>
      <c r="C108" s="2685"/>
      <c r="D108" s="2685"/>
      <c r="E108" s="2685"/>
      <c r="F108" s="2685"/>
      <c r="G108" s="2686"/>
      <c r="H108" s="2685"/>
      <c r="I108" s="2686"/>
      <c r="J108" s="2685"/>
      <c r="K108" s="2685"/>
      <c r="L108" s="2686"/>
      <c r="M108" s="2685"/>
      <c r="N108" s="2685"/>
      <c r="O108" s="2686"/>
      <c r="P108" s="2685"/>
      <c r="Q108" s="2685"/>
      <c r="R108" s="2687"/>
    </row>
    <row r="109" spans="2:18" s="907" customFormat="1">
      <c r="B109" s="2685"/>
      <c r="C109" s="2685"/>
      <c r="D109" s="2685"/>
      <c r="E109" s="2685"/>
      <c r="F109" s="2685"/>
      <c r="G109" s="2686"/>
      <c r="H109" s="2685"/>
      <c r="I109" s="2686"/>
      <c r="J109" s="2685"/>
      <c r="K109" s="2685"/>
      <c r="L109" s="2686"/>
      <c r="M109" s="2685"/>
      <c r="N109" s="2685"/>
      <c r="O109" s="2686"/>
      <c r="P109" s="2685"/>
      <c r="Q109" s="2685"/>
      <c r="R109" s="2687"/>
    </row>
    <row r="110" spans="2:18" s="907" customFormat="1">
      <c r="B110" s="2685"/>
      <c r="C110" s="2685"/>
      <c r="D110" s="2685"/>
      <c r="E110" s="2685"/>
      <c r="F110" s="2685"/>
      <c r="G110" s="2686"/>
      <c r="H110" s="2685"/>
      <c r="I110" s="2686"/>
      <c r="J110" s="2685"/>
      <c r="K110" s="2685"/>
      <c r="L110" s="2686"/>
      <c r="M110" s="2685"/>
      <c r="N110" s="2685"/>
      <c r="O110" s="2686"/>
      <c r="P110" s="2685"/>
      <c r="Q110" s="2685"/>
      <c r="R110" s="2687"/>
    </row>
    <row r="111" spans="2:18" s="907" customFormat="1">
      <c r="B111" s="2685"/>
      <c r="C111" s="2685"/>
      <c r="D111" s="2685"/>
      <c r="E111" s="2685"/>
      <c r="F111" s="2685"/>
      <c r="G111" s="2686"/>
      <c r="H111" s="2685"/>
      <c r="I111" s="2686"/>
      <c r="J111" s="2685"/>
      <c r="K111" s="2685"/>
      <c r="L111" s="2686"/>
      <c r="M111" s="2685"/>
      <c r="N111" s="2685"/>
      <c r="O111" s="2686"/>
      <c r="P111" s="2685"/>
      <c r="Q111" s="2685"/>
      <c r="R111" s="2687"/>
    </row>
    <row r="112" spans="2:18" s="907" customFormat="1">
      <c r="B112" s="2685"/>
      <c r="C112" s="2685"/>
      <c r="D112" s="2685"/>
      <c r="E112" s="2685"/>
      <c r="F112" s="2685"/>
      <c r="G112" s="2686"/>
      <c r="H112" s="2685"/>
      <c r="I112" s="2686"/>
      <c r="J112" s="2685"/>
      <c r="K112" s="2685"/>
      <c r="L112" s="2686"/>
      <c r="M112" s="2685"/>
      <c r="N112" s="2685"/>
      <c r="O112" s="2686"/>
      <c r="P112" s="2685"/>
      <c r="Q112" s="2685"/>
      <c r="R112" s="2687"/>
    </row>
    <row r="113" spans="2:18" s="907" customFormat="1">
      <c r="B113" s="2685"/>
      <c r="C113" s="2685"/>
      <c r="D113" s="2685"/>
      <c r="E113" s="2685"/>
      <c r="F113" s="2685"/>
      <c r="G113" s="2686"/>
      <c r="H113" s="2685"/>
      <c r="I113" s="2686"/>
      <c r="J113" s="2685"/>
      <c r="K113" s="2685"/>
      <c r="L113" s="2686"/>
      <c r="M113" s="2685"/>
      <c r="N113" s="2685"/>
      <c r="O113" s="2686"/>
      <c r="P113" s="2685"/>
      <c r="Q113" s="2685"/>
      <c r="R113" s="2687"/>
    </row>
    <row r="114" spans="2:18" s="907" customFormat="1">
      <c r="B114" s="2685"/>
      <c r="C114" s="2685"/>
      <c r="D114" s="2685"/>
      <c r="E114" s="2685"/>
      <c r="F114" s="2685"/>
      <c r="G114" s="2686"/>
      <c r="H114" s="2685"/>
      <c r="I114" s="2686"/>
      <c r="J114" s="2685"/>
      <c r="K114" s="2685"/>
      <c r="L114" s="2686"/>
      <c r="M114" s="2685"/>
      <c r="N114" s="2685"/>
      <c r="O114" s="2686"/>
      <c r="P114" s="2685"/>
      <c r="Q114" s="2685"/>
      <c r="R114" s="2687"/>
    </row>
    <row r="115" spans="2:18" s="907" customFormat="1">
      <c r="B115" s="2685"/>
      <c r="C115" s="2685"/>
      <c r="D115" s="2685"/>
      <c r="E115" s="2685"/>
      <c r="F115" s="2685"/>
      <c r="G115" s="2686"/>
      <c r="H115" s="2685"/>
      <c r="I115" s="2686"/>
      <c r="J115" s="2685"/>
      <c r="K115" s="2685"/>
      <c r="L115" s="2686"/>
      <c r="M115" s="2685"/>
      <c r="N115" s="2685"/>
      <c r="O115" s="2686"/>
      <c r="P115" s="2685"/>
      <c r="Q115" s="2685"/>
      <c r="R115" s="2687"/>
    </row>
    <row r="116" spans="2:18" s="907" customFormat="1">
      <c r="B116" s="2685"/>
      <c r="C116" s="2685"/>
      <c r="D116" s="2685"/>
      <c r="E116" s="2685"/>
      <c r="F116" s="2685"/>
      <c r="G116" s="2686"/>
      <c r="H116" s="2685"/>
      <c r="I116" s="2686"/>
      <c r="J116" s="2685"/>
      <c r="K116" s="2685"/>
      <c r="L116" s="2686"/>
      <c r="M116" s="2685"/>
      <c r="N116" s="2685"/>
      <c r="O116" s="2686"/>
      <c r="P116" s="2685"/>
      <c r="Q116" s="2685"/>
      <c r="R116" s="2687"/>
    </row>
    <row r="117" spans="2:18" s="907" customFormat="1">
      <c r="B117" s="2685"/>
      <c r="C117" s="2685"/>
      <c r="D117" s="2685"/>
      <c r="E117" s="2685"/>
      <c r="F117" s="2685"/>
      <c r="G117" s="2686"/>
      <c r="H117" s="2685"/>
      <c r="I117" s="2686"/>
      <c r="J117" s="2685"/>
      <c r="K117" s="2685"/>
      <c r="L117" s="2686"/>
      <c r="M117" s="2685"/>
      <c r="N117" s="2685"/>
      <c r="O117" s="2686"/>
      <c r="P117" s="2685"/>
      <c r="Q117" s="2685"/>
      <c r="R117" s="2687"/>
    </row>
    <row r="118" spans="2:18" s="907" customFormat="1">
      <c r="B118" s="2685"/>
      <c r="C118" s="2685"/>
      <c r="D118" s="2685"/>
      <c r="E118" s="2685"/>
      <c r="F118" s="2685"/>
      <c r="G118" s="2686"/>
      <c r="H118" s="2685"/>
      <c r="I118" s="2686"/>
      <c r="J118" s="2685"/>
      <c r="K118" s="2685"/>
      <c r="L118" s="2686"/>
      <c r="M118" s="2685"/>
      <c r="N118" s="2685"/>
      <c r="O118" s="2686"/>
      <c r="P118" s="2685"/>
      <c r="Q118" s="2685"/>
      <c r="R118" s="2687"/>
    </row>
    <row r="119" spans="2:18" s="907" customFormat="1">
      <c r="B119" s="2685"/>
      <c r="C119" s="2685"/>
      <c r="D119" s="2685"/>
      <c r="E119" s="2685"/>
      <c r="F119" s="2685"/>
      <c r="G119" s="2686"/>
      <c r="H119" s="2685"/>
      <c r="I119" s="2686"/>
      <c r="J119" s="2685"/>
      <c r="K119" s="2685"/>
      <c r="L119" s="2686"/>
      <c r="M119" s="2685"/>
      <c r="N119" s="2685"/>
      <c r="O119" s="2686"/>
      <c r="P119" s="2685"/>
      <c r="Q119" s="2685"/>
      <c r="R119" s="2687"/>
    </row>
    <row r="120" spans="2:18" s="907" customFormat="1">
      <c r="B120" s="2685"/>
      <c r="C120" s="2685"/>
      <c r="D120" s="2685"/>
      <c r="E120" s="2685"/>
      <c r="F120" s="2685"/>
      <c r="G120" s="2686"/>
      <c r="H120" s="2685"/>
      <c r="I120" s="2686"/>
      <c r="J120" s="2685"/>
      <c r="K120" s="2685"/>
      <c r="L120" s="2686"/>
      <c r="M120" s="2685"/>
      <c r="N120" s="2685"/>
      <c r="O120" s="2686"/>
      <c r="P120" s="2685"/>
      <c r="Q120" s="2685"/>
      <c r="R120" s="2687"/>
    </row>
    <row r="121" spans="2:18" s="907" customFormat="1">
      <c r="B121" s="2685"/>
      <c r="C121" s="2685"/>
      <c r="D121" s="2685"/>
      <c r="E121" s="2685"/>
      <c r="F121" s="2685"/>
      <c r="G121" s="2686"/>
      <c r="H121" s="2685"/>
      <c r="I121" s="2686"/>
      <c r="J121" s="2685"/>
      <c r="K121" s="2685"/>
      <c r="L121" s="2686"/>
      <c r="M121" s="2685"/>
      <c r="N121" s="2685"/>
      <c r="O121" s="2686"/>
      <c r="P121" s="2685"/>
      <c r="Q121" s="2685"/>
      <c r="R121" s="2687"/>
    </row>
    <row r="122" spans="2:18" s="907" customFormat="1">
      <c r="B122" s="2685"/>
      <c r="C122" s="2685"/>
      <c r="D122" s="2685"/>
      <c r="E122" s="2685"/>
      <c r="F122" s="2685"/>
      <c r="G122" s="2686"/>
      <c r="H122" s="2685"/>
      <c r="I122" s="2686"/>
      <c r="J122" s="2685"/>
      <c r="K122" s="2685"/>
      <c r="L122" s="2686"/>
      <c r="M122" s="2685"/>
      <c r="N122" s="2685"/>
      <c r="O122" s="2686"/>
      <c r="P122" s="2685"/>
      <c r="Q122" s="2685"/>
      <c r="R122" s="2687"/>
    </row>
    <row r="123" spans="2:18" s="907" customFormat="1">
      <c r="B123" s="2685"/>
      <c r="C123" s="2685"/>
      <c r="D123" s="2685"/>
      <c r="E123" s="2685"/>
      <c r="F123" s="2685"/>
      <c r="G123" s="2686"/>
      <c r="H123" s="2685"/>
      <c r="I123" s="2686"/>
      <c r="J123" s="2685"/>
      <c r="K123" s="2685"/>
      <c r="L123" s="2686"/>
      <c r="M123" s="2685"/>
      <c r="N123" s="2685"/>
      <c r="O123" s="2686"/>
      <c r="P123" s="2685"/>
      <c r="Q123" s="2685"/>
      <c r="R123" s="2687"/>
    </row>
    <row r="124" spans="2:18" s="907" customFormat="1">
      <c r="B124" s="2685"/>
      <c r="C124" s="2685"/>
      <c r="D124" s="2685"/>
      <c r="E124" s="2685"/>
      <c r="F124" s="2685"/>
      <c r="G124" s="2686"/>
      <c r="H124" s="2685"/>
      <c r="I124" s="2686"/>
      <c r="J124" s="2685"/>
      <c r="K124" s="2685"/>
      <c r="L124" s="2686"/>
      <c r="M124" s="2685"/>
      <c r="N124" s="2685"/>
      <c r="O124" s="2686"/>
      <c r="P124" s="2685"/>
      <c r="Q124" s="2685"/>
      <c r="R124" s="2687"/>
    </row>
    <row r="125" spans="2:18" s="907" customFormat="1">
      <c r="B125" s="2685"/>
      <c r="C125" s="2685"/>
      <c r="D125" s="2685"/>
      <c r="E125" s="2685"/>
      <c r="F125" s="2685"/>
      <c r="G125" s="2686"/>
      <c r="H125" s="2685"/>
      <c r="I125" s="2686"/>
      <c r="J125" s="2685"/>
      <c r="K125" s="2685"/>
      <c r="L125" s="2686"/>
      <c r="M125" s="2685"/>
      <c r="N125" s="2685"/>
      <c r="O125" s="2686"/>
      <c r="P125" s="2685"/>
      <c r="Q125" s="2685"/>
      <c r="R125" s="2687"/>
    </row>
    <row r="126" spans="2:18" s="907" customFormat="1">
      <c r="B126" s="2685"/>
      <c r="C126" s="2685"/>
      <c r="D126" s="2685"/>
      <c r="E126" s="2685"/>
      <c r="F126" s="2685"/>
      <c r="G126" s="2686"/>
      <c r="H126" s="2685"/>
      <c r="I126" s="2686"/>
      <c r="J126" s="2685"/>
      <c r="K126" s="2685"/>
      <c r="L126" s="2686"/>
      <c r="M126" s="2685"/>
      <c r="N126" s="2685"/>
      <c r="O126" s="2686"/>
      <c r="P126" s="2685"/>
      <c r="Q126" s="2685"/>
      <c r="R126" s="2687"/>
    </row>
    <row r="127" spans="2:18" s="907" customFormat="1">
      <c r="B127" s="2685"/>
      <c r="C127" s="2685"/>
      <c r="D127" s="2685"/>
      <c r="E127" s="2685"/>
      <c r="F127" s="2685"/>
      <c r="G127" s="2686"/>
      <c r="H127" s="2685"/>
      <c r="I127" s="2686"/>
      <c r="J127" s="2685"/>
      <c r="K127" s="2685"/>
      <c r="L127" s="2686"/>
      <c r="M127" s="2685"/>
      <c r="N127" s="2685"/>
      <c r="O127" s="2686"/>
      <c r="P127" s="2685"/>
      <c r="Q127" s="2685"/>
      <c r="R127" s="2687"/>
    </row>
    <row r="128" spans="2:18" s="907" customFormat="1">
      <c r="B128" s="2685"/>
      <c r="C128" s="2685"/>
      <c r="D128" s="2685"/>
      <c r="E128" s="2685"/>
      <c r="F128" s="2685"/>
      <c r="G128" s="2686"/>
      <c r="H128" s="2685"/>
      <c r="I128" s="2686"/>
      <c r="J128" s="2685"/>
      <c r="K128" s="2685"/>
      <c r="L128" s="2686"/>
      <c r="M128" s="2685"/>
      <c r="N128" s="2685"/>
      <c r="O128" s="2686"/>
      <c r="P128" s="2685"/>
      <c r="Q128" s="2685"/>
      <c r="R128" s="2687"/>
    </row>
    <row r="129" spans="2:18" s="907" customFormat="1">
      <c r="B129" s="2685"/>
      <c r="C129" s="2685"/>
      <c r="D129" s="2685"/>
      <c r="E129" s="2685"/>
      <c r="F129" s="2685"/>
      <c r="G129" s="2686"/>
      <c r="H129" s="2685"/>
      <c r="I129" s="2686"/>
      <c r="J129" s="2685"/>
      <c r="K129" s="2685"/>
      <c r="L129" s="2686"/>
      <c r="M129" s="2685"/>
      <c r="N129" s="2685"/>
      <c r="O129" s="2686"/>
      <c r="P129" s="2685"/>
      <c r="Q129" s="2685"/>
      <c r="R129" s="2687"/>
    </row>
    <row r="130" spans="2:18" s="907" customFormat="1">
      <c r="B130" s="2685"/>
      <c r="C130" s="2685"/>
      <c r="D130" s="2685"/>
      <c r="E130" s="2685"/>
      <c r="F130" s="2685"/>
      <c r="G130" s="2686"/>
      <c r="H130" s="2685"/>
      <c r="I130" s="2686"/>
      <c r="J130" s="2685"/>
      <c r="K130" s="2685"/>
      <c r="L130" s="2686"/>
      <c r="M130" s="2685"/>
      <c r="N130" s="2685"/>
      <c r="O130" s="2686"/>
      <c r="P130" s="2685"/>
      <c r="Q130" s="2685"/>
      <c r="R130" s="2687"/>
    </row>
    <row r="131" spans="2:18" s="907" customFormat="1">
      <c r="B131" s="2685"/>
      <c r="C131" s="2685"/>
      <c r="D131" s="2685"/>
      <c r="E131" s="2685"/>
      <c r="F131" s="2685"/>
      <c r="G131" s="2686"/>
      <c r="H131" s="2685"/>
      <c r="I131" s="2686"/>
      <c r="J131" s="2685"/>
      <c r="K131" s="2685"/>
      <c r="L131" s="2686"/>
      <c r="M131" s="2685"/>
      <c r="N131" s="2685"/>
      <c r="O131" s="2686"/>
      <c r="P131" s="2685"/>
      <c r="Q131" s="2685"/>
      <c r="R131" s="2687"/>
    </row>
    <row r="132" spans="2:18" s="907" customFormat="1">
      <c r="B132" s="2685"/>
      <c r="C132" s="2685"/>
      <c r="D132" s="2685"/>
      <c r="E132" s="2685"/>
      <c r="F132" s="2685"/>
      <c r="G132" s="2686"/>
      <c r="H132" s="2685"/>
      <c r="I132" s="2686"/>
      <c r="J132" s="2685"/>
      <c r="K132" s="2685"/>
      <c r="L132" s="2686"/>
      <c r="M132" s="2685"/>
      <c r="N132" s="2685"/>
      <c r="O132" s="2686"/>
      <c r="P132" s="2685"/>
      <c r="Q132" s="2685"/>
      <c r="R132" s="2687"/>
    </row>
    <row r="133" spans="2:18" s="907" customFormat="1">
      <c r="B133" s="2685"/>
      <c r="C133" s="2685"/>
      <c r="D133" s="2685"/>
      <c r="E133" s="2685"/>
      <c r="F133" s="2685"/>
      <c r="G133" s="2686"/>
      <c r="H133" s="2685"/>
      <c r="I133" s="2686"/>
      <c r="J133" s="2685"/>
      <c r="K133" s="2685"/>
      <c r="L133" s="2686"/>
      <c r="M133" s="2685"/>
      <c r="N133" s="2685"/>
      <c r="O133" s="2686"/>
      <c r="P133" s="2685"/>
      <c r="Q133" s="2685"/>
      <c r="R133" s="2687"/>
    </row>
    <row r="134" spans="2:18" s="907" customFormat="1">
      <c r="B134" s="2685"/>
      <c r="C134" s="2685"/>
      <c r="D134" s="2685"/>
      <c r="E134" s="2685"/>
      <c r="F134" s="2685"/>
      <c r="G134" s="2686"/>
      <c r="H134" s="2685"/>
      <c r="I134" s="2686"/>
      <c r="J134" s="2685"/>
      <c r="K134" s="2685"/>
      <c r="L134" s="2686"/>
      <c r="M134" s="2685"/>
      <c r="N134" s="2685"/>
      <c r="O134" s="2686"/>
      <c r="P134" s="2685"/>
      <c r="Q134" s="2685"/>
      <c r="R134" s="2687"/>
    </row>
    <row r="135" spans="2:18" s="907" customFormat="1">
      <c r="B135" s="2685"/>
      <c r="C135" s="2685"/>
      <c r="D135" s="2685"/>
      <c r="E135" s="2685"/>
      <c r="F135" s="2685"/>
      <c r="G135" s="2686"/>
      <c r="H135" s="2685"/>
      <c r="I135" s="2686"/>
      <c r="J135" s="2685"/>
      <c r="K135" s="2685"/>
      <c r="L135" s="2686"/>
      <c r="M135" s="2685"/>
      <c r="N135" s="2685"/>
      <c r="O135" s="2686"/>
      <c r="P135" s="2685"/>
      <c r="Q135" s="2685"/>
      <c r="R135" s="2687"/>
    </row>
    <row r="136" spans="2:18" s="907" customFormat="1">
      <c r="B136" s="2685"/>
      <c r="C136" s="2685"/>
      <c r="D136" s="2685"/>
      <c r="E136" s="2685"/>
      <c r="F136" s="2685"/>
      <c r="G136" s="2686"/>
      <c r="H136" s="2685"/>
      <c r="I136" s="2686"/>
      <c r="J136" s="2685"/>
      <c r="K136" s="2685"/>
      <c r="L136" s="2686"/>
      <c r="M136" s="2685"/>
      <c r="N136" s="2685"/>
      <c r="O136" s="2686"/>
      <c r="P136" s="2685"/>
      <c r="Q136" s="2685"/>
      <c r="R136" s="2687"/>
    </row>
    <row r="137" spans="2:18" s="907" customFormat="1">
      <c r="B137" s="2685"/>
      <c r="C137" s="2685"/>
      <c r="D137" s="2685"/>
      <c r="E137" s="2685"/>
      <c r="F137" s="2685"/>
      <c r="G137" s="2686"/>
      <c r="H137" s="2685"/>
      <c r="I137" s="2686"/>
      <c r="J137" s="2685"/>
      <c r="K137" s="2685"/>
      <c r="L137" s="2686"/>
      <c r="M137" s="2685"/>
      <c r="N137" s="2685"/>
      <c r="O137" s="2686"/>
      <c r="P137" s="2685"/>
      <c r="Q137" s="2685"/>
      <c r="R137" s="2687"/>
    </row>
    <row r="138" spans="2:18" s="907" customFormat="1">
      <c r="B138" s="2685"/>
      <c r="C138" s="2685"/>
      <c r="D138" s="2685"/>
      <c r="E138" s="2685"/>
      <c r="F138" s="2685"/>
      <c r="G138" s="2686"/>
      <c r="H138" s="2685"/>
      <c r="I138" s="2686"/>
      <c r="J138" s="2685"/>
      <c r="K138" s="2685"/>
      <c r="L138" s="2686"/>
      <c r="M138" s="2685"/>
      <c r="N138" s="2685"/>
      <c r="O138" s="2686"/>
      <c r="P138" s="2685"/>
      <c r="Q138" s="2685"/>
      <c r="R138" s="2687"/>
    </row>
    <row r="139" spans="2:18" s="907" customFormat="1">
      <c r="B139" s="2685"/>
      <c r="C139" s="2685"/>
      <c r="D139" s="2685"/>
      <c r="E139" s="2685"/>
      <c r="F139" s="2685"/>
      <c r="G139" s="2686"/>
      <c r="H139" s="2685"/>
      <c r="I139" s="2686"/>
      <c r="J139" s="2685"/>
      <c r="K139" s="2685"/>
      <c r="L139" s="2686"/>
      <c r="M139" s="2685"/>
      <c r="N139" s="2685"/>
      <c r="O139" s="2686"/>
      <c r="P139" s="2685"/>
      <c r="Q139" s="2685"/>
      <c r="R139" s="2687"/>
    </row>
    <row r="140" spans="2:18" s="907" customFormat="1">
      <c r="B140" s="2685"/>
      <c r="C140" s="2685"/>
      <c r="D140" s="2685"/>
      <c r="E140" s="2685"/>
      <c r="F140" s="2685"/>
      <c r="G140" s="2686"/>
      <c r="H140" s="2685"/>
      <c r="I140" s="2686"/>
      <c r="J140" s="2685"/>
      <c r="K140" s="2685"/>
      <c r="L140" s="2686"/>
      <c r="M140" s="2685"/>
      <c r="N140" s="2685"/>
      <c r="O140" s="2686"/>
      <c r="P140" s="2685"/>
      <c r="Q140" s="2685"/>
      <c r="R140" s="2687"/>
    </row>
    <row r="141" spans="2:18" s="907" customFormat="1">
      <c r="B141" s="2685"/>
      <c r="C141" s="2685"/>
      <c r="D141" s="2685"/>
      <c r="E141" s="2685"/>
      <c r="F141" s="2685"/>
      <c r="G141" s="2686"/>
      <c r="H141" s="2685"/>
      <c r="I141" s="2686"/>
      <c r="J141" s="2685"/>
      <c r="K141" s="2685"/>
      <c r="L141" s="2686"/>
      <c r="M141" s="2685"/>
      <c r="N141" s="2685"/>
      <c r="O141" s="2686"/>
      <c r="P141" s="2685"/>
      <c r="Q141" s="2685"/>
      <c r="R141" s="2687"/>
    </row>
    <row r="142" spans="2:18" s="907" customFormat="1">
      <c r="B142" s="2685"/>
      <c r="C142" s="2685"/>
      <c r="D142" s="2685"/>
      <c r="E142" s="2685"/>
      <c r="F142" s="2685"/>
      <c r="G142" s="2686"/>
      <c r="H142" s="2685"/>
      <c r="I142" s="2686"/>
      <c r="J142" s="2685"/>
      <c r="K142" s="2685"/>
      <c r="L142" s="2686"/>
      <c r="M142" s="2685"/>
      <c r="N142" s="2685"/>
      <c r="O142" s="2686"/>
      <c r="P142" s="2685"/>
      <c r="Q142" s="2685"/>
      <c r="R142" s="2687"/>
    </row>
    <row r="143" spans="2:18" s="907" customFormat="1">
      <c r="B143" s="2685"/>
      <c r="C143" s="2685"/>
      <c r="D143" s="2685"/>
      <c r="E143" s="2685"/>
      <c r="F143" s="2685"/>
      <c r="G143" s="2686"/>
      <c r="H143" s="2685"/>
      <c r="I143" s="2686"/>
      <c r="J143" s="2685"/>
      <c r="K143" s="2685"/>
      <c r="L143" s="2686"/>
      <c r="M143" s="2685"/>
      <c r="N143" s="2685"/>
      <c r="O143" s="2686"/>
      <c r="P143" s="2685"/>
      <c r="Q143" s="2685"/>
      <c r="R143" s="2687"/>
    </row>
    <row r="144" spans="2:18" s="907" customFormat="1">
      <c r="B144" s="2685"/>
      <c r="C144" s="2685"/>
      <c r="D144" s="2685"/>
      <c r="E144" s="2685"/>
      <c r="F144" s="2685"/>
      <c r="G144" s="2686"/>
      <c r="H144" s="2685"/>
      <c r="I144" s="2686"/>
      <c r="J144" s="2685"/>
      <c r="K144" s="2685"/>
      <c r="L144" s="2686"/>
      <c r="M144" s="2685"/>
      <c r="N144" s="2685"/>
      <c r="O144" s="2686"/>
      <c r="P144" s="2685"/>
      <c r="Q144" s="2685"/>
      <c r="R144" s="2687"/>
    </row>
    <row r="145" spans="2:18" s="907" customFormat="1">
      <c r="B145" s="2685"/>
      <c r="C145" s="2685"/>
      <c r="D145" s="2685"/>
      <c r="E145" s="2685"/>
      <c r="F145" s="2685"/>
      <c r="G145" s="2686"/>
      <c r="H145" s="2685"/>
      <c r="I145" s="2686"/>
      <c r="J145" s="2685"/>
      <c r="K145" s="2685"/>
      <c r="L145" s="2686"/>
      <c r="M145" s="2685"/>
      <c r="N145" s="2685"/>
      <c r="O145" s="2686"/>
      <c r="P145" s="2685"/>
      <c r="Q145" s="2685"/>
      <c r="R145" s="2687"/>
    </row>
    <row r="146" spans="2:18" s="907" customFormat="1">
      <c r="B146" s="2685"/>
      <c r="C146" s="2685"/>
      <c r="D146" s="2685"/>
      <c r="E146" s="2685"/>
      <c r="F146" s="2685"/>
      <c r="G146" s="2686"/>
      <c r="H146" s="2685"/>
      <c r="I146" s="2686"/>
      <c r="J146" s="2685"/>
      <c r="K146" s="2685"/>
      <c r="L146" s="2686"/>
      <c r="M146" s="2685"/>
      <c r="N146" s="2685"/>
      <c r="O146" s="2686"/>
      <c r="P146" s="2685"/>
      <c r="Q146" s="2685"/>
      <c r="R146" s="2687"/>
    </row>
    <row r="147" spans="2:18" s="907" customFormat="1">
      <c r="B147" s="2685"/>
      <c r="C147" s="2685"/>
      <c r="D147" s="2685"/>
      <c r="E147" s="2685"/>
      <c r="F147" s="2685"/>
      <c r="G147" s="2686"/>
      <c r="H147" s="2685"/>
      <c r="I147" s="2686"/>
      <c r="J147" s="2685"/>
      <c r="K147" s="2685"/>
      <c r="L147" s="2686"/>
      <c r="M147" s="2685"/>
      <c r="N147" s="2685"/>
      <c r="O147" s="2686"/>
      <c r="P147" s="2685"/>
      <c r="Q147" s="2685"/>
      <c r="R147" s="2687"/>
    </row>
    <row r="148" spans="2:18" s="907" customFormat="1">
      <c r="B148" s="2685"/>
      <c r="C148" s="2685"/>
      <c r="D148" s="2685"/>
      <c r="E148" s="2685"/>
      <c r="F148" s="2685"/>
      <c r="G148" s="2686"/>
      <c r="H148" s="2685"/>
      <c r="I148" s="2686"/>
      <c r="J148" s="2685"/>
      <c r="K148" s="2685"/>
      <c r="L148" s="2686"/>
      <c r="M148" s="2685"/>
      <c r="N148" s="2685"/>
      <c r="O148" s="2686"/>
      <c r="P148" s="2685"/>
      <c r="Q148" s="2685"/>
      <c r="R148" s="2687"/>
    </row>
    <row r="149" spans="2:18" s="907" customFormat="1">
      <c r="B149" s="2685"/>
      <c r="C149" s="2685"/>
      <c r="D149" s="2685"/>
      <c r="E149" s="2685"/>
      <c r="F149" s="2685"/>
      <c r="G149" s="2686"/>
      <c r="H149" s="2685"/>
      <c r="I149" s="2686"/>
      <c r="J149" s="2685"/>
      <c r="K149" s="2685"/>
      <c r="L149" s="2686"/>
      <c r="M149" s="2685"/>
      <c r="N149" s="2685"/>
      <c r="O149" s="2686"/>
      <c r="P149" s="2685"/>
      <c r="Q149" s="2685"/>
      <c r="R149" s="2687"/>
    </row>
    <row r="150" spans="2:18" s="907" customFormat="1">
      <c r="B150" s="2685"/>
      <c r="C150" s="2685"/>
      <c r="D150" s="2685"/>
      <c r="E150" s="2685"/>
      <c r="F150" s="2685"/>
      <c r="G150" s="2686"/>
      <c r="H150" s="2685"/>
      <c r="I150" s="2686"/>
      <c r="J150" s="2685"/>
      <c r="K150" s="2685"/>
      <c r="L150" s="2686"/>
      <c r="M150" s="2685"/>
      <c r="N150" s="2685"/>
      <c r="O150" s="2686"/>
      <c r="P150" s="2685"/>
      <c r="Q150" s="2685"/>
      <c r="R150" s="2687"/>
    </row>
    <row r="151" spans="2:18" s="907" customFormat="1">
      <c r="B151" s="2685"/>
      <c r="C151" s="2685"/>
      <c r="D151" s="2685"/>
      <c r="E151" s="2685"/>
      <c r="F151" s="2685"/>
      <c r="G151" s="2686"/>
      <c r="H151" s="2685"/>
      <c r="I151" s="2686"/>
      <c r="J151" s="2685"/>
      <c r="K151" s="2685"/>
      <c r="L151" s="2686"/>
      <c r="M151" s="2685"/>
      <c r="N151" s="2685"/>
      <c r="O151" s="2686"/>
      <c r="P151" s="2685"/>
      <c r="Q151" s="2685"/>
      <c r="R151" s="2687"/>
    </row>
    <row r="152" spans="2:18" s="907" customFormat="1">
      <c r="B152" s="2685"/>
      <c r="C152" s="2685"/>
      <c r="D152" s="2685"/>
      <c r="E152" s="2685"/>
      <c r="F152" s="2685"/>
      <c r="G152" s="2686"/>
      <c r="H152" s="2685"/>
      <c r="I152" s="2686"/>
      <c r="J152" s="2685"/>
      <c r="K152" s="2685"/>
      <c r="L152" s="2686"/>
      <c r="M152" s="2685"/>
      <c r="N152" s="2685"/>
      <c r="O152" s="2686"/>
      <c r="P152" s="2685"/>
      <c r="Q152" s="2685"/>
      <c r="R152" s="2687"/>
    </row>
    <row r="153" spans="2:18" s="907" customFormat="1">
      <c r="B153" s="2685"/>
      <c r="C153" s="2685"/>
      <c r="D153" s="2685"/>
      <c r="E153" s="2685"/>
      <c r="F153" s="2685"/>
      <c r="G153" s="2686"/>
      <c r="H153" s="2685"/>
      <c r="I153" s="2686"/>
      <c r="J153" s="2685"/>
      <c r="K153" s="2685"/>
      <c r="L153" s="2686"/>
      <c r="M153" s="2685"/>
      <c r="N153" s="2685"/>
      <c r="O153" s="2686"/>
      <c r="P153" s="2685"/>
      <c r="Q153" s="2685"/>
      <c r="R153" s="2687"/>
    </row>
    <row r="154" spans="2:18" s="907" customFormat="1">
      <c r="B154" s="2685"/>
      <c r="C154" s="2685"/>
      <c r="D154" s="2685"/>
      <c r="E154" s="2685"/>
      <c r="F154" s="2685"/>
      <c r="G154" s="2686"/>
      <c r="H154" s="2685"/>
      <c r="I154" s="2686"/>
      <c r="J154" s="2685"/>
      <c r="K154" s="2685"/>
      <c r="L154" s="2686"/>
      <c r="M154" s="2685"/>
      <c r="N154" s="2685"/>
      <c r="O154" s="2686"/>
      <c r="P154" s="2685"/>
      <c r="Q154" s="2685"/>
      <c r="R154" s="2687"/>
    </row>
    <row r="155" spans="2:18" s="907" customFormat="1">
      <c r="B155" s="2685"/>
      <c r="C155" s="2685"/>
      <c r="D155" s="2685"/>
      <c r="E155" s="2685"/>
      <c r="F155" s="2685"/>
      <c r="G155" s="2686"/>
      <c r="H155" s="2685"/>
      <c r="I155" s="2686"/>
      <c r="J155" s="2685"/>
      <c r="K155" s="2685"/>
      <c r="L155" s="2686"/>
      <c r="M155" s="2685"/>
      <c r="N155" s="2685"/>
      <c r="O155" s="2686"/>
      <c r="P155" s="2685"/>
      <c r="Q155" s="2685"/>
      <c r="R155" s="2687"/>
    </row>
    <row r="156" spans="2:18" s="907" customFormat="1">
      <c r="B156" s="2685"/>
      <c r="C156" s="2685"/>
      <c r="D156" s="2685"/>
      <c r="E156" s="2685"/>
      <c r="F156" s="2685"/>
      <c r="G156" s="2686"/>
      <c r="H156" s="2685"/>
      <c r="I156" s="2686"/>
      <c r="J156" s="2685"/>
      <c r="K156" s="2685"/>
      <c r="L156" s="2686"/>
      <c r="M156" s="2685"/>
      <c r="N156" s="2685"/>
      <c r="O156" s="2686"/>
      <c r="P156" s="2685"/>
      <c r="Q156" s="2685"/>
      <c r="R156" s="2687"/>
    </row>
    <row r="157" spans="2:18" s="907" customFormat="1">
      <c r="B157" s="2685"/>
      <c r="C157" s="2685"/>
      <c r="D157" s="2685"/>
      <c r="E157" s="2685"/>
      <c r="F157" s="2685"/>
      <c r="G157" s="2686"/>
      <c r="H157" s="2685"/>
      <c r="I157" s="2686"/>
      <c r="J157" s="2685"/>
      <c r="K157" s="2685"/>
      <c r="L157" s="2686"/>
      <c r="M157" s="2685"/>
      <c r="N157" s="2685"/>
      <c r="O157" s="2686"/>
      <c r="P157" s="2685"/>
      <c r="Q157" s="2685"/>
      <c r="R157" s="2687"/>
    </row>
    <row r="158" spans="2:18" s="907" customFormat="1">
      <c r="B158" s="2685"/>
      <c r="C158" s="2685"/>
      <c r="D158" s="2685"/>
      <c r="E158" s="2685"/>
      <c r="F158" s="2685"/>
      <c r="G158" s="2686"/>
      <c r="H158" s="2685"/>
      <c r="I158" s="2686"/>
      <c r="J158" s="2685"/>
      <c r="K158" s="2685"/>
      <c r="L158" s="2686"/>
      <c r="M158" s="2685"/>
      <c r="N158" s="2685"/>
      <c r="O158" s="2686"/>
      <c r="P158" s="2685"/>
      <c r="Q158" s="2685"/>
      <c r="R158" s="2687"/>
    </row>
    <row r="159" spans="2:18" s="907" customFormat="1">
      <c r="B159" s="2685"/>
      <c r="C159" s="2685"/>
      <c r="D159" s="2685"/>
      <c r="E159" s="2685"/>
      <c r="F159" s="2685"/>
      <c r="G159" s="2686"/>
      <c r="H159" s="2685"/>
      <c r="I159" s="2686"/>
      <c r="J159" s="2685"/>
      <c r="K159" s="2685"/>
      <c r="L159" s="2686"/>
      <c r="M159" s="2685"/>
      <c r="N159" s="2685"/>
      <c r="O159" s="2686"/>
      <c r="P159" s="2685"/>
      <c r="Q159" s="2685"/>
      <c r="R159" s="2687"/>
    </row>
    <row r="160" spans="2:18" s="907" customFormat="1">
      <c r="B160" s="2685"/>
      <c r="C160" s="2685"/>
      <c r="D160" s="2685"/>
      <c r="E160" s="2685"/>
      <c r="F160" s="2685"/>
      <c r="G160" s="2686"/>
      <c r="H160" s="2685"/>
      <c r="I160" s="2686"/>
      <c r="J160" s="2685"/>
      <c r="K160" s="2685"/>
      <c r="L160" s="2686"/>
      <c r="M160" s="2685"/>
      <c r="N160" s="2685"/>
      <c r="O160" s="2686"/>
      <c r="P160" s="2685"/>
      <c r="Q160" s="2685"/>
      <c r="R160" s="2687"/>
    </row>
    <row r="161" spans="2:18" s="907" customFormat="1">
      <c r="B161" s="2685"/>
      <c r="C161" s="2685"/>
      <c r="D161" s="2685"/>
      <c r="E161" s="2685"/>
      <c r="F161" s="2685"/>
      <c r="G161" s="2686"/>
      <c r="H161" s="2685"/>
      <c r="I161" s="2686"/>
      <c r="J161" s="2685"/>
      <c r="K161" s="2685"/>
      <c r="L161" s="2686"/>
      <c r="M161" s="2685"/>
      <c r="N161" s="2685"/>
      <c r="O161" s="2686"/>
      <c r="P161" s="2685"/>
      <c r="Q161" s="2685"/>
      <c r="R161" s="2687"/>
    </row>
    <row r="162" spans="2:18" s="907" customFormat="1">
      <c r="B162" s="2685"/>
      <c r="C162" s="2685"/>
      <c r="D162" s="2685"/>
      <c r="E162" s="2685"/>
      <c r="F162" s="2685"/>
      <c r="G162" s="2686"/>
      <c r="H162" s="2685"/>
      <c r="I162" s="2686"/>
      <c r="J162" s="2685"/>
      <c r="K162" s="2685"/>
      <c r="L162" s="2686"/>
      <c r="M162" s="2685"/>
      <c r="N162" s="2685"/>
      <c r="O162" s="2686"/>
      <c r="P162" s="2685"/>
      <c r="Q162" s="2685"/>
      <c r="R162" s="2687"/>
    </row>
    <row r="163" spans="2:18" s="907" customFormat="1">
      <c r="B163" s="2685"/>
      <c r="C163" s="2685"/>
      <c r="D163" s="2685"/>
      <c r="E163" s="2685"/>
      <c r="F163" s="2685"/>
      <c r="G163" s="2686"/>
      <c r="H163" s="2685"/>
      <c r="I163" s="2686"/>
      <c r="J163" s="2685"/>
      <c r="K163" s="2685"/>
      <c r="L163" s="2686"/>
      <c r="M163" s="2685"/>
      <c r="N163" s="2685"/>
      <c r="O163" s="2686"/>
      <c r="P163" s="2685"/>
      <c r="Q163" s="2685"/>
      <c r="R163" s="2687"/>
    </row>
    <row r="164" spans="2:18" s="907" customFormat="1">
      <c r="B164" s="2685"/>
      <c r="C164" s="2685"/>
      <c r="D164" s="2685"/>
      <c r="E164" s="2685"/>
      <c r="F164" s="2685"/>
      <c r="G164" s="2686"/>
      <c r="H164" s="2685"/>
      <c r="I164" s="2686"/>
      <c r="J164" s="2685"/>
      <c r="K164" s="2685"/>
      <c r="L164" s="2686"/>
      <c r="M164" s="2685"/>
      <c r="N164" s="2685"/>
      <c r="O164" s="2686"/>
      <c r="P164" s="2685"/>
      <c r="Q164" s="2685"/>
      <c r="R164" s="2687"/>
    </row>
    <row r="165" spans="2:18" s="907" customFormat="1">
      <c r="B165" s="2685"/>
      <c r="C165" s="2685"/>
      <c r="D165" s="2685"/>
      <c r="E165" s="2685"/>
      <c r="F165" s="2685"/>
      <c r="G165" s="2686"/>
      <c r="H165" s="2685"/>
      <c r="I165" s="2686"/>
      <c r="J165" s="2685"/>
      <c r="K165" s="2685"/>
      <c r="L165" s="2686"/>
      <c r="M165" s="2685"/>
      <c r="N165" s="2685"/>
      <c r="O165" s="2686"/>
      <c r="P165" s="2685"/>
      <c r="Q165" s="2685"/>
      <c r="R165" s="2687"/>
    </row>
    <row r="166" spans="2:18" s="907" customFormat="1">
      <c r="B166" s="2685"/>
      <c r="C166" s="2685"/>
      <c r="D166" s="2685"/>
      <c r="E166" s="2685"/>
      <c r="F166" s="2685"/>
      <c r="G166" s="2686"/>
      <c r="H166" s="2685"/>
      <c r="I166" s="2686"/>
      <c r="J166" s="2685"/>
      <c r="K166" s="2685"/>
      <c r="L166" s="2686"/>
      <c r="M166" s="2685"/>
      <c r="N166" s="2685"/>
      <c r="O166" s="2686"/>
      <c r="P166" s="2685"/>
      <c r="Q166" s="2685"/>
      <c r="R166" s="2687"/>
    </row>
    <row r="167" spans="2:18" s="907" customFormat="1">
      <c r="B167" s="2685"/>
      <c r="C167" s="2685"/>
      <c r="D167" s="2685"/>
      <c r="E167" s="2685"/>
      <c r="F167" s="2685"/>
      <c r="G167" s="2686"/>
      <c r="H167" s="2685"/>
      <c r="I167" s="2686"/>
      <c r="J167" s="2685"/>
      <c r="K167" s="2685"/>
      <c r="L167" s="2686"/>
      <c r="M167" s="2685"/>
      <c r="N167" s="2685"/>
      <c r="O167" s="2686"/>
      <c r="P167" s="2685"/>
      <c r="Q167" s="2685"/>
      <c r="R167" s="2687"/>
    </row>
    <row r="168" spans="2:18" s="907" customFormat="1">
      <c r="B168" s="2685"/>
      <c r="C168" s="2685"/>
      <c r="D168" s="2685"/>
      <c r="E168" s="2685"/>
      <c r="F168" s="2685"/>
      <c r="G168" s="2686"/>
      <c r="H168" s="2685"/>
      <c r="I168" s="2686"/>
      <c r="J168" s="2685"/>
      <c r="K168" s="2685"/>
      <c r="L168" s="2686"/>
      <c r="M168" s="2685"/>
      <c r="N168" s="2685"/>
      <c r="O168" s="2686"/>
      <c r="P168" s="2685"/>
      <c r="Q168" s="2685"/>
      <c r="R168" s="2687"/>
    </row>
    <row r="169" spans="2:18" s="907" customFormat="1">
      <c r="B169" s="2685"/>
      <c r="C169" s="2685"/>
      <c r="D169" s="2685"/>
      <c r="E169" s="2685"/>
      <c r="F169" s="2685"/>
      <c r="G169" s="2686"/>
      <c r="H169" s="2685"/>
      <c r="I169" s="2686"/>
      <c r="J169" s="2685"/>
      <c r="K169" s="2685"/>
      <c r="L169" s="2686"/>
      <c r="M169" s="2685"/>
      <c r="N169" s="2685"/>
      <c r="O169" s="2686"/>
      <c r="P169" s="2685"/>
      <c r="Q169" s="2685"/>
      <c r="R169" s="2687"/>
    </row>
    <row r="170" spans="2:18" s="907" customFormat="1">
      <c r="B170" s="2685"/>
      <c r="C170" s="2685"/>
      <c r="D170" s="2685"/>
      <c r="E170" s="2685"/>
      <c r="F170" s="2685"/>
      <c r="G170" s="2686"/>
      <c r="H170" s="2685"/>
      <c r="I170" s="2686"/>
      <c r="J170" s="2685"/>
      <c r="K170" s="2685"/>
      <c r="L170" s="2686"/>
      <c r="M170" s="2685"/>
      <c r="N170" s="2685"/>
      <c r="O170" s="2686"/>
      <c r="P170" s="2685"/>
      <c r="Q170" s="2685"/>
      <c r="R170" s="2687"/>
    </row>
    <row r="171" spans="2:18" s="907" customFormat="1">
      <c r="B171" s="2685"/>
      <c r="C171" s="2685"/>
      <c r="D171" s="2685"/>
      <c r="E171" s="2685"/>
      <c r="F171" s="2685"/>
      <c r="G171" s="2686"/>
      <c r="H171" s="2685"/>
      <c r="I171" s="2686"/>
      <c r="J171" s="2685"/>
      <c r="K171" s="2685"/>
      <c r="L171" s="2686"/>
      <c r="M171" s="2685"/>
      <c r="N171" s="2685"/>
      <c r="O171" s="2686"/>
      <c r="P171" s="2685"/>
      <c r="Q171" s="2685"/>
      <c r="R171" s="2687"/>
    </row>
    <row r="172" spans="2:18" s="907" customFormat="1">
      <c r="B172" s="2685"/>
      <c r="C172" s="2685"/>
      <c r="D172" s="2685"/>
      <c r="E172" s="2685"/>
      <c r="F172" s="2685"/>
      <c r="G172" s="2686"/>
      <c r="H172" s="2685"/>
      <c r="I172" s="2686"/>
      <c r="J172" s="2685"/>
      <c r="K172" s="2685"/>
      <c r="L172" s="2686"/>
      <c r="M172" s="2685"/>
      <c r="N172" s="2685"/>
      <c r="O172" s="2686"/>
      <c r="P172" s="2685"/>
      <c r="Q172" s="2685"/>
      <c r="R172" s="2687"/>
    </row>
    <row r="173" spans="2:18" s="907" customFormat="1">
      <c r="B173" s="2685"/>
      <c r="C173" s="2685"/>
      <c r="D173" s="2685"/>
      <c r="E173" s="2685"/>
      <c r="F173" s="2685"/>
      <c r="G173" s="2686"/>
      <c r="H173" s="2685"/>
      <c r="I173" s="2686"/>
      <c r="J173" s="2685"/>
      <c r="K173" s="2685"/>
      <c r="L173" s="2686"/>
      <c r="M173" s="2685"/>
      <c r="N173" s="2685"/>
      <c r="O173" s="2686"/>
      <c r="P173" s="2685"/>
      <c r="Q173" s="2685"/>
      <c r="R173" s="2687"/>
    </row>
    <row r="174" spans="2:18" s="907" customFormat="1">
      <c r="B174" s="2685"/>
      <c r="C174" s="2685"/>
      <c r="D174" s="2685"/>
      <c r="E174" s="2685"/>
      <c r="F174" s="2685"/>
      <c r="G174" s="2686"/>
      <c r="H174" s="2685"/>
      <c r="I174" s="2686"/>
      <c r="J174" s="2685"/>
      <c r="K174" s="2685"/>
      <c r="L174" s="2686"/>
      <c r="M174" s="2685"/>
      <c r="N174" s="2685"/>
      <c r="O174" s="2686"/>
      <c r="P174" s="2685"/>
      <c r="Q174" s="2685"/>
      <c r="R174" s="2687"/>
    </row>
    <row r="175" spans="2:18" s="907" customFormat="1">
      <c r="B175" s="2685"/>
      <c r="C175" s="2685"/>
      <c r="D175" s="2685"/>
      <c r="E175" s="2685"/>
      <c r="F175" s="2685"/>
      <c r="G175" s="2686"/>
      <c r="H175" s="2685"/>
      <c r="I175" s="2686"/>
      <c r="J175" s="2685"/>
      <c r="K175" s="2685"/>
      <c r="L175" s="2686"/>
      <c r="M175" s="2685"/>
      <c r="N175" s="2685"/>
      <c r="O175" s="2686"/>
      <c r="P175" s="2685"/>
      <c r="Q175" s="2685"/>
      <c r="R175" s="2687"/>
    </row>
    <row r="176" spans="2:18" s="907" customFormat="1">
      <c r="B176" s="2685"/>
      <c r="C176" s="2685"/>
      <c r="D176" s="2685"/>
      <c r="E176" s="2685"/>
      <c r="F176" s="2685"/>
      <c r="G176" s="2686"/>
      <c r="H176" s="2685"/>
      <c r="I176" s="2686"/>
      <c r="J176" s="2685"/>
      <c r="K176" s="2685"/>
      <c r="L176" s="2686"/>
      <c r="M176" s="2685"/>
      <c r="N176" s="2685"/>
      <c r="O176" s="2686"/>
      <c r="P176" s="2685"/>
      <c r="Q176" s="2685"/>
      <c r="R176" s="2687"/>
    </row>
    <row r="177" spans="1:18" s="907" customFormat="1">
      <c r="B177" s="2685"/>
      <c r="C177" s="2685"/>
      <c r="D177" s="2685"/>
      <c r="E177" s="2685"/>
      <c r="F177" s="2685"/>
      <c r="G177" s="2686"/>
      <c r="H177" s="2685"/>
      <c r="I177" s="2686"/>
      <c r="J177" s="2685"/>
      <c r="K177" s="2685"/>
      <c r="L177" s="2686"/>
      <c r="M177" s="2685"/>
      <c r="N177" s="2685"/>
      <c r="O177" s="2686"/>
      <c r="P177" s="2685"/>
      <c r="Q177" s="2685"/>
      <c r="R177" s="2687"/>
    </row>
    <row r="178" spans="1:18" s="907" customFormat="1">
      <c r="B178" s="2685"/>
      <c r="C178" s="2685"/>
      <c r="D178" s="2685"/>
      <c r="E178" s="2685"/>
      <c r="F178" s="2685"/>
      <c r="G178" s="2686"/>
      <c r="H178" s="2685"/>
      <c r="I178" s="2686"/>
      <c r="J178" s="2685"/>
      <c r="K178" s="2685"/>
      <c r="L178" s="2686"/>
      <c r="M178" s="2685"/>
      <c r="N178" s="2685"/>
      <c r="O178" s="2686"/>
      <c r="P178" s="2685"/>
      <c r="Q178" s="2685"/>
      <c r="R178" s="2687"/>
    </row>
    <row r="179" spans="1:18" s="907" customFormat="1">
      <c r="B179" s="2685"/>
      <c r="C179" s="2685"/>
      <c r="D179" s="2685"/>
      <c r="E179" s="2685"/>
      <c r="F179" s="2685"/>
      <c r="G179" s="2686"/>
      <c r="H179" s="2685"/>
      <c r="I179" s="2686"/>
      <c r="J179" s="2685"/>
      <c r="K179" s="2685"/>
      <c r="L179" s="2686"/>
      <c r="M179" s="2685"/>
      <c r="N179" s="2685"/>
      <c r="O179" s="2686"/>
      <c r="P179" s="2685"/>
      <c r="Q179" s="2685"/>
      <c r="R179" s="2687"/>
    </row>
    <row r="180" spans="1:18" s="907" customFormat="1">
      <c r="B180" s="2685"/>
      <c r="C180" s="2685"/>
      <c r="D180" s="2685"/>
      <c r="E180" s="2685"/>
      <c r="F180" s="2685"/>
      <c r="G180" s="2686"/>
      <c r="H180" s="2685"/>
      <c r="I180" s="2686"/>
      <c r="J180" s="2685"/>
      <c r="K180" s="2685"/>
      <c r="L180" s="2686"/>
      <c r="M180" s="2685"/>
      <c r="N180" s="2685"/>
      <c r="O180" s="2686"/>
      <c r="P180" s="2685"/>
      <c r="Q180" s="2685"/>
      <c r="R180" s="2687"/>
    </row>
    <row r="181" spans="1:18" s="907" customFormat="1">
      <c r="B181" s="2685"/>
      <c r="C181" s="2685"/>
      <c r="D181" s="2685"/>
      <c r="E181" s="2685"/>
      <c r="F181" s="2685"/>
      <c r="G181" s="2686"/>
      <c r="H181" s="2685"/>
      <c r="I181" s="2686"/>
      <c r="J181" s="2685"/>
      <c r="K181" s="2685"/>
      <c r="L181" s="2686"/>
      <c r="M181" s="2685"/>
      <c r="N181" s="2685"/>
      <c r="O181" s="2686"/>
      <c r="P181" s="2685"/>
      <c r="Q181" s="2685"/>
      <c r="R181" s="2687"/>
    </row>
    <row r="182" spans="1:18" s="907" customFormat="1">
      <c r="B182" s="2685"/>
      <c r="C182" s="2685"/>
      <c r="D182" s="2685"/>
      <c r="E182" s="2685"/>
      <c r="F182" s="2685"/>
      <c r="G182" s="2686"/>
      <c r="H182" s="2685"/>
      <c r="I182" s="2686"/>
      <c r="J182" s="2685"/>
      <c r="K182" s="2685"/>
      <c r="L182" s="2686"/>
      <c r="M182" s="2685"/>
      <c r="N182" s="2685"/>
      <c r="O182" s="2686"/>
      <c r="P182" s="2685"/>
      <c r="Q182" s="2685"/>
      <c r="R182" s="2687"/>
    </row>
    <row r="183" spans="1:18" s="907" customFormat="1">
      <c r="B183" s="2685"/>
      <c r="C183" s="2685"/>
      <c r="D183" s="2685"/>
      <c r="E183" s="2685"/>
      <c r="F183" s="2685"/>
      <c r="G183" s="2686"/>
      <c r="H183" s="2685"/>
      <c r="I183" s="2686"/>
      <c r="J183" s="2685"/>
      <c r="K183" s="2685"/>
      <c r="L183" s="2686"/>
      <c r="M183" s="2685"/>
      <c r="N183" s="2685"/>
      <c r="O183" s="2686"/>
      <c r="P183" s="2685"/>
      <c r="Q183" s="2685"/>
      <c r="R183" s="2687"/>
    </row>
    <row r="184" spans="1:18" s="907" customFormat="1">
      <c r="B184" s="2685"/>
      <c r="C184" s="2685"/>
      <c r="D184" s="2685"/>
      <c r="E184" s="2685"/>
      <c r="F184" s="2685"/>
      <c r="G184" s="2686"/>
      <c r="H184" s="2685"/>
      <c r="I184" s="2686"/>
      <c r="J184" s="2685"/>
      <c r="K184" s="2685"/>
      <c r="L184" s="2686"/>
      <c r="M184" s="2685"/>
      <c r="N184" s="2685"/>
      <c r="O184" s="2686"/>
      <c r="P184" s="2685"/>
      <c r="Q184" s="2685"/>
      <c r="R184" s="2687"/>
    </row>
    <row r="185" spans="1:18" s="907" customFormat="1">
      <c r="B185" s="2685"/>
      <c r="C185" s="2685"/>
      <c r="D185" s="2685"/>
      <c r="E185" s="2685"/>
      <c r="F185" s="2685"/>
      <c r="G185" s="2686"/>
      <c r="H185" s="2685"/>
      <c r="I185" s="2686"/>
      <c r="J185" s="2685"/>
      <c r="K185" s="2685"/>
      <c r="L185" s="2686"/>
      <c r="M185" s="2685"/>
      <c r="N185" s="2685"/>
      <c r="O185" s="2686"/>
      <c r="P185" s="2685"/>
      <c r="Q185" s="2685"/>
      <c r="R185" s="2687"/>
    </row>
    <row r="186" spans="1:18">
      <c r="A186" s="907"/>
      <c r="B186" s="2685"/>
      <c r="C186" s="2685"/>
      <c r="E186" s="2685"/>
      <c r="F186" s="2685"/>
      <c r="G186" s="2686"/>
    </row>
    <row r="187" spans="1:18">
      <c r="A187" s="907"/>
      <c r="B187" s="2685"/>
      <c r="C187" s="2685"/>
      <c r="E187" s="2685"/>
      <c r="F187" s="2685"/>
      <c r="G187" s="268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1" sqref="B1"/>
    </sheetView>
  </sheetViews>
  <sheetFormatPr defaultColWidth="9" defaultRowHeight="13.5"/>
  <cols>
    <col min="1" max="1" width="25" style="2707" customWidth="1"/>
    <col min="2" max="9" width="15.75" style="2707" customWidth="1"/>
    <col min="10" max="16384" width="9" style="2707"/>
  </cols>
  <sheetData>
    <row r="1" spans="1:11" ht="16.5">
      <c r="A1" s="2706" t="s">
        <v>1271</v>
      </c>
      <c r="B1" s="2706">
        <f>SUM(B14:B23)</f>
        <v>18936.010000000002</v>
      </c>
      <c r="C1" s="2883"/>
      <c r="D1" s="2883"/>
      <c r="E1" s="2883"/>
      <c r="F1" s="2883"/>
      <c r="G1" s="2884"/>
      <c r="H1" s="2885"/>
      <c r="I1" s="2885"/>
      <c r="J1" s="2885"/>
      <c r="K1" s="2885"/>
    </row>
    <row r="2" spans="1:11" ht="16.5">
      <c r="A2" s="2706" t="s">
        <v>1259</v>
      </c>
      <c r="B2" s="2706">
        <f>SUM(C14:C23)</f>
        <v>2907.88</v>
      </c>
      <c r="C2" s="2883"/>
      <c r="D2" s="2883"/>
      <c r="E2" s="2883"/>
      <c r="F2" s="2883"/>
      <c r="G2" s="2884"/>
      <c r="H2" s="2885"/>
      <c r="I2" s="2885"/>
      <c r="J2" s="2885"/>
      <c r="K2" s="2885"/>
    </row>
    <row r="3" spans="1:11" ht="16.5">
      <c r="A3" s="2706" t="s">
        <v>1268</v>
      </c>
      <c r="B3" s="2708">
        <f>项目基本情况!D3</f>
        <v>44641</v>
      </c>
      <c r="C3" s="2883"/>
      <c r="D3" s="2883"/>
      <c r="E3" s="2883"/>
      <c r="F3" s="2883"/>
      <c r="G3" s="2884"/>
      <c r="H3" s="2885"/>
      <c r="I3" s="2885"/>
      <c r="J3" s="2885"/>
      <c r="K3" s="2885"/>
    </row>
    <row r="4" spans="1:11" ht="33">
      <c r="A4" s="2706" t="s">
        <v>1267</v>
      </c>
      <c r="B4" s="2706" t="s">
        <v>1266</v>
      </c>
      <c r="C4" s="2706" t="s">
        <v>1265</v>
      </c>
      <c r="D4" s="2706" t="s">
        <v>1264</v>
      </c>
      <c r="E4" s="2883"/>
      <c r="F4" s="2884"/>
      <c r="G4" s="2884"/>
      <c r="H4" s="2885"/>
      <c r="I4" s="2885"/>
      <c r="J4" s="2885"/>
      <c r="K4" s="2885"/>
    </row>
    <row r="5" spans="1:11" ht="16.5">
      <c r="A5" s="2706" t="s">
        <v>1263</v>
      </c>
      <c r="B5" s="2706">
        <f ca="1">SUM(D14:D23)</f>
        <v>85896</v>
      </c>
      <c r="C5" s="2706">
        <f ca="1">ROUND(B5*10000/$B$1,0)</f>
        <v>45361</v>
      </c>
      <c r="D5" s="2706">
        <f ca="1">ROUND(B5*10000/$B$2,0)</f>
        <v>295390</v>
      </c>
      <c r="E5" s="2883"/>
      <c r="F5" s="2884"/>
      <c r="G5" s="2884"/>
      <c r="H5" s="2885"/>
      <c r="I5" s="2885"/>
      <c r="J5" s="2885"/>
      <c r="K5" s="2885"/>
    </row>
    <row r="6" spans="1:11" ht="16.5">
      <c r="A6" s="2706" t="s">
        <v>1262</v>
      </c>
      <c r="B6" s="2706">
        <f>SUM(G14:G23)</f>
        <v>0</v>
      </c>
      <c r="C6" s="2706">
        <f>ROUND(B6*10000/$B$1,0)</f>
        <v>0</v>
      </c>
      <c r="D6" s="2706">
        <f>ROUND(B6*10000/$B$2,0)</f>
        <v>0</v>
      </c>
      <c r="E6" s="2883"/>
      <c r="F6" s="2884"/>
      <c r="G6" s="2884"/>
      <c r="H6" s="2885"/>
      <c r="I6" s="2885"/>
      <c r="J6" s="2885"/>
      <c r="K6" s="2885"/>
    </row>
    <row r="7" spans="1:11" ht="16.5">
      <c r="A7" s="2706" t="s">
        <v>1270</v>
      </c>
      <c r="B7" s="2706">
        <f ca="1">SUM(H14:H23)</f>
        <v>85896</v>
      </c>
      <c r="C7" s="2706">
        <f ca="1">ROUND(B7*10000/$B$1,0)</f>
        <v>45361</v>
      </c>
      <c r="D7" s="2706">
        <f ca="1">ROUND(B7*10000/$B$2,0)</f>
        <v>295390</v>
      </c>
      <c r="E7" s="2883"/>
      <c r="F7" s="2884"/>
      <c r="G7" s="2884"/>
      <c r="H7" s="2885"/>
      <c r="I7" s="2885"/>
      <c r="J7" s="2885"/>
      <c r="K7" s="2885"/>
    </row>
    <row r="8" spans="1:11" ht="16.5">
      <c r="A8" s="2706" t="s">
        <v>1193</v>
      </c>
      <c r="B8" s="2706">
        <f>SUM(I14:I23)</f>
        <v>0</v>
      </c>
      <c r="C8" s="2706">
        <f>ROUND(B8*10000/$B$1,0)</f>
        <v>0</v>
      </c>
      <c r="D8" s="2706">
        <f>ROUND(B8*10000/$B$2,0)</f>
        <v>0</v>
      </c>
      <c r="E8" s="2883"/>
      <c r="F8" s="2884"/>
      <c r="G8" s="2884"/>
      <c r="H8" s="2885"/>
      <c r="I8" s="2885"/>
      <c r="J8" s="2885"/>
      <c r="K8" s="2885"/>
    </row>
    <row r="9" spans="1:11" ht="16.5">
      <c r="A9" s="2706" t="s">
        <v>1261</v>
      </c>
      <c r="B9" s="2714"/>
      <c r="C9" s="2883"/>
      <c r="D9" s="2883"/>
      <c r="E9" s="2883"/>
      <c r="F9" s="2884"/>
      <c r="G9" s="2884"/>
      <c r="H9" s="2885"/>
      <c r="I9" s="2885"/>
      <c r="J9" s="2885"/>
      <c r="K9" s="2885"/>
    </row>
    <row r="10" spans="1:11" ht="16.5">
      <c r="A10" s="2706" t="s">
        <v>1260</v>
      </c>
      <c r="B10" s="2714"/>
      <c r="C10" s="2883"/>
      <c r="D10" s="2883"/>
      <c r="E10" s="2883"/>
      <c r="F10" s="2884"/>
      <c r="G10" s="2884"/>
      <c r="H10" s="2885"/>
      <c r="I10" s="2885"/>
      <c r="J10" s="2885"/>
      <c r="K10" s="2885"/>
    </row>
    <row r="11" spans="1:11" ht="16.5">
      <c r="A11" s="2706" t="s">
        <v>1276</v>
      </c>
      <c r="B11" s="2714"/>
      <c r="C11" s="2883"/>
      <c r="D11" s="2883"/>
      <c r="E11" s="2883"/>
      <c r="F11" s="2884"/>
      <c r="G11" s="2884"/>
      <c r="H11" s="2885"/>
      <c r="I11" s="2885"/>
      <c r="J11" s="2885"/>
      <c r="K11" s="2885"/>
    </row>
    <row r="12" spans="1:11" ht="16.5">
      <c r="A12" s="2883"/>
      <c r="B12" s="2883"/>
      <c r="C12" s="2883"/>
      <c r="D12" s="2883"/>
      <c r="E12" s="2883"/>
      <c r="F12" s="2884"/>
      <c r="G12" s="2884"/>
      <c r="H12" s="2885"/>
      <c r="I12" s="2885"/>
      <c r="J12" s="2885"/>
      <c r="K12" s="2885"/>
    </row>
    <row r="13" spans="1:11" ht="33">
      <c r="A13" s="2709" t="s">
        <v>1275</v>
      </c>
      <c r="B13" s="2710" t="s">
        <v>1272</v>
      </c>
      <c r="C13" s="2710" t="s">
        <v>1274</v>
      </c>
      <c r="D13" s="2710" t="s">
        <v>1273</v>
      </c>
      <c r="E13" s="2706" t="s">
        <v>1265</v>
      </c>
      <c r="F13" s="2706" t="s">
        <v>1264</v>
      </c>
      <c r="G13" s="2710" t="s">
        <v>1258</v>
      </c>
      <c r="H13" s="2710" t="s">
        <v>1269</v>
      </c>
      <c r="I13" s="2710" t="s">
        <v>1257</v>
      </c>
      <c r="J13" s="2884"/>
      <c r="K13" s="2885"/>
    </row>
    <row r="14" spans="1:11" ht="16.5">
      <c r="A14" s="2711" t="s">
        <v>1256</v>
      </c>
      <c r="B14" s="2712">
        <f>结果表!B118</f>
        <v>11340.73</v>
      </c>
      <c r="C14" s="2712">
        <f>结果表!C118</f>
        <v>1741.52</v>
      </c>
      <c r="D14" s="2712">
        <f ca="1">结果表!H118</f>
        <v>66491</v>
      </c>
      <c r="E14" s="2712">
        <f ca="1">ROUND(D14*10000/B14,0)</f>
        <v>58630</v>
      </c>
      <c r="F14" s="2712">
        <f ca="1">ROUND(D14*10000/C14,0)</f>
        <v>381799</v>
      </c>
      <c r="G14" s="2712" t="str">
        <f>结果表!D122</f>
        <v>——</v>
      </c>
      <c r="H14" s="2712">
        <f ca="1">结果表!D124</f>
        <v>66491</v>
      </c>
      <c r="I14" s="2712" t="str">
        <f>结果表!D126</f>
        <v>——</v>
      </c>
      <c r="J14" s="2884"/>
      <c r="K14" s="2885"/>
    </row>
    <row r="15" spans="1:11" ht="16.5">
      <c r="A15" s="2711" t="s">
        <v>1255</v>
      </c>
      <c r="B15" s="2712">
        <f>[2]系统读取表!$B$14</f>
        <v>2473.09</v>
      </c>
      <c r="C15" s="2712">
        <f>[2]系统读取表!$C$14</f>
        <v>379.78</v>
      </c>
      <c r="D15" s="2712">
        <f ca="1">[2]系统读取表!$D$14</f>
        <v>10729</v>
      </c>
      <c r="E15" s="2712">
        <f t="shared" ref="E15:E23" ca="1" si="0">ROUND(D15*10000/B15,0)</f>
        <v>43383</v>
      </c>
      <c r="F15" s="2712">
        <f t="shared" ref="F15:F23" ca="1" si="1">ROUND(D15*10000/C15,0)</f>
        <v>282506</v>
      </c>
      <c r="G15" s="2712" t="str">
        <f>G14</f>
        <v>——</v>
      </c>
      <c r="H15" s="2712">
        <f ca="1">D15</f>
        <v>10729</v>
      </c>
      <c r="I15" s="2712" t="str">
        <f>I14</f>
        <v>——</v>
      </c>
      <c r="J15" s="2884"/>
      <c r="K15" s="2885"/>
    </row>
    <row r="16" spans="1:11" ht="16.5">
      <c r="A16" s="2711" t="s">
        <v>1254</v>
      </c>
      <c r="B16" s="2712">
        <f>[2]系统读取表!$B$15</f>
        <v>5122.1900000000005</v>
      </c>
      <c r="C16" s="2712">
        <f>[2]系统读取表!$C$15</f>
        <v>786.58</v>
      </c>
      <c r="D16" s="2712">
        <f ca="1">[2]系统读取表!$D$15</f>
        <v>8676</v>
      </c>
      <c r="E16" s="2712">
        <f t="shared" ca="1" si="0"/>
        <v>16938</v>
      </c>
      <c r="F16" s="2712">
        <f t="shared" ca="1" si="1"/>
        <v>110300</v>
      </c>
      <c r="G16" s="2712" t="str">
        <f>G15</f>
        <v>——</v>
      </c>
      <c r="H16" s="2712">
        <f ca="1">D16</f>
        <v>8676</v>
      </c>
      <c r="I16" s="2712" t="str">
        <f>I15</f>
        <v>——</v>
      </c>
      <c r="J16" s="2885"/>
      <c r="K16" s="2885"/>
    </row>
    <row r="17" spans="1:11" ht="16.5">
      <c r="A17" s="2711" t="s">
        <v>1253</v>
      </c>
      <c r="B17" s="2713"/>
      <c r="C17" s="2713"/>
      <c r="D17" s="2713"/>
      <c r="E17" s="2712" t="e">
        <f t="shared" si="0"/>
        <v>#DIV/0!</v>
      </c>
      <c r="F17" s="2712" t="e">
        <f t="shared" si="1"/>
        <v>#DIV/0!</v>
      </c>
      <c r="G17" s="1471"/>
      <c r="H17" s="1471"/>
      <c r="I17" s="2713"/>
      <c r="J17" s="2885"/>
      <c r="K17" s="2885"/>
    </row>
    <row r="18" spans="1:11" ht="16.5">
      <c r="A18" s="2711" t="s">
        <v>1252</v>
      </c>
      <c r="B18" s="2713"/>
      <c r="C18" s="2713"/>
      <c r="D18" s="2713"/>
      <c r="E18" s="2712" t="e">
        <f t="shared" si="0"/>
        <v>#DIV/0!</v>
      </c>
      <c r="F18" s="2712" t="e">
        <f t="shared" si="1"/>
        <v>#DIV/0!</v>
      </c>
      <c r="G18" s="2713"/>
      <c r="H18" s="2713"/>
      <c r="I18" s="2713"/>
      <c r="J18" s="2885"/>
      <c r="K18" s="2885"/>
    </row>
    <row r="19" spans="1:11" ht="16.5">
      <c r="A19" s="2711" t="s">
        <v>1251</v>
      </c>
      <c r="B19" s="2713"/>
      <c r="C19" s="2713"/>
      <c r="D19" s="2713"/>
      <c r="E19" s="2712" t="e">
        <f t="shared" si="0"/>
        <v>#DIV/0!</v>
      </c>
      <c r="F19" s="2712" t="e">
        <f t="shared" si="1"/>
        <v>#DIV/0!</v>
      </c>
      <c r="G19" s="2713"/>
      <c r="H19" s="2713"/>
      <c r="I19" s="2713"/>
      <c r="J19" s="2885"/>
      <c r="K19" s="2885"/>
    </row>
    <row r="20" spans="1:11" ht="16.5">
      <c r="A20" s="2711" t="s">
        <v>1250</v>
      </c>
      <c r="B20" s="2713"/>
      <c r="C20" s="2713"/>
      <c r="D20" s="2713"/>
      <c r="E20" s="2712" t="e">
        <f t="shared" si="0"/>
        <v>#DIV/0!</v>
      </c>
      <c r="F20" s="2712" t="e">
        <f t="shared" si="1"/>
        <v>#DIV/0!</v>
      </c>
      <c r="G20" s="2713"/>
      <c r="H20" s="2713"/>
      <c r="I20" s="2713"/>
      <c r="J20" s="2885"/>
      <c r="K20" s="2885"/>
    </row>
    <row r="21" spans="1:11" ht="16.5">
      <c r="A21" s="2711" t="s">
        <v>1249</v>
      </c>
      <c r="B21" s="2713"/>
      <c r="C21" s="2713"/>
      <c r="D21" s="2713"/>
      <c r="E21" s="2712" t="e">
        <f t="shared" si="0"/>
        <v>#DIV/0!</v>
      </c>
      <c r="F21" s="2712" t="e">
        <f t="shared" si="1"/>
        <v>#DIV/0!</v>
      </c>
      <c r="G21" s="2713"/>
      <c r="H21" s="2713"/>
      <c r="I21" s="2713"/>
      <c r="J21" s="2885"/>
      <c r="K21" s="2885"/>
    </row>
    <row r="22" spans="1:11" ht="16.5">
      <c r="A22" s="2711" t="s">
        <v>1248</v>
      </c>
      <c r="B22" s="2713"/>
      <c r="C22" s="2713"/>
      <c r="D22" s="2713"/>
      <c r="E22" s="2712" t="e">
        <f t="shared" si="0"/>
        <v>#DIV/0!</v>
      </c>
      <c r="F22" s="2712" t="e">
        <f t="shared" si="1"/>
        <v>#DIV/0!</v>
      </c>
      <c r="G22" s="2713"/>
      <c r="H22" s="2713"/>
      <c r="I22" s="2713"/>
      <c r="J22" s="2885"/>
      <c r="K22" s="2885"/>
    </row>
    <row r="23" spans="1:11" ht="16.5">
      <c r="A23" s="2711" t="s">
        <v>1247</v>
      </c>
      <c r="B23" s="2713"/>
      <c r="C23" s="2713"/>
      <c r="D23" s="2713"/>
      <c r="E23" s="2714" t="e">
        <f t="shared" si="0"/>
        <v>#DIV/0!</v>
      </c>
      <c r="F23" s="2714" t="e">
        <f t="shared" si="1"/>
        <v>#DIV/0!</v>
      </c>
      <c r="G23" s="2713"/>
      <c r="H23" s="2713"/>
      <c r="I23" s="2713"/>
      <c r="J23" s="2885"/>
      <c r="K23" s="2885"/>
    </row>
    <row r="24" spans="1:11">
      <c r="A24" s="2885"/>
      <c r="B24" s="2885"/>
      <c r="C24" s="2885"/>
      <c r="D24" s="2885"/>
      <c r="E24" s="2885"/>
      <c r="F24" s="2885"/>
      <c r="G24" s="2885"/>
      <c r="H24" s="2885"/>
      <c r="I24" s="2885"/>
      <c r="J24" s="2885"/>
      <c r="K24" s="2885"/>
    </row>
    <row r="25" spans="1:11">
      <c r="A25" s="2885"/>
      <c r="B25" s="2885"/>
      <c r="C25" s="2885"/>
      <c r="D25" s="2885"/>
      <c r="E25" s="2885"/>
      <c r="F25" s="2885"/>
      <c r="G25" s="2885"/>
      <c r="H25" s="2885"/>
      <c r="I25" s="2885"/>
      <c r="J25" s="2885"/>
      <c r="K25" s="2885"/>
    </row>
    <row r="26" spans="1:11">
      <c r="A26" s="2885"/>
      <c r="B26" s="2885"/>
      <c r="C26" s="2885"/>
      <c r="D26" s="2885"/>
      <c r="E26" s="2885"/>
      <c r="F26" s="2885"/>
      <c r="G26" s="2885"/>
      <c r="H26" s="2885"/>
      <c r="I26" s="2885"/>
      <c r="J26" s="2885"/>
      <c r="K26" s="288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H5" sqref="H5:I5"/>
    </sheetView>
  </sheetViews>
  <sheetFormatPr defaultRowHeight="13.5"/>
  <sheetData>
    <row r="1" spans="1:9" ht="25.5" customHeight="1" thickTop="1">
      <c r="A1" s="3562" t="s">
        <v>3232</v>
      </c>
      <c r="B1" s="3562" t="s">
        <v>3189</v>
      </c>
      <c r="C1" s="3562" t="s">
        <v>3233</v>
      </c>
      <c r="D1" s="3564" t="s">
        <v>3234</v>
      </c>
      <c r="E1" s="3565"/>
      <c r="F1" s="3564" t="s">
        <v>3235</v>
      </c>
      <c r="G1" s="3565"/>
      <c r="H1" s="3564" t="s">
        <v>3236</v>
      </c>
      <c r="I1" s="3565"/>
    </row>
    <row r="2" spans="1:9">
      <c r="A2" s="3563"/>
      <c r="B2" s="3563"/>
      <c r="C2" s="3563"/>
      <c r="D2" s="3558" t="s">
        <v>3182</v>
      </c>
      <c r="E2" s="3558" t="s">
        <v>3237</v>
      </c>
      <c r="F2" s="3558" t="s">
        <v>3238</v>
      </c>
      <c r="G2" s="3558" t="s">
        <v>3237</v>
      </c>
      <c r="H2" s="3558" t="s">
        <v>3238</v>
      </c>
      <c r="I2" s="3558" t="s">
        <v>3237</v>
      </c>
    </row>
    <row r="3" spans="1:9" ht="76.5">
      <c r="A3" s="3559" t="s">
        <v>3239</v>
      </c>
      <c r="B3" s="3560">
        <v>11340.73</v>
      </c>
      <c r="C3" s="3560">
        <v>1741.52</v>
      </c>
      <c r="D3" s="3560">
        <f ca="1">H3-F3</f>
        <v>60864</v>
      </c>
      <c r="E3" s="3560">
        <f ca="1">I3-G3</f>
        <v>53668</v>
      </c>
      <c r="F3" s="3560">
        <f ca="1">收益法!C13</f>
        <v>5627</v>
      </c>
      <c r="G3" s="3560">
        <f ca="1">ROUND(F3*10000/B3,0)</f>
        <v>4962</v>
      </c>
      <c r="H3" s="3560">
        <f ca="1">系统读取表!D14</f>
        <v>66491</v>
      </c>
      <c r="I3" s="3560">
        <f ca="1">ROUND(H3*10000/B3,0)</f>
        <v>58630</v>
      </c>
    </row>
    <row r="4" spans="1:9" ht="89.25">
      <c r="A4" s="3559" t="s">
        <v>3240</v>
      </c>
      <c r="B4" s="3560">
        <v>7595.28</v>
      </c>
      <c r="C4" s="3560">
        <v>1166.3599999999999</v>
      </c>
      <c r="D4" s="3560">
        <f ca="1">H4-F4</f>
        <v>15951</v>
      </c>
      <c r="E4" s="3560">
        <f ca="1">I4-G4</f>
        <v>21001</v>
      </c>
      <c r="F4" s="3560">
        <f ca="1">[2]收益法!$C$13+[2]收益法车!$C$13</f>
        <v>3454</v>
      </c>
      <c r="G4" s="3560">
        <f ca="1">ROUND(F4*10000/B4,0)</f>
        <v>4548</v>
      </c>
      <c r="H4" s="3560">
        <f ca="1">系统读取表!D15+系统读取表!D16</f>
        <v>19405</v>
      </c>
      <c r="I4" s="3560">
        <f ca="1">ROUND(H4*10000/B4,0)</f>
        <v>25549</v>
      </c>
    </row>
    <row r="5" spans="1:9">
      <c r="A5" s="3561" t="s">
        <v>37</v>
      </c>
      <c r="B5" s="3560">
        <v>18936.009999999998</v>
      </c>
      <c r="C5" s="3560">
        <v>2907.88</v>
      </c>
      <c r="D5" s="3586">
        <f ca="1">SUM(D3:D4)</f>
        <v>76815</v>
      </c>
      <c r="E5" s="3587"/>
      <c r="F5" s="3586">
        <f ca="1">SUM(F3:F4)</f>
        <v>9081</v>
      </c>
      <c r="G5" s="3587"/>
      <c r="H5" s="3586">
        <f ca="1">SUM(H3:H4)</f>
        <v>85896</v>
      </c>
      <c r="I5" s="3587"/>
    </row>
    <row r="6" spans="1:9">
      <c r="A6" s="3566" t="s">
        <v>3241</v>
      </c>
      <c r="B6" s="3567"/>
      <c r="C6" s="3568"/>
      <c r="D6" s="3569"/>
      <c r="E6" s="3570"/>
      <c r="F6" s="3569"/>
      <c r="G6" s="3570"/>
      <c r="H6" s="3569"/>
      <c r="I6" s="3570"/>
    </row>
    <row r="7" spans="1:9" ht="25.5" customHeight="1">
      <c r="A7" s="3571" t="s">
        <v>3242</v>
      </c>
      <c r="B7" s="3572"/>
      <c r="C7" s="3573"/>
      <c r="D7" s="3574"/>
      <c r="E7" s="3575"/>
      <c r="F7" s="3575"/>
      <c r="G7" s="3575"/>
      <c r="H7" s="3575"/>
      <c r="I7" s="3576"/>
    </row>
    <row r="8" spans="1:9">
      <c r="A8" s="3566" t="s">
        <v>3241</v>
      </c>
      <c r="B8" s="3567"/>
      <c r="C8" s="3568"/>
      <c r="D8" s="3577"/>
      <c r="E8" s="3578"/>
      <c r="F8" s="3578"/>
      <c r="G8" s="3578"/>
      <c r="H8" s="3578"/>
      <c r="I8" s="3579"/>
    </row>
    <row r="9" spans="1:9" ht="25.5" customHeight="1">
      <c r="A9" s="3571" t="s">
        <v>3243</v>
      </c>
      <c r="B9" s="3572"/>
      <c r="C9" s="3573"/>
      <c r="D9" s="3574"/>
      <c r="E9" s="3575"/>
      <c r="F9" s="3575"/>
      <c r="G9" s="3575"/>
      <c r="H9" s="3575"/>
      <c r="I9" s="3576"/>
    </row>
    <row r="10" spans="1:9" ht="14.25" thickBot="1">
      <c r="A10" s="3580" t="s">
        <v>3241</v>
      </c>
      <c r="B10" s="3581"/>
      <c r="C10" s="3582"/>
      <c r="D10" s="3583"/>
      <c r="E10" s="3584"/>
      <c r="F10" s="3584"/>
      <c r="G10" s="3584"/>
      <c r="H10" s="3584"/>
      <c r="I10" s="3585"/>
    </row>
    <row r="11" spans="1:9" ht="14.25" thickTop="1"/>
  </sheetData>
  <mergeCells count="21">
    <mergeCell ref="D5:E5"/>
    <mergeCell ref="F5:G5"/>
    <mergeCell ref="H5:I5"/>
    <mergeCell ref="A8:C8"/>
    <mergeCell ref="D8:I8"/>
    <mergeCell ref="A9:C9"/>
    <mergeCell ref="D9:I9"/>
    <mergeCell ref="A10:C10"/>
    <mergeCell ref="D10:I10"/>
    <mergeCell ref="A6:C6"/>
    <mergeCell ref="D6:E6"/>
    <mergeCell ref="F6:G6"/>
    <mergeCell ref="H6:I6"/>
    <mergeCell ref="A7:C7"/>
    <mergeCell ref="D7:I7"/>
    <mergeCell ref="A1:A2"/>
    <mergeCell ref="B1:B2"/>
    <mergeCell ref="C1:C2"/>
    <mergeCell ref="D1:E1"/>
    <mergeCell ref="F1:G1"/>
    <mergeCell ref="H1:I1"/>
  </mergeCells>
  <phoneticPr fontId="14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6" zoomScaleNormal="100" zoomScaleSheetLayoutView="100" zoomScalePageLayoutView="80" workbookViewId="0">
      <selection activeCell="D119" sqref="D119:E119"/>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1887</v>
      </c>
      <c r="B1" s="1903"/>
      <c r="C1" s="1904" t="s">
        <v>1283</v>
      </c>
      <c r="D1" s="1903"/>
      <c r="E1" s="1903"/>
      <c r="F1" s="1905" t="s">
        <v>1888</v>
      </c>
      <c r="G1" s="1716" t="s">
        <v>3175</v>
      </c>
      <c r="H1" s="1906" t="str">
        <f>IF(G1="现房","——","估价对象范围")</f>
        <v>——</v>
      </c>
      <c r="I1" s="1907" t="s">
        <v>3176</v>
      </c>
    </row>
    <row r="2" spans="1:12" ht="21.75" customHeight="1" thickBot="1">
      <c r="A2" s="3375" t="str">
        <f>项目基本情况!S2</f>
        <v>北京市东城区东直门外大街42号房地产</v>
      </c>
      <c r="B2" s="3376"/>
      <c r="C2" s="3376"/>
      <c r="D2" s="3376"/>
      <c r="E2" s="3376"/>
      <c r="F2" s="3376"/>
      <c r="G2" s="3376"/>
      <c r="H2" s="3376"/>
      <c r="I2" s="3377"/>
    </row>
    <row r="3" spans="1:12" ht="12.75">
      <c r="A3" s="3379" t="s">
        <v>1889</v>
      </c>
      <c r="B3" s="3380"/>
      <c r="C3" s="3380"/>
      <c r="D3" s="3380"/>
      <c r="E3" s="3380"/>
      <c r="F3" s="3380"/>
      <c r="G3" s="3380"/>
      <c r="H3" s="3380"/>
      <c r="I3" s="3380"/>
    </row>
    <row r="4" spans="1:12" ht="14.25">
      <c r="A4" s="1910" t="s">
        <v>1890</v>
      </c>
      <c r="B4" s="1911" t="s">
        <v>1891</v>
      </c>
      <c r="C4" s="1912" t="s">
        <v>3177</v>
      </c>
      <c r="D4" s="1912" t="s">
        <v>3167</v>
      </c>
      <c r="E4" s="3384" t="s">
        <v>1892</v>
      </c>
      <c r="F4" s="3385"/>
      <c r="G4" s="3385"/>
      <c r="H4" s="3385"/>
      <c r="I4" s="3386"/>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20" t="s">
        <v>1893</v>
      </c>
      <c r="B5" s="3378">
        <v>25</v>
      </c>
      <c r="C5" s="3381"/>
      <c r="D5" s="3369"/>
      <c r="E5" s="136" t="s">
        <v>1894</v>
      </c>
      <c r="F5" s="1913"/>
      <c r="G5" s="1913"/>
      <c r="H5" s="1913"/>
      <c r="I5" s="1527"/>
    </row>
    <row r="6" spans="1:12" ht="12.75">
      <c r="A6" s="3320"/>
      <c r="B6" s="3378"/>
      <c r="C6" s="3383"/>
      <c r="D6" s="3369"/>
      <c r="E6" s="136" t="s">
        <v>1895</v>
      </c>
      <c r="F6" s="1913"/>
      <c r="G6" s="1913"/>
      <c r="H6" s="1913"/>
      <c r="I6" s="1527"/>
    </row>
    <row r="7" spans="1:12" ht="12.75">
      <c r="A7" s="3320"/>
      <c r="B7" s="3378"/>
      <c r="C7" s="3382"/>
      <c r="D7" s="3369"/>
      <c r="E7" s="136" t="s">
        <v>1896</v>
      </c>
      <c r="F7" s="1913"/>
      <c r="G7" s="1913"/>
      <c r="H7" s="1913"/>
      <c r="I7" s="1527"/>
    </row>
    <row r="8" spans="1:12" ht="12.75">
      <c r="A8" s="3320" t="s">
        <v>1897</v>
      </c>
      <c r="B8" s="3378">
        <v>15</v>
      </c>
      <c r="C8" s="3381"/>
      <c r="D8" s="3369"/>
      <c r="E8" s="136" t="s">
        <v>1898</v>
      </c>
      <c r="F8" s="1913"/>
      <c r="G8" s="1913"/>
      <c r="H8" s="1913"/>
      <c r="I8" s="1527"/>
    </row>
    <row r="9" spans="1:12" ht="12.75">
      <c r="A9" s="3320"/>
      <c r="B9" s="3378"/>
      <c r="C9" s="3382"/>
      <c r="D9" s="3369"/>
      <c r="E9" s="136" t="s">
        <v>1899</v>
      </c>
      <c r="F9" s="1913"/>
      <c r="G9" s="1913"/>
      <c r="H9" s="1913"/>
      <c r="I9" s="1527"/>
    </row>
    <row r="10" spans="1:12" ht="12.75">
      <c r="A10" s="3320" t="s">
        <v>1900</v>
      </c>
      <c r="B10" s="3378">
        <v>15</v>
      </c>
      <c r="C10" s="3381"/>
      <c r="D10" s="3369"/>
      <c r="E10" s="136" t="s">
        <v>1901</v>
      </c>
      <c r="F10" s="1913"/>
      <c r="G10" s="1913"/>
      <c r="H10" s="1913"/>
      <c r="I10" s="1527"/>
    </row>
    <row r="11" spans="1:12" ht="12.75">
      <c r="A11" s="3320"/>
      <c r="B11" s="3378"/>
      <c r="C11" s="3382"/>
      <c r="D11" s="3369"/>
      <c r="E11" s="136" t="s">
        <v>1902</v>
      </c>
      <c r="F11" s="1913"/>
      <c r="G11" s="1913"/>
      <c r="H11" s="1913"/>
      <c r="I11" s="1527"/>
    </row>
    <row r="12" spans="1:12" ht="12.75">
      <c r="A12" s="3320" t="s">
        <v>1903</v>
      </c>
      <c r="B12" s="3378">
        <v>15</v>
      </c>
      <c r="C12" s="3381"/>
      <c r="D12" s="3369"/>
      <c r="E12" s="136" t="s">
        <v>1904</v>
      </c>
      <c r="F12" s="1913"/>
      <c r="G12" s="1913"/>
      <c r="H12" s="1913"/>
      <c r="I12" s="1527"/>
    </row>
    <row r="13" spans="1:12" ht="12.75">
      <c r="A13" s="3320"/>
      <c r="B13" s="3378"/>
      <c r="C13" s="3382"/>
      <c r="D13" s="3369"/>
      <c r="E13" s="136" t="s">
        <v>1905</v>
      </c>
      <c r="F13" s="1913"/>
      <c r="G13" s="1913"/>
      <c r="H13" s="1913"/>
      <c r="I13" s="1527"/>
    </row>
    <row r="14" spans="1:12" ht="12.75">
      <c r="A14" s="3320" t="s">
        <v>1906</v>
      </c>
      <c r="B14" s="3378">
        <v>30</v>
      </c>
      <c r="C14" s="3381">
        <v>4</v>
      </c>
      <c r="D14" s="3369">
        <v>6</v>
      </c>
      <c r="E14" s="136" t="s">
        <v>1907</v>
      </c>
      <c r="F14" s="1913"/>
      <c r="G14" s="1913"/>
      <c r="H14" s="1913"/>
      <c r="I14" s="1527"/>
    </row>
    <row r="15" spans="1:12" ht="12.75">
      <c r="A15" s="3320"/>
      <c r="B15" s="3378"/>
      <c r="C15" s="3383"/>
      <c r="D15" s="3369"/>
      <c r="E15" s="136" t="s">
        <v>1908</v>
      </c>
      <c r="F15" s="1913"/>
      <c r="G15" s="1913"/>
      <c r="H15" s="1913"/>
      <c r="I15" s="1527"/>
    </row>
    <row r="16" spans="1:12" ht="12.75">
      <c r="A16" s="3320"/>
      <c r="B16" s="3378"/>
      <c r="C16" s="3382"/>
      <c r="D16" s="3369"/>
      <c r="E16" s="136" t="s">
        <v>1909</v>
      </c>
      <c r="F16" s="1913"/>
      <c r="G16" s="1913"/>
      <c r="H16" s="1913"/>
      <c r="I16" s="1527"/>
    </row>
    <row r="17" spans="1:36" ht="15">
      <c r="A17" s="1914" t="s">
        <v>1910</v>
      </c>
      <c r="B17" s="60"/>
      <c r="C17" s="137">
        <f>SUM(C5:C16)</f>
        <v>4</v>
      </c>
      <c r="D17" s="137">
        <f>SUM(D5:D16)</f>
        <v>6</v>
      </c>
      <c r="E17" s="134"/>
      <c r="F17" s="134"/>
      <c r="G17" s="134"/>
      <c r="H17" s="134"/>
      <c r="I17" s="134"/>
      <c r="K17" s="308"/>
      <c r="L17" s="308" t="s">
        <v>1911</v>
      </c>
      <c r="M17" s="308" t="s">
        <v>1912</v>
      </c>
    </row>
    <row r="18" spans="1:36" ht="31.9" customHeight="1" thickBot="1">
      <c r="A18" s="1915" t="s">
        <v>1913</v>
      </c>
      <c r="B18" s="1916"/>
      <c r="C18" s="138">
        <f>ROUND(C17/SUM(C17:D17),2)</f>
        <v>0.4</v>
      </c>
      <c r="D18" s="138">
        <f>1-C18</f>
        <v>0.6</v>
      </c>
      <c r="E18" s="3400" t="s">
        <v>2813</v>
      </c>
      <c r="F18" s="3401"/>
      <c r="G18" s="3401"/>
      <c r="H18" s="3401"/>
      <c r="I18" s="3401"/>
      <c r="K18" s="308" t="s">
        <v>1914</v>
      </c>
      <c r="L18" s="308">
        <f>IF(C1="",'数据-汇总表'!E3,SUMIF(项目类型,C1,'数据-汇总表'!E17:E26)+SUMIF(项目类型,C1,'数据-汇总表'!I17:I26))</f>
        <v>11340.73</v>
      </c>
      <c r="M18" s="308">
        <f>IF(C1="",'数据-汇总表'!E3,SUMIF(项目类型,C1,'数据-汇总表'!E17:E26))</f>
        <v>11340.73</v>
      </c>
    </row>
    <row r="19" spans="1:36" ht="15">
      <c r="A19" s="1917" t="s">
        <v>1915</v>
      </c>
      <c r="B19" s="1918" t="s">
        <v>1916</v>
      </c>
      <c r="C19" s="139">
        <f ca="1">SUMIF(INDIRECT("'"&amp;C4&amp;"'"&amp;"!A:A"),结果表!B19,INDIRECT("'"&amp;C4&amp;"'"&amp;"!B:B"))</f>
        <v>49405</v>
      </c>
      <c r="D19" s="140">
        <f ca="1">SUMIF(INDIRECT("'"&amp;D4&amp;"'"&amp;"!A:A"),结果表!B19,INDIRECT("'"&amp;D4&amp;"'"&amp;"!B:B"))</f>
        <v>77882</v>
      </c>
      <c r="E19" s="1917" t="s">
        <v>1917</v>
      </c>
      <c r="F19" s="1918" t="s">
        <v>1916</v>
      </c>
      <c r="G19" s="141">
        <f ca="1">ROUND(C19*$C$18+D19*$D$18,0)</f>
        <v>66491</v>
      </c>
      <c r="H19" s="1919" t="s">
        <v>1918</v>
      </c>
      <c r="I19" s="134"/>
      <c r="K19" s="308" t="s">
        <v>1919</v>
      </c>
      <c r="L19" s="308">
        <f>IF(C1="",'数据-汇总表'!D3,SUMIF(项目类型,C1,'数据-汇总表'!D17:D26)+SUMIF(项目类型,C1,'数据-汇总表'!H17:H27))</f>
        <v>1741.52</v>
      </c>
      <c r="M19" s="308">
        <f>IF(C1="",'数据-汇总表'!D3,SUMIF(项目类型,C1,'数据-汇总表'!D17:D26))</f>
        <v>1741.52</v>
      </c>
    </row>
    <row r="20" spans="1:36" ht="15">
      <c r="A20" s="1920"/>
      <c r="B20" s="1157" t="s">
        <v>1920</v>
      </c>
      <c r="C20" s="142">
        <f ca="1">SUMIF(INDIRECT("'"&amp;C4&amp;"'"&amp;"!A:A"),结果表!B20,INDIRECT("'"&amp;C4&amp;"'"&amp;"!B:B"))</f>
        <v>43564</v>
      </c>
      <c r="D20" s="143">
        <f ca="1">SUMIF(INDIRECT("'"&amp;D4&amp;"'"&amp;"!A:A"),结果表!B20,INDIRECT("'"&amp;D4&amp;"'"&amp;"!B:B"))</f>
        <v>68675</v>
      </c>
      <c r="E20" s="1920"/>
      <c r="F20" s="1157" t="s">
        <v>1920</v>
      </c>
      <c r="G20" s="144">
        <f ca="1">ROUND(C20*$C$18+D20*$D$18,0)</f>
        <v>58631</v>
      </c>
      <c r="H20" s="917" t="s">
        <v>1921</v>
      </c>
      <c r="I20" s="134"/>
    </row>
    <row r="21" spans="1:36" ht="15" customHeight="1" thickBot="1">
      <c r="A21" s="937"/>
      <c r="B21" s="1921" t="s">
        <v>1922</v>
      </c>
      <c r="C21" s="728">
        <f ca="1">ROUND(C19*10000/L19,0)</f>
        <v>283689</v>
      </c>
      <c r="D21" s="729">
        <f ca="1">ROUND(D19*10000/L19,0)</f>
        <v>447207</v>
      </c>
      <c r="E21" s="937"/>
      <c r="F21" s="1921" t="s">
        <v>1922</v>
      </c>
      <c r="G21" s="145">
        <f ca="1">ROUND(G19*10000/L19,0)</f>
        <v>381799</v>
      </c>
      <c r="H21" s="1922" t="s">
        <v>1921</v>
      </c>
      <c r="I21" s="134"/>
    </row>
    <row r="22" spans="1:36" ht="15" thickBot="1">
      <c r="A22" s="1844" t="s">
        <v>1923</v>
      </c>
      <c r="B22" s="1923"/>
      <c r="C22" s="1924"/>
      <c r="D22" s="730">
        <f ca="1">IF(C19&lt;D19,D19/C19-1,C19/D19-1)</f>
        <v>0.57639914988361496</v>
      </c>
      <c r="E22" s="134"/>
      <c r="F22" s="134"/>
      <c r="G22" s="134"/>
      <c r="H22" s="134"/>
      <c r="I22" s="134"/>
    </row>
    <row r="23" spans="1:36" ht="13.5" thickBot="1">
      <c r="A23" s="1903"/>
      <c r="B23" s="1903"/>
      <c r="C23" s="1903"/>
      <c r="D23" s="1903"/>
      <c r="E23" s="134"/>
      <c r="F23" s="134"/>
      <c r="G23" s="134"/>
      <c r="H23" s="134"/>
      <c r="I23" s="134"/>
    </row>
    <row r="24" spans="1:36" ht="14.25">
      <c r="A24" s="3393" t="s">
        <v>1924</v>
      </c>
      <c r="B24" s="1918" t="s">
        <v>1916</v>
      </c>
      <c r="C24" s="141">
        <f>IF(B30=0,0,D30)</f>
        <v>0</v>
      </c>
      <c r="D24" s="1925"/>
      <c r="E24" s="134"/>
      <c r="F24" s="134"/>
      <c r="G24" s="134"/>
      <c r="H24" s="134"/>
      <c r="I24" s="134"/>
    </row>
    <row r="25" spans="1:36" ht="14.25">
      <c r="A25" s="3394"/>
      <c r="B25" s="1157" t="s">
        <v>1920</v>
      </c>
      <c r="C25" s="146">
        <f>IF(B30=0,0,C30)</f>
        <v>0</v>
      </c>
      <c r="D25" s="1926"/>
      <c r="E25" s="134"/>
      <c r="F25" s="134"/>
      <c r="G25" s="134"/>
      <c r="H25" s="134"/>
      <c r="I25" s="134"/>
    </row>
    <row r="26" spans="1:36" ht="13.5" customHeight="1">
      <c r="A26" s="1927" t="s">
        <v>1925</v>
      </c>
      <c r="B26" s="147" t="s">
        <v>1926</v>
      </c>
      <c r="C26" s="147" t="s">
        <v>1927</v>
      </c>
      <c r="D26" s="148" t="s">
        <v>1928</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1929</v>
      </c>
      <c r="B30" s="147"/>
      <c r="C30" s="147"/>
      <c r="D30" s="147"/>
      <c r="E30" s="2491" t="s">
        <v>2814</v>
      </c>
      <c r="F30" s="134"/>
      <c r="G30" s="134"/>
      <c r="H30" s="134"/>
      <c r="I30" s="134"/>
    </row>
    <row r="31" spans="1:36" s="2497" customFormat="1" ht="26.45" customHeight="1" thickTop="1" thickBot="1">
      <c r="A31" s="2492"/>
      <c r="B31" s="2493"/>
      <c r="C31" s="2493"/>
      <c r="D31" s="2493"/>
      <c r="E31" s="2493"/>
      <c r="F31" s="2493"/>
      <c r="G31" s="2493"/>
      <c r="H31" s="2493"/>
      <c r="I31" s="2494" t="s">
        <v>2815</v>
      </c>
      <c r="J31" s="2886"/>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1930</v>
      </c>
      <c r="B32" s="1930"/>
      <c r="C32" s="149">
        <f ca="1">IF(D32="总价",G19-C24,G20-C25)</f>
        <v>66491</v>
      </c>
      <c r="D32" s="1931" t="s">
        <v>3182</v>
      </c>
      <c r="E32" s="134"/>
      <c r="F32" s="134"/>
      <c r="G32" s="134"/>
      <c r="H32" s="134"/>
      <c r="I32" s="134"/>
    </row>
    <row r="33" spans="1:15" ht="15">
      <c r="A33" s="894" t="s">
        <v>1931</v>
      </c>
      <c r="B33" s="1932"/>
      <c r="C33" s="1933" t="s">
        <v>3181</v>
      </c>
      <c r="D33" s="1934" t="s">
        <v>3177</v>
      </c>
      <c r="E33" s="1935" t="s">
        <v>1932</v>
      </c>
      <c r="F33" s="1936" t="str">
        <f>IF(D32="楼面单价","取值（单价）","取值（总价）")</f>
        <v>取值（总价）</v>
      </c>
      <c r="G33" s="134"/>
      <c r="H33" s="134"/>
      <c r="I33" s="134"/>
    </row>
    <row r="34" spans="1:15" ht="15">
      <c r="A34" s="1937"/>
      <c r="B34" s="1938" t="s">
        <v>1933</v>
      </c>
      <c r="C34" s="153">
        <f ca="1">IF(C33="自定义",F34,C32-C35)</f>
        <v>58911</v>
      </c>
      <c r="D34" s="970">
        <f ca="1">IF(C33="自定义",ROUND(C34/C32,3),IF(C33="收益比率",SUMIF(INDIRECT("'"&amp;D33&amp;"'"&amp;"!b:b"),"土地收益比率",INDIRECT("'"&amp;D33&amp;"'"&amp;"!c:c")),SUMIF(INDIRECT("'"&amp;D33&amp;"'"&amp;"!b:b"),"土地成本比率",INDIRECT("'"&amp;D33&amp;"'"&amp;"!c:c"))))</f>
        <v>0.88600000000000001</v>
      </c>
      <c r="E34" s="1939" t="s">
        <v>1934</v>
      </c>
      <c r="F34" s="1470"/>
      <c r="G34" s="134"/>
      <c r="H34" s="134"/>
      <c r="I34" s="134"/>
    </row>
    <row r="35" spans="1:15" ht="15.75" thickBot="1">
      <c r="A35" s="1940"/>
      <c r="B35" s="1941" t="s">
        <v>1935</v>
      </c>
      <c r="C35" s="1304">
        <f ca="1">IF(C33="自定义",F35,ROUND(C32*D35,0))</f>
        <v>7580</v>
      </c>
      <c r="D35" s="1305">
        <f ca="1">IF(C33="自定义",ROUND(C35/C32,3),IF(C33="收益比率",SUMIF(INDIRECT("'"&amp;D33&amp;"'"&amp;"!b:b"),"建筑物收益比率",INDIRECT("'"&amp;D33&amp;"'"&amp;"!c:c")),SUMIF(INDIRECT("'"&amp;D33&amp;"'"&amp;"!b:b"),"建筑物成本比率",INDIRECT("'"&amp;D33&amp;"'"&amp;"!c:c"))))</f>
        <v>0.114</v>
      </c>
      <c r="E35" s="1942" t="s">
        <v>1936</v>
      </c>
      <c r="F35" s="159"/>
      <c r="G35" s="134"/>
      <c r="H35" s="134"/>
      <c r="I35" s="134"/>
    </row>
    <row r="36" spans="1:15" ht="15.75" thickBot="1">
      <c r="A36" s="3370" t="s">
        <v>1937</v>
      </c>
      <c r="B36" s="1943" t="s">
        <v>1938</v>
      </c>
      <c r="C36" s="150"/>
      <c r="D36" s="1944"/>
      <c r="E36" s="1945"/>
      <c r="F36" s="1946"/>
      <c r="G36" s="134"/>
      <c r="H36" s="134"/>
      <c r="I36" s="134"/>
    </row>
    <row r="37" spans="1:15" ht="15.75" thickBot="1">
      <c r="A37" s="3371"/>
      <c r="B37" s="1830" t="s">
        <v>1939</v>
      </c>
      <c r="C37" s="152"/>
      <c r="D37" s="1273"/>
      <c r="E37" s="1273"/>
      <c r="F37" s="1946"/>
      <c r="G37" s="134"/>
      <c r="H37" s="134"/>
      <c r="I37" s="134"/>
    </row>
    <row r="38" spans="1:15" ht="15.75" thickBot="1">
      <c r="A38" s="3372"/>
      <c r="B38" s="1947" t="s">
        <v>1940</v>
      </c>
      <c r="C38" s="683"/>
      <c r="D38" s="1948" t="s">
        <v>1941</v>
      </c>
      <c r="E38" s="1273"/>
      <c r="F38" s="1946"/>
      <c r="G38" s="134"/>
      <c r="H38" s="134"/>
      <c r="I38" s="134"/>
    </row>
    <row r="39" spans="1:15" ht="15">
      <c r="A39" s="1920" t="s">
        <v>1942</v>
      </c>
      <c r="B39" s="1949" t="s">
        <v>1943</v>
      </c>
      <c r="C39" s="1950" t="s">
        <v>1944</v>
      </c>
      <c r="D39" s="1950" t="s">
        <v>1945</v>
      </c>
      <c r="E39" s="1951" t="s">
        <v>1946</v>
      </c>
      <c r="F39" s="1946"/>
      <c r="G39" s="134"/>
      <c r="H39" s="134"/>
      <c r="I39" s="134"/>
    </row>
    <row r="40" spans="1:15" ht="14.25">
      <c r="A40" s="1952" t="s">
        <v>1947</v>
      </c>
      <c r="B40" s="154"/>
      <c r="C40" s="155"/>
      <c r="D40" s="155"/>
      <c r="E40" s="156"/>
      <c r="F40" s="1946"/>
      <c r="G40" s="134"/>
      <c r="H40" s="134"/>
      <c r="I40" s="134"/>
    </row>
    <row r="41" spans="1:15" ht="14.25">
      <c r="A41" s="1952" t="s">
        <v>1948</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1949</v>
      </c>
      <c r="B44" s="1957"/>
      <c r="C44" s="1957"/>
      <c r="D44" s="1958"/>
      <c r="E44" s="1958"/>
      <c r="F44" s="1959"/>
      <c r="G44" s="1959"/>
      <c r="H44" s="1959"/>
      <c r="I44" s="1959"/>
      <c r="J44" s="1960" t="s">
        <v>1950</v>
      </c>
      <c r="K44" s="1961"/>
      <c r="L44" s="1961"/>
      <c r="M44" s="1961"/>
      <c r="N44" s="1961"/>
      <c r="O44" s="1961"/>
    </row>
    <row r="45" spans="1:15" ht="14.25" customHeight="1" thickBot="1">
      <c r="A45" s="3390" t="s">
        <v>1951</v>
      </c>
      <c r="B45" s="3391"/>
      <c r="C45" s="3392"/>
      <c r="D45" s="160">
        <f ca="1">ROUND(H101*F45,0)</f>
        <v>66491</v>
      </c>
      <c r="E45" s="161" t="s">
        <v>1952</v>
      </c>
      <c r="F45" s="162">
        <v>1</v>
      </c>
      <c r="G45" s="163" t="s">
        <v>1953</v>
      </c>
      <c r="H45" s="134"/>
      <c r="I45" s="134"/>
      <c r="J45" s="3307" t="s">
        <v>1954</v>
      </c>
      <c r="K45" s="3307"/>
      <c r="L45" s="3307"/>
      <c r="M45" s="3307"/>
      <c r="N45" s="3307"/>
      <c r="O45" s="3307"/>
    </row>
    <row r="46" spans="1:15" ht="14.25" customHeight="1">
      <c r="A46" s="3387" t="s">
        <v>1955</v>
      </c>
      <c r="B46" s="3388"/>
      <c r="C46" s="3388"/>
      <c r="D46" s="3388"/>
      <c r="E46" s="3388"/>
      <c r="F46" s="3388"/>
      <c r="G46" s="3389"/>
      <c r="H46" s="1962"/>
      <c r="I46" s="164"/>
      <c r="J46" s="2717">
        <v>1</v>
      </c>
      <c r="K46" s="3308" t="s">
        <v>1956</v>
      </c>
      <c r="L46" s="3308"/>
      <c r="M46" s="3309"/>
      <c r="N46" s="3309"/>
      <c r="O46" s="3309"/>
    </row>
    <row r="47" spans="1:15" ht="12" customHeight="1">
      <c r="A47" s="165" t="s">
        <v>1957</v>
      </c>
      <c r="B47" s="166"/>
      <c r="C47" s="167"/>
      <c r="D47" s="1219" t="s">
        <v>1958</v>
      </c>
      <c r="E47" s="308" t="s">
        <v>1959</v>
      </c>
      <c r="F47" s="168" t="s">
        <v>1960</v>
      </c>
      <c r="G47" s="2740" t="s">
        <v>1961</v>
      </c>
      <c r="H47" s="2741"/>
      <c r="I47" s="164"/>
      <c r="J47" s="2717">
        <v>2</v>
      </c>
      <c r="K47" s="3308" t="s">
        <v>1962</v>
      </c>
      <c r="L47" s="3308"/>
      <c r="M47" s="3310">
        <f>'数据-取费表'!B2</f>
        <v>44641</v>
      </c>
      <c r="N47" s="3310"/>
      <c r="O47" s="3310"/>
    </row>
    <row r="48" spans="1:15" ht="25.5">
      <c r="A48" s="3373" t="s">
        <v>1963</v>
      </c>
      <c r="B48" s="3374"/>
      <c r="C48" s="3374"/>
      <c r="D48" s="2517" t="b">
        <f>IF(H48="情况1",0,IF(H48="情况2",D52,IF(H48="情况3",D53,IF(H48="情况4",D54))))</f>
        <v>0</v>
      </c>
      <c r="E48" s="2527" t="str">
        <f>IF(H48="情况4","(销售额-原购置价)×税（费）率","销售额×税（费）率")</f>
        <v>销售额×税（费）率</v>
      </c>
      <c r="F48" s="2742">
        <f>IF(H48="情况1","免征",'数据-取费表'!B41)</f>
        <v>5.6000000000000001E-2</v>
      </c>
      <c r="G48" s="2743" t="s">
        <v>1964</v>
      </c>
      <c r="H48" s="2744"/>
      <c r="I48" s="1962"/>
      <c r="J48" s="2717">
        <v>3</v>
      </c>
      <c r="K48" s="3308" t="s">
        <v>1965</v>
      </c>
      <c r="L48" s="3308"/>
      <c r="M48" s="3311">
        <f ca="1">H101</f>
        <v>66491</v>
      </c>
      <c r="N48" s="3311"/>
      <c r="O48" s="3311"/>
    </row>
    <row r="49" spans="1:35" ht="25.5" customHeight="1">
      <c r="A49" s="2526" t="s">
        <v>1966</v>
      </c>
      <c r="B49" s="3356" t="s">
        <v>1967</v>
      </c>
      <c r="C49" s="3356"/>
      <c r="D49" s="1745">
        <v>0</v>
      </c>
      <c r="E49" s="330" t="s">
        <v>1968</v>
      </c>
      <c r="F49" s="2618" t="s">
        <v>34</v>
      </c>
      <c r="G49" s="3339"/>
      <c r="H49" s="2498" t="s">
        <v>2816</v>
      </c>
      <c r="I49" s="2499"/>
      <c r="J49" s="2717">
        <v>4</v>
      </c>
      <c r="K49" s="3308" t="str">
        <f>IF(项目基本情况!E8="房地产抵押价值","房地产抵押价值","抵押担保权已注销时的房地产抵押价值")</f>
        <v>抵押担保权已注销时的房地产抵押价值</v>
      </c>
      <c r="L49" s="3308"/>
      <c r="M49" s="3311">
        <f ca="1">IF(项目基本情况!E8="房地产抵押价值",H107,H109)</f>
        <v>66491</v>
      </c>
      <c r="N49" s="3311"/>
      <c r="O49" s="3311"/>
    </row>
    <row r="50" spans="1:35" ht="25.5" customHeight="1">
      <c r="A50" s="2745"/>
      <c r="B50" s="3356" t="s">
        <v>1969</v>
      </c>
      <c r="C50" s="3356"/>
      <c r="D50" s="2746"/>
      <c r="E50" s="338"/>
      <c r="F50" s="2618"/>
      <c r="G50" s="3340"/>
      <c r="H50" s="2500" t="s">
        <v>2817</v>
      </c>
      <c r="I50" s="2499"/>
      <c r="J50" s="3307" t="s">
        <v>1970</v>
      </c>
      <c r="K50" s="3307"/>
      <c r="L50" s="3307"/>
      <c r="M50" s="3307"/>
      <c r="N50" s="3307"/>
      <c r="O50" s="3307"/>
    </row>
    <row r="51" spans="1:35" ht="20.45" customHeight="1">
      <c r="A51" s="2747"/>
      <c r="B51" s="3356" t="s">
        <v>1971</v>
      </c>
      <c r="C51" s="3356"/>
      <c r="D51" s="1219"/>
      <c r="E51" s="333"/>
      <c r="F51" s="2618"/>
      <c r="G51" s="3341"/>
      <c r="H51" s="2500" t="s">
        <v>2818</v>
      </c>
      <c r="I51" s="2499"/>
      <c r="J51" s="2718" t="s">
        <v>1972</v>
      </c>
      <c r="K51" s="3308" t="s">
        <v>1973</v>
      </c>
      <c r="L51" s="3308"/>
      <c r="M51" s="2718" t="s">
        <v>1974</v>
      </c>
      <c r="N51" s="2718" t="s">
        <v>1975</v>
      </c>
      <c r="O51" s="2718" t="s">
        <v>1976</v>
      </c>
    </row>
    <row r="52" spans="1:35" ht="24" customHeight="1">
      <c r="A52" s="2528" t="s">
        <v>1977</v>
      </c>
      <c r="B52" s="3356" t="s">
        <v>1978</v>
      </c>
      <c r="C52" s="3356"/>
      <c r="D52" s="1219">
        <f ca="1">ROUND(D45*'数据-取费表'!B41/(1+'数据-取费表'!C42),0)</f>
        <v>3546</v>
      </c>
      <c r="E52" s="2527" t="s">
        <v>1979</v>
      </c>
      <c r="F52" s="2748">
        <f>'数据-取费表'!B41</f>
        <v>5.6000000000000001E-2</v>
      </c>
      <c r="G52" s="2749"/>
      <c r="H52" s="2738"/>
      <c r="I52" s="1963"/>
      <c r="J52" s="2717">
        <v>1</v>
      </c>
      <c r="K52" s="3333" t="s">
        <v>1980</v>
      </c>
      <c r="L52" s="3333"/>
      <c r="M52" s="2719" t="b">
        <f>D48</f>
        <v>0</v>
      </c>
      <c r="N52" s="2717" t="str">
        <f>E48</f>
        <v>销售额×税（费）率</v>
      </c>
      <c r="O52" s="2720">
        <f>F48</f>
        <v>5.6000000000000001E-2</v>
      </c>
    </row>
    <row r="53" spans="1:35" ht="12" customHeight="1">
      <c r="A53" s="2528" t="s">
        <v>1981</v>
      </c>
      <c r="B53" s="3357" t="s">
        <v>2977</v>
      </c>
      <c r="C53" s="3358"/>
      <c r="D53" s="1219">
        <f ca="1">ROUND(D45*'数据-取费表'!B41/(1+'数据-取费表'!C42),0)</f>
        <v>3546</v>
      </c>
      <c r="E53" s="2527" t="s">
        <v>1979</v>
      </c>
      <c r="F53" s="2748">
        <f>'数据-取费表'!B41</f>
        <v>5.6000000000000001E-2</v>
      </c>
      <c r="G53" s="2749"/>
      <c r="H53" s="2738"/>
      <c r="I53" s="1963"/>
      <c r="J53" s="2717">
        <v>2</v>
      </c>
      <c r="K53" s="3333" t="s">
        <v>1982</v>
      </c>
      <c r="L53" s="3333"/>
      <c r="M53" s="2719">
        <f t="shared" ref="M53:O54" ca="1" si="0">D55</f>
        <v>33</v>
      </c>
      <c r="N53" s="2717" t="str">
        <f t="shared" si="0"/>
        <v>销售额×税（费）率</v>
      </c>
      <c r="O53" s="2720" t="str">
        <f t="shared" si="0"/>
        <v>免征</v>
      </c>
    </row>
    <row r="54" spans="1:35" ht="12" customHeight="1">
      <c r="A54" s="2528" t="s">
        <v>1983</v>
      </c>
      <c r="B54" s="3357" t="s">
        <v>2978</v>
      </c>
      <c r="C54" s="3358"/>
      <c r="D54" s="1219">
        <f ca="1">C68</f>
        <v>3546</v>
      </c>
      <c r="E54" s="333" t="s">
        <v>1984</v>
      </c>
      <c r="F54" s="2748">
        <f>'数据-取费表'!B41</f>
        <v>5.6000000000000001E-2</v>
      </c>
      <c r="G54" s="2749"/>
      <c r="H54" s="2750"/>
      <c r="I54" s="1963"/>
      <c r="J54" s="2717">
        <v>3</v>
      </c>
      <c r="K54" s="3333" t="s">
        <v>1985</v>
      </c>
      <c r="L54" s="3333"/>
      <c r="M54" s="2719">
        <f t="shared" ca="1" si="0"/>
        <v>37634</v>
      </c>
      <c r="N54" s="2717" t="str">
        <f t="shared" si="0"/>
        <v>增值额×税（费）率</v>
      </c>
      <c r="O54" s="2721" t="str">
        <f t="shared" si="0"/>
        <v>免征</v>
      </c>
    </row>
    <row r="55" spans="1:35" ht="24" customHeight="1">
      <c r="A55" s="3396" t="s">
        <v>1986</v>
      </c>
      <c r="B55" s="3374"/>
      <c r="C55" s="3374"/>
      <c r="D55" s="2517">
        <f ca="1">IF(H55="个人住宅",0,ROUND(D45*I55,0))</f>
        <v>33</v>
      </c>
      <c r="E55" s="2527" t="s">
        <v>1987</v>
      </c>
      <c r="F55" s="2748" t="str">
        <f>IF(H55="正常",I55,"免征")</f>
        <v>免征</v>
      </c>
      <c r="G55" s="2749"/>
      <c r="H55" s="2744"/>
      <c r="I55" s="170">
        <f>'数据-取费表'!B49</f>
        <v>5.0000000000000001E-4</v>
      </c>
      <c r="J55" s="2717">
        <f>IF(H59="非个人房产","",4)</f>
        <v>4</v>
      </c>
      <c r="K55" s="3333" t="str">
        <f>IF(H59="非个人房产","——","个人所得税")</f>
        <v>个人所得税</v>
      </c>
      <c r="L55" s="3333"/>
      <c r="M55" s="2722">
        <f ca="1">D59</f>
        <v>633</v>
      </c>
      <c r="N55" s="2198" t="str">
        <f>E59</f>
        <v>差额计税</v>
      </c>
      <c r="O55" s="2723">
        <f>F59</f>
        <v>0.01</v>
      </c>
    </row>
    <row r="56" spans="1:35" ht="24.75">
      <c r="A56" s="3396" t="s">
        <v>1988</v>
      </c>
      <c r="B56" s="3374"/>
      <c r="C56" s="3374"/>
      <c r="D56" s="2517">
        <f ca="1">IF(H56="个人住宅",D57,D58)</f>
        <v>37634</v>
      </c>
      <c r="E56" s="2527" t="s">
        <v>1989</v>
      </c>
      <c r="F56" s="2748" t="str">
        <f>IF(H56="正常",F58,"免征")</f>
        <v>免征</v>
      </c>
      <c r="G56" s="2751" t="s">
        <v>1990</v>
      </c>
      <c r="H56" s="2752"/>
      <c r="I56" s="1964"/>
      <c r="J56" s="2717" t="str">
        <f>IF(项目基本情况!K6="上海银行",IF(J55="",4,J55+1),"")</f>
        <v/>
      </c>
      <c r="K56" s="3314" t="str">
        <f>IF(项目基本情况!K6="上海银行","其他处置费用","")</f>
        <v/>
      </c>
      <c r="L56" s="3315"/>
      <c r="M56" s="2719" t="str">
        <f>IF(项目基本情况!K6="上海银行",M69,"")</f>
        <v/>
      </c>
      <c r="N56" s="3314" t="str">
        <f>IF(项目基本情况!K6="上海银行","包含处置中涉及的律师、诉讼、拍卖、评估等费用","")</f>
        <v/>
      </c>
      <c r="O56" s="3317"/>
    </row>
    <row r="57" spans="1:35" ht="12.75">
      <c r="A57" s="2528" t="s">
        <v>1966</v>
      </c>
      <c r="B57" s="3357" t="s">
        <v>1991</v>
      </c>
      <c r="C57" s="3358"/>
      <c r="D57" s="1745">
        <v>0</v>
      </c>
      <c r="E57" s="330" t="s">
        <v>1968</v>
      </c>
      <c r="F57" s="308"/>
      <c r="G57" s="2749"/>
      <c r="H57" s="2753"/>
      <c r="I57" s="1964"/>
      <c r="J57" s="3333">
        <f>IF(AND(J55="",J56=""),4,IF(项目基本情况!K6="上海银行",结果表!J56+1,结果表!J55+1))</f>
        <v>5</v>
      </c>
      <c r="K57" s="3333" t="s">
        <v>1992</v>
      </c>
      <c r="L57" s="2724" t="s">
        <v>1993</v>
      </c>
      <c r="M57" s="2725"/>
      <c r="N57" s="2726">
        <f ca="1">SUMIF(M52:M56,"&lt;9e307")</f>
        <v>38300</v>
      </c>
      <c r="O57" s="2727"/>
      <c r="P57" s="2887">
        <f ca="1">N57/M49</f>
        <v>0.5760178069212375</v>
      </c>
    </row>
    <row r="58" spans="1:35" ht="24.75">
      <c r="A58" s="2528" t="s">
        <v>1977</v>
      </c>
      <c r="B58" s="3357" t="s">
        <v>1994</v>
      </c>
      <c r="C58" s="3356"/>
      <c r="D58" s="2517">
        <f ca="1">IF(H58="转让取得",C81,C97)</f>
        <v>37634</v>
      </c>
      <c r="E58" s="2527" t="s">
        <v>1989</v>
      </c>
      <c r="F58" s="308" t="s">
        <v>34</v>
      </c>
      <c r="G58" s="2749"/>
      <c r="H58" s="2752"/>
      <c r="I58" s="1964"/>
      <c r="J58" s="3333"/>
      <c r="K58" s="3333"/>
      <c r="L58" s="2724" t="s">
        <v>1995</v>
      </c>
      <c r="M58" s="2728"/>
      <c r="N58" s="2729" t="str">
        <f ca="1">NUMBERSTRING(INT(N57*10000),2)&amp;"元整"</f>
        <v>叁亿捌仟叁佰万元整</v>
      </c>
      <c r="O58" s="2730"/>
    </row>
    <row r="59" spans="1:35" ht="24.75" thickBot="1">
      <c r="A59" s="3337" t="s">
        <v>1996</v>
      </c>
      <c r="B59" s="3338"/>
      <c r="C59" s="3338"/>
      <c r="D59" s="2754">
        <f ca="1">IF(H59="非个人房产","——",IF(H59="个人住宅（满五唯一有凭证）",0,IF(H59="个人其他（无凭证）",ROUND(D45*F59,0),ROUND(C67*F59,0))))</f>
        <v>633</v>
      </c>
      <c r="E59" s="2755" t="str">
        <f>IF(H59="非个人房产","——",IF(H59="个人其他（无凭证）","销售额×税（费）率",IF(H59="个人住宅（满五唯一有凭证）","免征","差额计税")))</f>
        <v>差额计税</v>
      </c>
      <c r="F59" s="2756">
        <f>IF(OR(H59="非个人房产",H59="个人住宅（满五唯一有凭证）"),"——",IF(H59="个人其他（有凭证）",20%,1%))</f>
        <v>0.01</v>
      </c>
      <c r="G59" s="2757" t="s">
        <v>1990</v>
      </c>
      <c r="H59" s="2502"/>
      <c r="I59" s="2501" t="s">
        <v>2819</v>
      </c>
      <c r="J59" s="3335">
        <f>J57+1</f>
        <v>6</v>
      </c>
      <c r="K59" s="3333" t="s">
        <v>1997</v>
      </c>
      <c r="L59" s="2717" t="s">
        <v>1993</v>
      </c>
      <c r="M59" s="2731"/>
      <c r="N59" s="2732">
        <f ca="1">M49-N57</f>
        <v>28191</v>
      </c>
      <c r="O59" s="2733"/>
    </row>
    <row r="60" spans="1:35" ht="12" customHeight="1">
      <c r="A60" s="1965"/>
      <c r="B60" s="1903"/>
      <c r="C60" s="1903"/>
      <c r="D60" s="1903"/>
      <c r="E60" s="1733"/>
      <c r="F60" s="1964"/>
      <c r="G60" s="1964"/>
      <c r="H60" s="1966"/>
      <c r="I60" s="134"/>
      <c r="J60" s="3336"/>
      <c r="K60" s="3333"/>
      <c r="L60" s="2724" t="s">
        <v>1995</v>
      </c>
      <c r="M60" s="2728"/>
      <c r="N60" s="2729" t="str">
        <f ca="1">NUMBERSTRING(INT(N59*10000),2)&amp;"元整"</f>
        <v>贰亿捌仟壹佰玖拾壹万元整</v>
      </c>
      <c r="O60" s="2730"/>
    </row>
    <row r="61" spans="1:35" ht="13.5" thickBot="1">
      <c r="A61" s="3395" t="s">
        <v>1998</v>
      </c>
      <c r="B61" s="3395"/>
      <c r="C61" s="3395"/>
      <c r="D61" s="3395"/>
      <c r="E61" s="3395"/>
      <c r="F61" s="1964"/>
      <c r="G61" s="1964"/>
      <c r="H61" s="1966"/>
      <c r="I61" s="134"/>
      <c r="J61" s="2717">
        <f>J59+1</f>
        <v>7</v>
      </c>
      <c r="K61" s="3333" t="s">
        <v>1999</v>
      </c>
      <c r="L61" s="3333"/>
      <c r="M61" s="2734"/>
      <c r="N61" s="2735">
        <f ca="1">ROUND(N59*10000/'数据-汇总表'!E3,0)</f>
        <v>24858</v>
      </c>
      <c r="O61" s="2736"/>
    </row>
    <row r="62" spans="1:35" ht="12.75">
      <c r="A62" s="3352" t="s">
        <v>2000</v>
      </c>
      <c r="B62" s="3353"/>
      <c r="C62" s="2179"/>
      <c r="D62" s="2179" t="s">
        <v>2001</v>
      </c>
      <c r="E62" s="171" t="s">
        <v>2002</v>
      </c>
      <c r="F62" s="1964"/>
      <c r="G62" s="1964"/>
      <c r="H62" s="1966"/>
      <c r="I62" s="134"/>
    </row>
    <row r="63" spans="1:35" ht="12.75">
      <c r="A63" s="178" t="s">
        <v>775</v>
      </c>
      <c r="B63" s="172" t="s">
        <v>2003</v>
      </c>
      <c r="C63" s="2758">
        <f ca="1">ROUND((C64+C65)/(1+'数据-取费表'!C42),0)</f>
        <v>63325</v>
      </c>
      <c r="D63" s="172"/>
      <c r="E63" s="173"/>
      <c r="F63" s="1964"/>
      <c r="G63" s="1964"/>
      <c r="H63" s="1966"/>
      <c r="I63" s="134"/>
      <c r="J63" s="3316" t="s">
        <v>2004</v>
      </c>
      <c r="K63" s="1472" t="s">
        <v>2005</v>
      </c>
      <c r="L63" s="1472">
        <f ca="1">IF(M49&gt;10000,M49*0.5%,IF(AND(M49&gt;1000,M49&lt;=10000),M49*1%,IF(AND(M49&gt;100,M49&lt;=1000),M49*3%,IF(AND(M49&gt;10,M49&lt;=100),M49*5%,M49*8%))))</f>
        <v>332.45499999999998</v>
      </c>
      <c r="M63" s="308">
        <f ca="1">ROUND(L63,1)</f>
        <v>332.5</v>
      </c>
      <c r="N63" s="2737"/>
      <c r="Z63" s="1908"/>
      <c r="AI63" s="1909"/>
    </row>
    <row r="64" spans="1:35" ht="14.25" customHeight="1">
      <c r="A64" s="174" t="s">
        <v>770</v>
      </c>
      <c r="B64" s="175" t="s">
        <v>2006</v>
      </c>
      <c r="C64" s="2759">
        <f ca="1">D45</f>
        <v>66491</v>
      </c>
      <c r="D64" s="175" t="s">
        <v>32</v>
      </c>
      <c r="E64" s="177"/>
      <c r="F64" s="1964"/>
      <c r="G64" s="1964"/>
      <c r="H64" s="1966"/>
      <c r="I64" s="134"/>
      <c r="J64" s="3316"/>
      <c r="K64" s="1472" t="s">
        <v>2007</v>
      </c>
      <c r="L64" s="1472">
        <f ca="1">IF(M49&gt;2000,M49*0.5%,IF(AND(M49&gt;1000,M49&lt;=2000),M49*0.6%,IF(AND(M49&gt;500,M49&lt;=1000),M49*0.7%,IF(AND(M49&gt;200,M49&lt;=500),M49*0.8%,IF(AND(M49&gt;100,M49&lt;=200),M49*0.9%,IF(AND(M49&gt;50,M49&lt;=100),M49*1%,IF(AND(M49&gt;20,M49&lt;=50),M49*1.5%,IF(AND(M49&gt;10,M49&lt;=20),M49*2%,IF(AND(M49&gt;1,M49&lt;=10),M49*2.5%)))))))))</f>
        <v>332.45499999999998</v>
      </c>
      <c r="M64" s="308">
        <f t="shared" ref="M64:M65" ca="1" si="1">ROUND(L64,1)</f>
        <v>332.5</v>
      </c>
      <c r="N64" s="2738" t="s">
        <v>2008</v>
      </c>
      <c r="Z64" s="1908"/>
      <c r="AI64" s="1909"/>
    </row>
    <row r="65" spans="1:35" ht="14.25" customHeight="1">
      <c r="A65" s="174" t="s">
        <v>771</v>
      </c>
      <c r="B65" s="175" t="s">
        <v>2009</v>
      </c>
      <c r="C65" s="2760"/>
      <c r="D65" s="175"/>
      <c r="E65" s="177"/>
      <c r="F65" s="1964"/>
      <c r="G65" s="1964"/>
      <c r="H65" s="1966"/>
      <c r="I65" s="134"/>
      <c r="J65" s="3316"/>
      <c r="K65" s="1472" t="s">
        <v>2010</v>
      </c>
      <c r="L65" s="1472">
        <f ca="1">IF(M49&gt;1000,M49*0.1%,IF(AND(M49&gt;500,M49&lt;=1000),M49*0.5%,IF(AND(M49&gt;50,M49&lt;=500),M49*1%,IF(AND(M49&gt;1,M49&lt;=50),M49*1.5%))))</f>
        <v>66.491</v>
      </c>
      <c r="M65" s="308">
        <f t="shared" ca="1" si="1"/>
        <v>66.5</v>
      </c>
      <c r="N65" s="2738" t="s">
        <v>2008</v>
      </c>
      <c r="Z65" s="1908"/>
      <c r="AI65" s="1909"/>
    </row>
    <row r="66" spans="1:35" ht="14.25" customHeight="1">
      <c r="A66" s="178" t="s">
        <v>772</v>
      </c>
      <c r="B66" s="179" t="s">
        <v>2011</v>
      </c>
      <c r="C66" s="2761"/>
      <c r="D66" s="179" t="s">
        <v>32</v>
      </c>
      <c r="E66" s="1479" t="s">
        <v>1277</v>
      </c>
      <c r="F66" s="1964"/>
      <c r="G66" s="1964"/>
      <c r="H66" s="1966"/>
      <c r="I66" s="134"/>
      <c r="J66" s="3316"/>
      <c r="K66" s="1472" t="s">
        <v>2012</v>
      </c>
      <c r="L66" s="1472">
        <f ca="1">M49*0.5%</f>
        <v>332.45499999999998</v>
      </c>
      <c r="M66" s="308">
        <f ca="1">IF(L66&gt;0.5,0.5,ROUND(L66,0))</f>
        <v>0.5</v>
      </c>
      <c r="N66" s="2738" t="s">
        <v>2013</v>
      </c>
      <c r="Z66" s="1908"/>
      <c r="AI66" s="1909"/>
    </row>
    <row r="67" spans="1:35" ht="14.25" customHeight="1">
      <c r="A67" s="178" t="s">
        <v>773</v>
      </c>
      <c r="B67" s="179" t="s">
        <v>2014</v>
      </c>
      <c r="C67" s="2762">
        <f ca="1">C63-C66</f>
        <v>63325</v>
      </c>
      <c r="D67" s="175" t="s">
        <v>32</v>
      </c>
      <c r="E67" s="177"/>
      <c r="F67" s="1964"/>
      <c r="G67" s="1964"/>
      <c r="H67" s="1966"/>
      <c r="I67" s="134"/>
      <c r="J67" s="3316"/>
      <c r="K67" s="1472" t="s">
        <v>2015</v>
      </c>
      <c r="L67" s="1472">
        <f ca="1">IF(M49&gt;=10000,(8.25+(M49-10000)*0.01%),IF(AND(M49&gt;=8000,M49&lt;10000),(7.85+(M49-8000)*0.02%),IF(AND(M49&gt;=5000,M49&lt;8000),(6.65+(M49-5000)*0.04%),IF(AND(M49&gt;=2000,M49&lt;5000),(4.25+(PM49-2000)*0.08%),IF(AND(M49&gt;=1000,M49&lt;2000),(2.75+(M49-1000)*0.15%),IF(AND(M49&gt;=100,M49&lt;1000),(0.5+(M49-100)*0.25%),IF(AND(M49&gt;0,M49&lt;100),M49*0.5%)))))))</f>
        <v>13.899100000000001</v>
      </c>
      <c r="M67" s="308">
        <f ca="1">ROUND(L67*0.9,1)</f>
        <v>12.5</v>
      </c>
      <c r="N67" s="2737"/>
      <c r="Z67" s="1908"/>
      <c r="AI67" s="1909"/>
    </row>
    <row r="68" spans="1:35" ht="14.25" customHeight="1" thickBot="1">
      <c r="A68" s="181" t="s">
        <v>774</v>
      </c>
      <c r="B68" s="182" t="s">
        <v>2016</v>
      </c>
      <c r="C68" s="2763">
        <f ca="1">IF(C67&lt;=0,0,ROUND(C67*D68,0))</f>
        <v>3546</v>
      </c>
      <c r="D68" s="2764">
        <f>'数据-取费表'!B41</f>
        <v>5.6000000000000001E-2</v>
      </c>
      <c r="E68" s="184"/>
      <c r="F68" s="1964"/>
      <c r="G68" s="1964"/>
      <c r="H68" s="1966"/>
      <c r="I68" s="134"/>
      <c r="J68" s="3316"/>
      <c r="K68" s="1472" t="s">
        <v>2017</v>
      </c>
      <c r="L68" s="1472">
        <f ca="1">IF(M49&gt;10000,M49*0.5%,IF(AND(M49&gt;5000,M49&lt;=10000),M49*1%,IF(AND(M49&gt;1000,M49&lt;=5000),M49*2%,IF(AND(M49&gt;200,M49&lt;=1000),M49*3%,M49*5%))))</f>
        <v>332.45499999999998</v>
      </c>
      <c r="M68" s="308">
        <f ca="1">ROUND(L68,1)</f>
        <v>332.5</v>
      </c>
      <c r="N68" s="2737"/>
      <c r="Z68" s="1908"/>
      <c r="AI68" s="1909"/>
    </row>
    <row r="69" spans="1:35" s="1928" customFormat="1" ht="16.5" customHeight="1">
      <c r="A69" s="1967"/>
      <c r="B69" s="1968"/>
      <c r="C69" s="1969"/>
      <c r="D69" s="1970"/>
      <c r="E69" s="1971"/>
      <c r="F69" s="1733"/>
      <c r="G69" s="1733"/>
      <c r="H69" s="1732"/>
      <c r="I69" s="1903"/>
      <c r="J69" s="3316"/>
      <c r="K69" s="1472" t="s">
        <v>2018</v>
      </c>
      <c r="L69" s="1472"/>
      <c r="M69" s="308">
        <f ca="1">ROUND(SUM(M63:M68),0)</f>
        <v>1077</v>
      </c>
      <c r="N69" s="2739">
        <f ca="1">M69/M49</f>
        <v>1.619768088914289E-2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60" t="s">
        <v>2019</v>
      </c>
      <c r="B70" s="3361"/>
      <c r="C70" s="3361"/>
      <c r="D70" s="3361"/>
      <c r="E70" s="3361"/>
      <c r="F70" s="3361"/>
      <c r="G70" s="3361"/>
      <c r="H70" s="3361"/>
      <c r="I70" s="1972"/>
      <c r="J70" s="2888"/>
      <c r="K70" s="2888"/>
      <c r="L70" s="2888"/>
      <c r="M70" s="2888"/>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52" t="s">
        <v>2000</v>
      </c>
      <c r="B71" s="3353"/>
      <c r="C71" s="2179"/>
      <c r="D71" s="2179" t="s">
        <v>2001</v>
      </c>
      <c r="E71" s="185" t="s">
        <v>2002</v>
      </c>
      <c r="F71" s="186"/>
      <c r="G71" s="186"/>
      <c r="H71" s="187"/>
      <c r="I71" s="1976"/>
      <c r="J71" s="2888"/>
      <c r="K71" s="2888"/>
      <c r="L71" s="2888"/>
      <c r="M71" s="2888"/>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2020</v>
      </c>
      <c r="C72" s="2762">
        <f ca="1">ROUND(D45/(1+'数据-取费表'!C42),0)</f>
        <v>63325</v>
      </c>
      <c r="D72" s="175" t="s">
        <v>32</v>
      </c>
      <c r="E72" s="2524"/>
      <c r="F72" s="2523"/>
      <c r="G72" s="2523"/>
      <c r="H72" s="188"/>
      <c r="I72" s="1976"/>
      <c r="J72" s="2888"/>
      <c r="K72" s="2888"/>
      <c r="L72" s="2888"/>
      <c r="M72" s="2888"/>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2021</v>
      </c>
      <c r="C73" s="2762">
        <f ca="1">C74+C78</f>
        <v>380</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2022</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2023</v>
      </c>
      <c r="C75" s="2765"/>
      <c r="D75" s="175" t="s">
        <v>32</v>
      </c>
      <c r="E75" s="190" t="s">
        <v>2024</v>
      </c>
      <c r="F75" s="2766"/>
      <c r="G75" s="190" t="s">
        <v>2025</v>
      </c>
      <c r="H75" s="2767"/>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2026</v>
      </c>
      <c r="C76" s="175">
        <f>IF(F75="购房发票",ROUND(C75*H75*D76,0),0)</f>
        <v>0</v>
      </c>
      <c r="D76" s="2768">
        <v>0.05</v>
      </c>
      <c r="E76" s="3357" t="s">
        <v>2027</v>
      </c>
      <c r="F76" s="3356"/>
      <c r="G76" s="3356"/>
      <c r="H76" s="3359"/>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2028</v>
      </c>
      <c r="C77" s="175">
        <f>ROUND(IF(G77="个人住宅",0,IF(G77="2016年5月1日前购买",C75*D77,C75*D77/(1+'数据-取费表'!C42))),0)</f>
        <v>0</v>
      </c>
      <c r="D77" s="2769">
        <f>'数据-取费表'!B48+'数据-取费表'!B49</f>
        <v>3.0499999999999999E-2</v>
      </c>
      <c r="E77" s="2517" t="s">
        <v>2029</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2030</v>
      </c>
      <c r="C78" s="2770">
        <f ca="1">ROUND(D45*D78/(1+'数据-取费表'!C42),0)</f>
        <v>380</v>
      </c>
      <c r="D78" s="2771">
        <f>'数据-取费表'!B43</f>
        <v>6.000000000000001E-3</v>
      </c>
      <c r="E78" s="3349" t="s">
        <v>2031</v>
      </c>
      <c r="F78" s="3350"/>
      <c r="G78" s="3350"/>
      <c r="H78" s="3351"/>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2032</v>
      </c>
      <c r="C79" s="2762">
        <f ca="1">C72-C73</f>
        <v>62945</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2033</v>
      </c>
      <c r="C80" s="2772">
        <f ca="1">IF(C79&lt;=0,0,C79/C73)</f>
        <v>165.64473684210526</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2034</v>
      </c>
      <c r="C81" s="2773">
        <f ca="1">ROUND(IF(C79&lt;=0,0,IF(C80&gt;=200%,C79*60%-C73*35%,IF(C80&gt;=100%,C79*50%-C73*15%,IF(C80&gt;=50%,C79*40%-C73*5%,IF(C80&lt;50%,C79*30%,0))))),0)</f>
        <v>37634</v>
      </c>
      <c r="D81" s="2774"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60" t="s">
        <v>2035</v>
      </c>
      <c r="B83" s="3361"/>
      <c r="C83" s="3361"/>
      <c r="D83" s="3361"/>
      <c r="E83" s="3361"/>
      <c r="F83" s="3361"/>
      <c r="G83" s="3361"/>
      <c r="H83" s="3361"/>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52" t="s">
        <v>2000</v>
      </c>
      <c r="B84" s="3353"/>
      <c r="C84" s="2179"/>
      <c r="D84" s="2179" t="s">
        <v>2001</v>
      </c>
      <c r="E84" s="185" t="s">
        <v>2002</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2020</v>
      </c>
      <c r="C85" s="2762">
        <f ca="1">ROUND(D45/(1+'数据-取费表'!C42),0)</f>
        <v>63325</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2021</v>
      </c>
      <c r="C86" s="2762">
        <f ca="1">IF(H88="仅含出让金",C87+C90+C91+C92+C93+C94,C87+C91+C92+C93+C94)</f>
        <v>380</v>
      </c>
      <c r="D86" s="2775"/>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2036</v>
      </c>
      <c r="C87" s="2770">
        <f>C88+C89</f>
        <v>0</v>
      </c>
      <c r="D87" s="2771"/>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2037</v>
      </c>
      <c r="C88" s="2776"/>
      <c r="D88" s="2771"/>
      <c r="E88" s="199" t="s">
        <v>2038</v>
      </c>
      <c r="F88" s="2520"/>
      <c r="G88" s="200" t="s">
        <v>2039</v>
      </c>
      <c r="H88" s="1980"/>
      <c r="I88" s="1977"/>
      <c r="J88" s="2715" t="s">
        <v>2974</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2028</v>
      </c>
      <c r="C89" s="2770">
        <f>ROUND(C88*D89,0)</f>
        <v>0</v>
      </c>
      <c r="D89" s="2771">
        <f>'数据-取费表'!B48+'数据-取费表'!B49</f>
        <v>3.0499999999999999E-2</v>
      </c>
      <c r="E89" s="199" t="s">
        <v>2040</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2041</v>
      </c>
      <c r="C90" s="2776"/>
      <c r="D90" s="2771"/>
      <c r="E90" s="199" t="str">
        <f>IF(H88="-","土地取得成本中已包含该笔费用"," ")</f>
        <v xml:space="preserve"> </v>
      </c>
      <c r="F90" s="2520"/>
      <c r="G90" s="3318" t="s">
        <v>2811</v>
      </c>
      <c r="H90" s="3319"/>
      <c r="I90" s="1977"/>
      <c r="J90" s="2715" t="s">
        <v>2975</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2042</v>
      </c>
      <c r="B91" s="175" t="s">
        <v>2043</v>
      </c>
      <c r="C91" s="2770">
        <f>IF(H91="——",成本法!C33,I91)</f>
        <v>0</v>
      </c>
      <c r="D91" s="2771"/>
      <c r="E91" s="3349" t="s">
        <v>2044</v>
      </c>
      <c r="F91" s="3350"/>
      <c r="G91" s="3350"/>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2045</v>
      </c>
      <c r="B92" s="175" t="s">
        <v>2046</v>
      </c>
      <c r="C92" s="2770">
        <f>ROUND((C87+C90+C91)*D92,0)</f>
        <v>0</v>
      </c>
      <c r="D92" s="2777"/>
      <c r="E92" s="3349" t="s">
        <v>2047</v>
      </c>
      <c r="F92" s="3350"/>
      <c r="G92" s="3350"/>
      <c r="H92" s="3351"/>
      <c r="I92" s="1977"/>
      <c r="J92" s="2716" t="s">
        <v>2976</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2048</v>
      </c>
      <c r="B93" s="175" t="s">
        <v>2030</v>
      </c>
      <c r="C93" s="2770">
        <f ca="1">ROUND(D45*D93/(1+'数据-取费表'!C42),0)</f>
        <v>380</v>
      </c>
      <c r="D93" s="2771">
        <f>'数据-取费表'!B43</f>
        <v>6.000000000000001E-3</v>
      </c>
      <c r="E93" s="3349" t="s">
        <v>2031</v>
      </c>
      <c r="F93" s="3350"/>
      <c r="G93" s="3350"/>
      <c r="H93" s="3351"/>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2049</v>
      </c>
      <c r="B94" s="175" t="s">
        <v>2050</v>
      </c>
      <c r="C94" s="2776">
        <f>ROUND((C87+C90+C91)*D94,0)</f>
        <v>0</v>
      </c>
      <c r="D94" s="2771">
        <v>0.2</v>
      </c>
      <c r="E94" s="3397" t="s">
        <v>2051</v>
      </c>
      <c r="F94" s="3398"/>
      <c r="G94" s="3398"/>
      <c r="H94" s="3399"/>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2032</v>
      </c>
      <c r="C95" s="2762">
        <f ca="1">ROUND(C85-C86,0)</f>
        <v>62945</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2033</v>
      </c>
      <c r="C96" s="2772">
        <f ca="1">IF(C95&lt;=0,0,C95/C86)</f>
        <v>165.64473684210526</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2034</v>
      </c>
      <c r="C97" s="2773">
        <f ca="1">ROUND(IF(C95&lt;=0,0,IF(C96&gt;=200%,C95*60%-C86*35%,IF(C96&gt;=100%,C95*50%-C86*15%,IF(C96&gt;=50%,C95*40%-C86*5%,IF(C96&lt;50%,C95*30%,0))))),0)</f>
        <v>37634</v>
      </c>
      <c r="D97" s="2774"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2052</v>
      </c>
      <c r="B99" s="1903"/>
      <c r="C99" s="1903"/>
      <c r="D99" s="1903"/>
      <c r="E99" s="1733"/>
      <c r="F99" s="1733"/>
      <c r="G99" s="1733"/>
      <c r="H99" s="1732"/>
      <c r="I99" s="134"/>
    </row>
    <row r="100" spans="1:35" ht="18.75" customHeight="1">
      <c r="A100" s="3299" t="s">
        <v>2053</v>
      </c>
      <c r="B100" s="3300"/>
      <c r="C100" s="3300"/>
      <c r="D100" s="3334"/>
      <c r="E100" s="3300" t="s">
        <v>2054</v>
      </c>
      <c r="F100" s="3300"/>
      <c r="G100" s="3300"/>
      <c r="H100" s="3334"/>
      <c r="I100" s="134"/>
    </row>
    <row r="101" spans="1:35" ht="18.75" customHeight="1">
      <c r="A101" s="3342" t="s">
        <v>2055</v>
      </c>
      <c r="B101" s="3343"/>
      <c r="C101" s="2779" t="str">
        <f>C4</f>
        <v>成本法</v>
      </c>
      <c r="D101" s="2780" t="str">
        <f>D4</f>
        <v>收益法</v>
      </c>
      <c r="E101" s="3312" t="s">
        <v>2056</v>
      </c>
      <c r="F101" s="3313"/>
      <c r="G101" s="1983" t="s">
        <v>2057</v>
      </c>
      <c r="H101" s="2789">
        <f ca="1">H118</f>
        <v>66491</v>
      </c>
      <c r="I101" s="134"/>
    </row>
    <row r="102" spans="1:35" ht="18.75" customHeight="1">
      <c r="A102" s="3344" t="s">
        <v>2058</v>
      </c>
      <c r="B102" s="2778" t="s">
        <v>2057</v>
      </c>
      <c r="C102" s="2779">
        <f ca="1">C19</f>
        <v>49405</v>
      </c>
      <c r="D102" s="2780">
        <f ca="1">D19</f>
        <v>77882</v>
      </c>
      <c r="E102" s="3312"/>
      <c r="F102" s="3313"/>
      <c r="G102" s="1983" t="s">
        <v>2059</v>
      </c>
      <c r="H102" s="2749">
        <f ca="1">I118</f>
        <v>58630</v>
      </c>
      <c r="I102" s="134"/>
    </row>
    <row r="103" spans="1:35" ht="42.75" customHeight="1">
      <c r="A103" s="3344"/>
      <c r="B103" s="2778" t="s">
        <v>2059</v>
      </c>
      <c r="C103" s="2781">
        <f ca="1">C20</f>
        <v>43564</v>
      </c>
      <c r="D103" s="2782">
        <f ca="1">D20</f>
        <v>68675</v>
      </c>
      <c r="E103" s="3305" t="s">
        <v>2060</v>
      </c>
      <c r="F103" s="3306"/>
      <c r="G103" s="1984" t="s">
        <v>2061</v>
      </c>
      <c r="H103" s="2789">
        <f>IF(D36="正常操作",H104+H105+H106,H105+H106)</f>
        <v>0</v>
      </c>
      <c r="I103" s="134"/>
    </row>
    <row r="104" spans="1:35" ht="18.75" customHeight="1">
      <c r="A104" s="3344" t="s">
        <v>2062</v>
      </c>
      <c r="B104" s="2783" t="s">
        <v>2057</v>
      </c>
      <c r="C104" s="2784">
        <f ca="1">H118</f>
        <v>66491</v>
      </c>
      <c r="D104" s="2785"/>
      <c r="E104" s="1830" t="s">
        <v>2063</v>
      </c>
      <c r="F104" s="1821"/>
      <c r="G104" s="1984" t="s">
        <v>2061</v>
      </c>
      <c r="H104" s="2790">
        <f>IF(D36="同一抵押权人同一抵押物续贷",C36&amp;"（续贷，未扣减，详见特别提示）",C36)</f>
        <v>0</v>
      </c>
      <c r="I104" s="134"/>
    </row>
    <row r="105" spans="1:35" ht="18.75" customHeight="1" thickBot="1">
      <c r="A105" s="3354"/>
      <c r="B105" s="2786" t="s">
        <v>2059</v>
      </c>
      <c r="C105" s="2787">
        <f ca="1">I118</f>
        <v>58630</v>
      </c>
      <c r="D105" s="2788"/>
      <c r="E105" s="1830" t="s">
        <v>2064</v>
      </c>
      <c r="F105" s="1821"/>
      <c r="G105" s="1984" t="s">
        <v>2061</v>
      </c>
      <c r="H105" s="2791">
        <f>C37</f>
        <v>0</v>
      </c>
      <c r="I105" s="134"/>
    </row>
    <row r="106" spans="1:35" ht="18.75" customHeight="1">
      <c r="A106" s="1903" t="s">
        <v>2065</v>
      </c>
      <c r="B106" s="1903"/>
      <c r="C106" s="1903"/>
      <c r="D106" s="1903"/>
      <c r="E106" s="1985" t="s">
        <v>2066</v>
      </c>
      <c r="F106" s="1821"/>
      <c r="G106" s="1984" t="s">
        <v>2061</v>
      </c>
      <c r="H106" s="2791">
        <f>C38</f>
        <v>0</v>
      </c>
      <c r="I106" s="134"/>
    </row>
    <row r="107" spans="1:35" ht="18.75" customHeight="1">
      <c r="A107" s="134"/>
      <c r="B107" s="134"/>
      <c r="C107" s="134"/>
      <c r="D107" s="134"/>
      <c r="E107" s="3345" t="str">
        <f>IF(项目基本情况!E8="已注销","——","3.房地产抵押价值")</f>
        <v>——</v>
      </c>
      <c r="F107" s="3313"/>
      <c r="G107" s="1983" t="s">
        <v>2057</v>
      </c>
      <c r="H107" s="2789" t="str">
        <f>IF(E107="——","——",H101-H103)</f>
        <v>——</v>
      </c>
      <c r="I107" s="134"/>
    </row>
    <row r="108" spans="1:35" ht="18.75" customHeight="1">
      <c r="A108" s="134"/>
      <c r="B108" s="134"/>
      <c r="C108" s="134"/>
      <c r="D108" s="134"/>
      <c r="E108" s="3345"/>
      <c r="F108" s="3313"/>
      <c r="G108" s="1983" t="s">
        <v>2059</v>
      </c>
      <c r="H108" s="2749" t="e">
        <f>ROUND(H107*10000/'数据-汇总表'!E3,0)</f>
        <v>#VALUE!</v>
      </c>
      <c r="I108" s="134"/>
    </row>
    <row r="109" spans="1:35" ht="18.75" customHeight="1">
      <c r="A109" s="134"/>
      <c r="B109" s="134"/>
      <c r="C109" s="134"/>
      <c r="D109" s="134"/>
      <c r="E109" s="3345" t="str">
        <f>IF(项目基本情况!E8="已注销及未注销","4.抵押担保权已注销时的房地产抵押价值",IF(项目基本情况!E8="已注销","3.抵押担保权已注销时的房地产抵押价值","——"))</f>
        <v>3.抵押担保权已注销时的房地产抵押价值</v>
      </c>
      <c r="F109" s="3313"/>
      <c r="G109" s="1983" t="s">
        <v>2057</v>
      </c>
      <c r="H109" s="2792">
        <f ca="1">IF(E109="——","——",H101-H105-H106)</f>
        <v>66491</v>
      </c>
      <c r="I109" s="134"/>
    </row>
    <row r="110" spans="1:35" ht="18.75" customHeight="1">
      <c r="A110" s="134"/>
      <c r="B110" s="134"/>
      <c r="C110" s="134"/>
      <c r="D110" s="134"/>
      <c r="E110" s="3345"/>
      <c r="F110" s="3313"/>
      <c r="G110" s="1983" t="s">
        <v>2059</v>
      </c>
      <c r="H110" s="2749">
        <f ca="1">IF(H109="——","——",ROUND(H109*10000/'数据-汇总表'!E3,0))</f>
        <v>58630</v>
      </c>
      <c r="I110" s="134"/>
    </row>
    <row r="111" spans="1:35" ht="18.75" customHeight="1">
      <c r="A111" s="134"/>
      <c r="B111" s="134"/>
      <c r="C111" s="134"/>
      <c r="D111" s="134"/>
      <c r="E111" s="3346" t="str">
        <f>IF(项目基本情况!E9="抵押净值",IF(OR(项目基本情况!E8="已注销",项目基本情况!E8="房地产抵押价值"),"4.抵押净值","5.抵押净值"),"——")</f>
        <v>——</v>
      </c>
      <c r="F111" s="3332"/>
      <c r="G111" s="1983" t="s">
        <v>2057</v>
      </c>
      <c r="H111" s="2789" t="str">
        <f>IF(E111="——","——",N59)</f>
        <v>——</v>
      </c>
      <c r="I111" s="134"/>
    </row>
    <row r="112" spans="1:35" ht="18.75" customHeight="1" thickBot="1">
      <c r="A112" s="134"/>
      <c r="B112" s="134"/>
      <c r="C112" s="134"/>
      <c r="D112" s="134"/>
      <c r="E112" s="3347"/>
      <c r="F112" s="3348"/>
      <c r="G112" s="1986" t="s">
        <v>2059</v>
      </c>
      <c r="H112" s="2793" t="str">
        <f>IF(E111="——","——",N61)</f>
        <v>——</v>
      </c>
      <c r="I112" s="134"/>
    </row>
    <row r="113" spans="1:27" ht="18.75" customHeight="1">
      <c r="A113" s="134"/>
      <c r="B113" s="134"/>
      <c r="C113" s="134"/>
      <c r="D113" s="134"/>
      <c r="E113" s="3355" t="s">
        <v>2065</v>
      </c>
      <c r="F113" s="3355"/>
      <c r="G113" s="3355"/>
      <c r="H113" s="3355"/>
      <c r="I113" s="134"/>
    </row>
    <row r="114" spans="1:27" ht="3.75" customHeight="1">
      <c r="A114" s="1903"/>
      <c r="B114" s="1903"/>
      <c r="C114" s="1903"/>
      <c r="D114" s="1903"/>
      <c r="E114" s="1965"/>
      <c r="F114" s="1965"/>
      <c r="G114" s="1965"/>
      <c r="H114" s="1965"/>
      <c r="I114" s="1903"/>
    </row>
    <row r="115" spans="1:27" ht="18.75" customHeight="1">
      <c r="A115" s="3366" t="s">
        <v>2067</v>
      </c>
      <c r="B115" s="3367"/>
      <c r="C115" s="3367"/>
      <c r="D115" s="3367"/>
      <c r="E115" s="3367"/>
      <c r="F115" s="3367"/>
      <c r="G115" s="3367"/>
      <c r="H115" s="3367"/>
      <c r="I115" s="3368"/>
    </row>
    <row r="116" spans="1:27" ht="27" customHeight="1">
      <c r="A116" s="3320" t="s">
        <v>2068</v>
      </c>
      <c r="B116" s="3324" t="s">
        <v>2069</v>
      </c>
      <c r="C116" s="3324" t="s">
        <v>2070</v>
      </c>
      <c r="D116" s="3330" t="s">
        <v>2071</v>
      </c>
      <c r="E116" s="3331"/>
      <c r="F116" s="3362" t="s">
        <v>2072</v>
      </c>
      <c r="G116" s="3362"/>
      <c r="H116" s="3320" t="s">
        <v>2073</v>
      </c>
      <c r="I116" s="3320"/>
    </row>
    <row r="117" spans="1:27" ht="18.75" customHeight="1">
      <c r="A117" s="3320"/>
      <c r="B117" s="3325"/>
      <c r="C117" s="3325"/>
      <c r="D117" s="2522" t="s">
        <v>2074</v>
      </c>
      <c r="E117" s="2522" t="s">
        <v>2075</v>
      </c>
      <c r="F117" s="2522" t="s">
        <v>2074</v>
      </c>
      <c r="G117" s="2522" t="s">
        <v>2076</v>
      </c>
      <c r="H117" s="2522" t="s">
        <v>2074</v>
      </c>
      <c r="I117" s="2522" t="s">
        <v>2076</v>
      </c>
    </row>
    <row r="118" spans="1:27" ht="24.75" customHeight="1">
      <c r="A118" s="2794" t="str">
        <f>项目基本情况!S2</f>
        <v>北京市东城区东直门外大街42号房地产</v>
      </c>
      <c r="B118" s="2522">
        <f>M18</f>
        <v>11340.73</v>
      </c>
      <c r="C118" s="2522">
        <f>M19</f>
        <v>1741.52</v>
      </c>
      <c r="D118" s="2522">
        <f ca="1">ROUND(IF(D32="总价",C34,E118*B118/10000),0)</f>
        <v>58911</v>
      </c>
      <c r="E118" s="2522">
        <f ca="1">ROUND(IF(C33="自定义",IF(D32="楼面单价",C34,D118*10000/B118),I118-G118),0)</f>
        <v>51946</v>
      </c>
      <c r="F118" s="2522">
        <f ca="1">ROUND(IF(D32="总价",C35,G118*B118/10000),0)</f>
        <v>7580</v>
      </c>
      <c r="G118" s="2522">
        <f ca="1">ROUND(IF(D32="楼面单价",C35,F118*10000/B118),0)</f>
        <v>6684</v>
      </c>
      <c r="H118" s="2522">
        <f ca="1">ROUND(IF(D32="总价",C32,I118*B118/10000),0)</f>
        <v>66491</v>
      </c>
      <c r="I118" s="2522">
        <f ca="1">ROUND(IF(D32="楼面单价",C32,H118*10000/B118),0)</f>
        <v>58630</v>
      </c>
    </row>
    <row r="119" spans="1:27" ht="18.75" customHeight="1">
      <c r="A119" s="3320" t="s">
        <v>2077</v>
      </c>
      <c r="B119" s="3320"/>
      <c r="C119" s="3320"/>
      <c r="D119" s="3326" t="str">
        <f ca="1">NUMBERSTRING(INT(D118*10000),2)&amp;"元整"</f>
        <v>伍亿捌仟玖佰壹拾壹万元整</v>
      </c>
      <c r="E119" s="3327"/>
      <c r="F119" s="3326" t="str">
        <f ca="1">NUMBERSTRING(INT(F118*10000),2)&amp;"元整"</f>
        <v>柒仟伍佰捌拾万元整</v>
      </c>
      <c r="G119" s="3327"/>
      <c r="H119" s="3326" t="str">
        <f ca="1">NUMBERSTRING(INT(H118*10000),2)&amp;"元整"</f>
        <v>陆亿陆仟肆佰玖拾壹万元整</v>
      </c>
      <c r="I119" s="3327"/>
    </row>
    <row r="120" spans="1:27" ht="18.75" customHeight="1">
      <c r="A120" s="3321" t="str">
        <f>IF(项目基本情况!B9="房地产市场价值","",MID(E103,3,LEN(E103)-2))</f>
        <v>估价师知悉的法定优先受偿款</v>
      </c>
      <c r="B120" s="3322"/>
      <c r="C120" s="3323"/>
      <c r="D120" s="3321">
        <f>H103</f>
        <v>0</v>
      </c>
      <c r="E120" s="3322"/>
      <c r="F120" s="3322"/>
      <c r="G120" s="3322"/>
      <c r="H120" s="3322"/>
      <c r="I120" s="3323"/>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3" t="s">
        <v>2077</v>
      </c>
      <c r="B121" s="3364"/>
      <c r="C121" s="3365"/>
      <c r="D121" s="3326" t="str">
        <f>IF(D120=0,"零元整",NUMBERSTRING(INT(D120*10000),2)&amp;"元整")</f>
        <v>零元整</v>
      </c>
      <c r="E121" s="3328"/>
      <c r="F121" s="3328"/>
      <c r="G121" s="3328"/>
      <c r="H121" s="3328"/>
      <c r="I121" s="3327"/>
      <c r="AA121" s="734"/>
    </row>
    <row r="122" spans="1:27" ht="18.75" customHeight="1">
      <c r="A122" s="3332" t="str">
        <f>IF(项目基本情况!B9="房地产市场价值","",MID(E107,3,LEN(E107)-2))</f>
        <v/>
      </c>
      <c r="B122" s="3332"/>
      <c r="C122" s="3332"/>
      <c r="D122" s="3321" t="str">
        <f>H107</f>
        <v>——</v>
      </c>
      <c r="E122" s="3322"/>
      <c r="F122" s="3322"/>
      <c r="G122" s="3322"/>
      <c r="H122" s="3322"/>
      <c r="I122" s="3323"/>
      <c r="AA122" s="734"/>
    </row>
    <row r="123" spans="1:27" ht="18.75" customHeight="1">
      <c r="A123" s="3320" t="s">
        <v>2077</v>
      </c>
      <c r="B123" s="3320"/>
      <c r="C123" s="3320"/>
      <c r="D123" s="3326" t="e">
        <f>NUMBERSTRING(INT(D122*10000),2)&amp;"元整"</f>
        <v>#VALUE!</v>
      </c>
      <c r="E123" s="3328"/>
      <c r="F123" s="3328"/>
      <c r="G123" s="3328"/>
      <c r="H123" s="3328"/>
      <c r="I123" s="3327"/>
      <c r="AA123" s="734"/>
    </row>
    <row r="124" spans="1:27" ht="18.75" customHeight="1">
      <c r="A124" s="3332" t="str">
        <f>IF(项目基本情况!B9="房地产市场价值","",MID(E109,3,LEN(E109)-2))</f>
        <v>抵押担保权已注销时的房地产抵押价值</v>
      </c>
      <c r="B124" s="3332"/>
      <c r="C124" s="3332"/>
      <c r="D124" s="3321">
        <f ca="1">H109</f>
        <v>66491</v>
      </c>
      <c r="E124" s="3322"/>
      <c r="F124" s="3322"/>
      <c r="G124" s="3322"/>
      <c r="H124" s="3322"/>
      <c r="I124" s="3323"/>
      <c r="AA124" s="734"/>
    </row>
    <row r="125" spans="1:27" ht="18.75" customHeight="1">
      <c r="A125" s="3320" t="s">
        <v>2077</v>
      </c>
      <c r="B125" s="3320"/>
      <c r="C125" s="3320"/>
      <c r="D125" s="3326" t="str">
        <f ca="1">NUMBERSTRING(INT(D124*10000),2)&amp;"元整"</f>
        <v>陆亿陆仟肆佰玖拾壹万元整</v>
      </c>
      <c r="E125" s="3328"/>
      <c r="F125" s="3328"/>
      <c r="G125" s="3328"/>
      <c r="H125" s="3328"/>
      <c r="I125" s="3327"/>
      <c r="AA125" s="734"/>
    </row>
    <row r="126" spans="1:27" ht="18.75" customHeight="1">
      <c r="A126" s="3332" t="str">
        <f>IF(项目基本情况!B9="房地产市场价值","",MID(E111,3,LEN(E111)-2))</f>
        <v/>
      </c>
      <c r="B126" s="3332"/>
      <c r="C126" s="3332"/>
      <c r="D126" s="3321" t="str">
        <f>H111</f>
        <v>——</v>
      </c>
      <c r="E126" s="3322"/>
      <c r="F126" s="3322"/>
      <c r="G126" s="3322"/>
      <c r="H126" s="3322"/>
      <c r="I126" s="3323"/>
      <c r="AA126" s="734"/>
    </row>
    <row r="127" spans="1:27" ht="18.75" customHeight="1">
      <c r="A127" s="3320" t="s">
        <v>2077</v>
      </c>
      <c r="B127" s="3320"/>
      <c r="C127" s="3320"/>
      <c r="D127" s="3326" t="e">
        <f>NUMBERSTRING(INT(D126*10000),2)&amp;"元整"</f>
        <v>#VALUE!</v>
      </c>
      <c r="E127" s="3328"/>
      <c r="F127" s="3328"/>
      <c r="G127" s="3328"/>
      <c r="H127" s="3328"/>
      <c r="I127" s="3327"/>
      <c r="AA127" s="734"/>
    </row>
    <row r="128" spans="1:27" ht="21.75" customHeight="1">
      <c r="A128" s="3329" t="s">
        <v>2078</v>
      </c>
      <c r="B128" s="3329"/>
      <c r="C128" s="3329"/>
      <c r="D128" s="3329"/>
      <c r="E128" s="3329"/>
      <c r="F128" s="3329"/>
      <c r="G128" s="3329"/>
      <c r="H128" s="3329"/>
      <c r="I128" s="3329"/>
      <c r="AA128" s="734"/>
    </row>
    <row r="129" spans="1:35" ht="21.75" customHeight="1">
      <c r="A129" s="1987" t="s">
        <v>2079</v>
      </c>
      <c r="B129" s="1988"/>
      <c r="C129" s="1989" t="s">
        <v>2080</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2081</v>
      </c>
      <c r="G135" s="2004"/>
      <c r="H135" s="2004"/>
      <c r="I135" s="2005" t="s">
        <v>2082</v>
      </c>
    </row>
    <row r="136" spans="1:35" ht="21.75" customHeight="1">
      <c r="A136" s="734"/>
      <c r="B136" s="2006" t="s">
        <v>2083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2084</v>
      </c>
    </row>
    <row r="139" spans="1:35" ht="21.75" customHeight="1">
      <c r="A139" s="734"/>
      <c r="B139" s="2006" t="s">
        <v>2085</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2084</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3" t="str">
        <f>项目基本情况!B1</f>
        <v>北京市东城区东直门外大街42号房地产抵押价值预评估</v>
      </c>
      <c r="C37" s="3213"/>
      <c r="D37" s="3213"/>
      <c r="E37" s="3213"/>
      <c r="F37" s="3213"/>
      <c r="G37" s="3213"/>
      <c r="H37" s="3213"/>
      <c r="I37" s="3213"/>
    </row>
    <row r="38" spans="1:9">
      <c r="A38" s="953"/>
      <c r="B38" s="953"/>
    </row>
    <row r="39" spans="1:9">
      <c r="A39" s="951" t="s">
        <v>818</v>
      </c>
      <c r="B39" s="951" t="s">
        <v>820</v>
      </c>
    </row>
    <row r="40" spans="1:9">
      <c r="A40" s="951"/>
      <c r="B40" s="1629" t="str">
        <f>项目基本情况!B5</f>
        <v>中冶地（北京）房地产开发有限公司</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 ca="1">项目基本情况!K4</f>
        <v>郑燚（注册号：1120070131)、吴薇（注册号：1419970001)</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57"/>
  <sheetViews>
    <sheetView view="pageBreakPreview" zoomScaleNormal="70" zoomScaleSheetLayoutView="100" workbookViewId="0">
      <selection activeCell="F20" sqref="F2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2086</v>
      </c>
      <c r="B1" s="1624" t="s">
        <v>1283</v>
      </c>
      <c r="C1" s="204"/>
      <c r="D1" s="204"/>
      <c r="E1" s="204"/>
      <c r="F1" s="204"/>
      <c r="G1" s="1260">
        <f>MATCH(B1,'数据-取费表'!A6:A16,0)+5</f>
        <v>6</v>
      </c>
    </row>
    <row r="2" spans="1:9" s="206" customFormat="1" ht="18" customHeight="1">
      <c r="A2" s="207" t="s">
        <v>2087</v>
      </c>
      <c r="B2" s="208">
        <f ca="1">IF(D2="——",C52,C52-E2)</f>
        <v>49405</v>
      </c>
      <c r="C2" s="205" t="s">
        <v>2088</v>
      </c>
      <c r="D2" s="2009" t="s">
        <v>70</v>
      </c>
      <c r="E2" s="1303" t="e">
        <f ca="1">SUMIF(INDIRECT("'"&amp;G2&amp;"'"&amp;"!A:A"),"承租人权益价值",INDIRECT("'"&amp;G2&amp;"'"&amp;"!c:c"))</f>
        <v>#REF!</v>
      </c>
      <c r="F2" s="2010" t="s">
        <v>2088</v>
      </c>
      <c r="G2" s="2011"/>
    </row>
    <row r="3" spans="1:9" s="206" customFormat="1" ht="18" customHeight="1" thickBot="1">
      <c r="A3" s="209" t="s">
        <v>2089</v>
      </c>
      <c r="B3" s="210">
        <f ca="1">ROUND(B2*10000/(IF(B1="",'数据-汇总表'!E3,INDIRECT("'数据-取费表'!k"&amp;$G$1))),0)</f>
        <v>43564</v>
      </c>
      <c r="C3" s="205" t="s">
        <v>2090</v>
      </c>
      <c r="D3" s="205"/>
      <c r="E3" s="205"/>
      <c r="F3" s="205"/>
      <c r="G3" s="205"/>
    </row>
    <row r="4" spans="1:9" s="214" customFormat="1" ht="15.75">
      <c r="A4" s="211" t="s">
        <v>2091</v>
      </c>
      <c r="B4" s="212"/>
      <c r="C4" s="212"/>
      <c r="D4" s="212"/>
      <c r="E4" s="212"/>
      <c r="F4" s="212"/>
      <c r="G4" s="213"/>
    </row>
    <row r="5" spans="1:9" s="220" customFormat="1" ht="13.5" customHeight="1">
      <c r="A5" s="261" t="s">
        <v>2092</v>
      </c>
      <c r="B5" s="216" t="s">
        <v>2093</v>
      </c>
      <c r="C5" s="217">
        <f ca="1">C6+C7+C8</f>
        <v>30794</v>
      </c>
      <c r="D5" s="217" t="s">
        <v>2094</v>
      </c>
      <c r="E5" s="218" t="s">
        <v>2095</v>
      </c>
      <c r="F5" s="218" t="s">
        <v>2096</v>
      </c>
      <c r="G5" s="219"/>
    </row>
    <row r="6" spans="1:9" s="220" customFormat="1" ht="13.5" customHeight="1">
      <c r="A6" s="886" t="s">
        <v>2097</v>
      </c>
      <c r="B6" s="221" t="s">
        <v>2098</v>
      </c>
      <c r="C6" s="222">
        <v>29662</v>
      </c>
      <c r="D6" s="223"/>
      <c r="E6" s="224"/>
      <c r="F6" s="224"/>
      <c r="G6" s="225"/>
    </row>
    <row r="7" spans="1:9" s="220" customFormat="1" ht="13.5" customHeight="1">
      <c r="A7" s="886" t="s">
        <v>2099</v>
      </c>
      <c r="B7" s="221" t="s">
        <v>2100</v>
      </c>
      <c r="C7" s="226">
        <f>ROUND(C6*F7,0)</f>
        <v>905</v>
      </c>
      <c r="D7" s="226"/>
      <c r="E7" s="224"/>
      <c r="F7" s="227">
        <f>IF(项目基本情况!B8="出让",0,'数据-取费表'!B48+'数据-取费表'!B49)</f>
        <v>3.0499999999999999E-2</v>
      </c>
      <c r="G7" s="225"/>
    </row>
    <row r="8" spans="1:9" s="229" customFormat="1">
      <c r="A8" s="886" t="s">
        <v>2101</v>
      </c>
      <c r="B8" s="221" t="s">
        <v>2102</v>
      </c>
      <c r="C8" s="226">
        <f ca="1">IF(G8="已包含在土地购买价格中","0",IF(B1="",'数据-取费表'!B29,IF(G9="全部缴纳",C9+C10,H9)))</f>
        <v>227</v>
      </c>
      <c r="D8" s="228"/>
      <c r="E8" s="226"/>
      <c r="F8" s="227"/>
      <c r="G8" s="2012" t="s">
        <v>3179</v>
      </c>
    </row>
    <row r="9" spans="1:9" s="220" customFormat="1" ht="13.5" customHeight="1">
      <c r="A9" s="887" t="s">
        <v>800</v>
      </c>
      <c r="B9" s="230" t="s">
        <v>2103</v>
      </c>
      <c r="C9" s="231">
        <f ca="1">ROUND(D9*E9/10000,0)</f>
        <v>0</v>
      </c>
      <c r="D9" s="954">
        <f ca="1">IF(B1="",'数据-汇总表'!E5,IF(INDIRECT("'数据-取费表'!c"&amp;$G$1)="住宅",INDIRECT("'数据-取费表'!k"&amp;$G$1),0))</f>
        <v>0</v>
      </c>
      <c r="E9" s="231">
        <f>'数据-取费表'!B27</f>
        <v>160</v>
      </c>
      <c r="F9" s="227"/>
      <c r="G9" s="2013" t="s">
        <v>3178</v>
      </c>
      <c r="H9" s="1271"/>
      <c r="I9" s="2014" t="s">
        <v>2104</v>
      </c>
    </row>
    <row r="10" spans="1:9" s="220" customFormat="1" ht="13.5" customHeight="1">
      <c r="A10" s="887" t="s">
        <v>801</v>
      </c>
      <c r="B10" s="230" t="s">
        <v>2105</v>
      </c>
      <c r="C10" s="231">
        <f ca="1">ROUND(D10*E10/10000,0)</f>
        <v>227</v>
      </c>
      <c r="D10" s="954">
        <f ca="1">IF(B1="",'数据-汇总表'!E6,IF(INDIRECT("'数据-取费表'!c"&amp;$G$1)="住宅",INDIRECT("'数据-取费表'!s"&amp;$G$1),INDIRECT("'数据-取费表'!k"&amp;$G$1)+INDIRECT("'数据-取费表'!s"&amp;$G$1)))</f>
        <v>11340.73</v>
      </c>
      <c r="E10" s="231">
        <f>'数据-取费表'!B28</f>
        <v>200</v>
      </c>
      <c r="F10" s="227"/>
      <c r="G10" s="232"/>
    </row>
    <row r="11" spans="1:9" s="220" customFormat="1" ht="13.5" hidden="1" customHeight="1">
      <c r="A11" s="233" t="s">
        <v>7</v>
      </c>
      <c r="B11" s="221" t="s">
        <v>2106</v>
      </c>
      <c r="C11" s="217"/>
      <c r="D11" s="956"/>
      <c r="E11" s="224"/>
      <c r="F11" s="224"/>
      <c r="G11" s="225"/>
    </row>
    <row r="12" spans="1:9" s="220" customFormat="1" ht="13.5" hidden="1" customHeight="1">
      <c r="A12" s="233" t="s">
        <v>8</v>
      </c>
      <c r="B12" s="221" t="s">
        <v>2107</v>
      </c>
      <c r="C12" s="217">
        <v>0</v>
      </c>
      <c r="D12" s="956"/>
      <c r="E12" s="234"/>
      <c r="F12" s="227">
        <v>3.0499999999999999E-2</v>
      </c>
      <c r="G12" s="225"/>
    </row>
    <row r="13" spans="1:9" s="220" customFormat="1" ht="13.5" hidden="1" customHeight="1">
      <c r="A13" s="233" t="s">
        <v>9</v>
      </c>
      <c r="B13" s="221" t="s">
        <v>2108</v>
      </c>
      <c r="C13" s="217"/>
      <c r="D13" s="956"/>
      <c r="E13" s="224"/>
      <c r="F13" s="224"/>
      <c r="G13" s="225"/>
    </row>
    <row r="14" spans="1:9" s="220" customFormat="1" ht="13.5" hidden="1" customHeight="1">
      <c r="A14" s="233" t="s">
        <v>10</v>
      </c>
      <c r="B14" s="221" t="s">
        <v>2109</v>
      </c>
      <c r="C14" s="217"/>
      <c r="D14" s="956"/>
      <c r="E14" s="224"/>
      <c r="F14" s="224"/>
      <c r="G14" s="225" t="s">
        <v>2110</v>
      </c>
    </row>
    <row r="15" spans="1:9" s="220" customFormat="1" ht="13.5" hidden="1" customHeight="1">
      <c r="A15" s="233" t="s">
        <v>11</v>
      </c>
      <c r="B15" s="221" t="s">
        <v>2111</v>
      </c>
      <c r="C15" s="226"/>
      <c r="D15" s="956"/>
      <c r="E15" s="224"/>
      <c r="F15" s="224"/>
      <c r="G15" s="225" t="s">
        <v>2112</v>
      </c>
    </row>
    <row r="16" spans="1:9" s="220" customFormat="1" ht="13.5" hidden="1" customHeight="1">
      <c r="A16" s="233" t="s">
        <v>12</v>
      </c>
      <c r="B16" s="221" t="s">
        <v>2109</v>
      </c>
      <c r="C16" s="226"/>
      <c r="D16" s="956"/>
      <c r="E16" s="224"/>
      <c r="F16" s="224"/>
      <c r="G16" s="225"/>
    </row>
    <row r="17" spans="1:7" s="220" customFormat="1" ht="13.5" hidden="1" customHeight="1">
      <c r="A17" s="233" t="s">
        <v>13</v>
      </c>
      <c r="B17" s="221" t="s">
        <v>2113</v>
      </c>
      <c r="C17" s="235"/>
      <c r="D17" s="957"/>
      <c r="E17" s="235"/>
      <c r="F17" s="235"/>
      <c r="G17" s="225" t="s">
        <v>2112</v>
      </c>
    </row>
    <row r="18" spans="1:7" s="220" customFormat="1" ht="13.5" hidden="1" customHeight="1">
      <c r="A18" s="233" t="s">
        <v>14</v>
      </c>
      <c r="B18" s="221" t="s">
        <v>2114</v>
      </c>
      <c r="C18" s="226">
        <v>0</v>
      </c>
      <c r="D18" s="956"/>
      <c r="E18" s="224"/>
      <c r="F18" s="227">
        <v>3.0499999999999999E-2</v>
      </c>
      <c r="G18" s="225" t="s">
        <v>2115</v>
      </c>
    </row>
    <row r="19" spans="1:7" s="229" customFormat="1" ht="13.5" customHeight="1">
      <c r="A19" s="261" t="s">
        <v>2116</v>
      </c>
      <c r="B19" s="216" t="s">
        <v>2117</v>
      </c>
      <c r="C19" s="217" t="str">
        <f>IF(G19="已包含在土地取得成本中","0",ROUND(D19*E19/10000,0))</f>
        <v>0</v>
      </c>
      <c r="D19" s="958">
        <f ca="1">D9+D10</f>
        <v>11340.73</v>
      </c>
      <c r="E19" s="217">
        <f>'数据-取费表'!B31</f>
        <v>200</v>
      </c>
      <c r="F19" s="237"/>
      <c r="G19" s="2012" t="s">
        <v>3180</v>
      </c>
    </row>
    <row r="20" spans="1:7" s="220" customFormat="1" ht="13.5" customHeight="1">
      <c r="A20" s="261" t="s">
        <v>2118</v>
      </c>
      <c r="B20" s="216" t="s">
        <v>2119</v>
      </c>
      <c r="C20" s="238">
        <f ca="1">ROUND((C5+C19)*F20,0)</f>
        <v>616</v>
      </c>
      <c r="D20" s="238"/>
      <c r="E20" s="238"/>
      <c r="F20" s="239">
        <f>'数据-取费表'!B37</f>
        <v>0.02</v>
      </c>
      <c r="G20" s="240" t="s">
        <v>2120</v>
      </c>
    </row>
    <row r="21" spans="1:7" s="220" customFormat="1" ht="13.5" customHeight="1">
      <c r="A21" s="261" t="s">
        <v>2121</v>
      </c>
      <c r="B21" s="216" t="s">
        <v>2122</v>
      </c>
      <c r="C21" s="241">
        <f>F21</f>
        <v>0.02</v>
      </c>
      <c r="D21" s="242" t="s">
        <v>2123</v>
      </c>
      <c r="E21" s="238"/>
      <c r="F21" s="239">
        <f>'数据-取费表'!B38</f>
        <v>0.02</v>
      </c>
      <c r="G21" s="240" t="s">
        <v>2124</v>
      </c>
    </row>
    <row r="22" spans="1:7" s="220" customFormat="1" ht="13.5" customHeight="1">
      <c r="A22" s="261" t="s">
        <v>2125</v>
      </c>
      <c r="B22" s="216" t="s">
        <v>2126</v>
      </c>
      <c r="C22" s="1236">
        <f ca="1">ROUND(SUM(C23:C25),0)</f>
        <v>2667</v>
      </c>
      <c r="D22" s="241">
        <f ca="1">C26</f>
        <v>8.0000000000000004E-4</v>
      </c>
      <c r="E22" s="242" t="s">
        <v>2123</v>
      </c>
      <c r="F22" s="243">
        <f ca="1">'数据-取费表'!B40</f>
        <v>4.2000000000000003E-2</v>
      </c>
      <c r="G22" s="240" t="str">
        <f>IF('数据-取费表'!B22&lt;=1,"单利计息","复利计息")</f>
        <v>复利计息</v>
      </c>
    </row>
    <row r="23" spans="1:7" s="220" customFormat="1" ht="13.5" customHeight="1">
      <c r="A23" s="888" t="s">
        <v>2127</v>
      </c>
      <c r="B23" s="221" t="s">
        <v>2128</v>
      </c>
      <c r="C23" s="1237">
        <f ca="1">ROUND(IF('数据-取费表'!B22&lt;=1,C5*F22*'数据-取费表'!B23,C5*(POWER((1+F22),'数据-取费表'!B23)-1)),0)</f>
        <v>2641</v>
      </c>
      <c r="D23" s="244"/>
      <c r="E23" s="244"/>
      <c r="F23" s="245"/>
      <c r="G23" s="246" t="s">
        <v>2129</v>
      </c>
    </row>
    <row r="24" spans="1:7" s="220" customFormat="1" ht="13.5" customHeight="1">
      <c r="A24" s="888" t="s">
        <v>2130</v>
      </c>
      <c r="B24" s="221" t="s">
        <v>2131</v>
      </c>
      <c r="C24" s="1237">
        <f ca="1">ROUND(IF('数据-取费表'!B22&lt;=1,C19*F22*('数据-取费表'!B19/2+'数据-取费表'!B21),C19*(POWER((1+F22),('数据-取费表'!B19/2+'数据-取费表'!B21))-1)),0)</f>
        <v>0</v>
      </c>
      <c r="D24" s="244"/>
      <c r="E24" s="244"/>
      <c r="F24" s="245"/>
      <c r="G24" s="246" t="s">
        <v>2132</v>
      </c>
    </row>
    <row r="25" spans="1:7" s="220" customFormat="1" ht="24">
      <c r="A25" s="888" t="s">
        <v>2133</v>
      </c>
      <c r="B25" s="221" t="s">
        <v>2134</v>
      </c>
      <c r="C25" s="1237">
        <f ca="1">ROUND(IF('数据-取费表'!B22&lt;=1,C20*F22*'数据-取费表'!B23/2,C20*(POWER((1+F22),'数据-取费表'!B23/2)-1)),0)</f>
        <v>26</v>
      </c>
      <c r="D25" s="244"/>
      <c r="E25" s="247"/>
      <c r="F25" s="245"/>
      <c r="G25" s="248" t="s">
        <v>2135</v>
      </c>
    </row>
    <row r="26" spans="1:7" s="220" customFormat="1">
      <c r="A26" s="888" t="s">
        <v>795</v>
      </c>
      <c r="B26" s="221" t="s">
        <v>2136</v>
      </c>
      <c r="C26" s="244">
        <f ca="1">ROUND(IF('数据-取费表'!B22&lt;=1,F21*F22*'数据-取费表'!B23/2,F21*(POWER((1+F22),'数据-取费表'!B23/2)-1)),4)</f>
        <v>8.0000000000000004E-4</v>
      </c>
      <c r="D26" s="244"/>
      <c r="E26" s="247"/>
      <c r="F26" s="245"/>
      <c r="G26" s="249"/>
    </row>
    <row r="27" spans="1:7" s="220" customFormat="1" ht="24.75">
      <c r="A27" s="261" t="s">
        <v>2137</v>
      </c>
      <c r="B27" s="250" t="s">
        <v>2138</v>
      </c>
      <c r="C27" s="251">
        <f ca="1">C28</f>
        <v>6282</v>
      </c>
      <c r="D27" s="241">
        <f ca="1">C29</f>
        <v>4.0000000000000001E-3</v>
      </c>
      <c r="E27" s="242" t="s">
        <v>2139</v>
      </c>
      <c r="F27" s="252">
        <f ca="1">IF(B1="",'数据-取费表'!Q16,INDIRECT("'数据-取费表'!q"&amp;$G$1))</f>
        <v>0.2</v>
      </c>
      <c r="G27" s="253" t="s">
        <v>2140</v>
      </c>
    </row>
    <row r="28" spans="1:7" s="220" customFormat="1" ht="13.5" customHeight="1">
      <c r="A28" s="888" t="s">
        <v>791</v>
      </c>
      <c r="B28" s="254" t="s">
        <v>2141</v>
      </c>
      <c r="C28" s="255">
        <f ca="1">ROUND((C5+C19+C20)*F27*'数据-取费表'!B21/'数据-取费表'!B20,0)</f>
        <v>6282</v>
      </c>
      <c r="D28" s="241"/>
      <c r="E28" s="242"/>
      <c r="F28" s="252"/>
      <c r="G28" s="253"/>
    </row>
    <row r="29" spans="1:7" s="220" customFormat="1" ht="13.5" customHeight="1">
      <c r="A29" s="888" t="s">
        <v>792</v>
      </c>
      <c r="B29" s="254" t="s">
        <v>2142</v>
      </c>
      <c r="C29" s="244">
        <f ca="1">ROUND(C21*F27*'数据-取费表'!B21/'数据-取费表'!B20,4)</f>
        <v>4.0000000000000001E-3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43778</v>
      </c>
      <c r="D31" s="236"/>
      <c r="E31" s="217"/>
      <c r="F31" s="256"/>
      <c r="G31" s="240" t="s">
        <v>2147</v>
      </c>
    </row>
    <row r="32" spans="1:7" s="214" customFormat="1" ht="15.75">
      <c r="A32" s="258" t="s">
        <v>2148</v>
      </c>
      <c r="B32" s="259"/>
      <c r="C32" s="259"/>
      <c r="D32" s="259"/>
      <c r="E32" s="259"/>
      <c r="F32" s="259"/>
      <c r="G32" s="260"/>
    </row>
    <row r="33" spans="1:7" s="220" customFormat="1" ht="13.5" customHeight="1">
      <c r="A33" s="261" t="s">
        <v>782</v>
      </c>
      <c r="B33" s="216" t="s">
        <v>2149</v>
      </c>
      <c r="C33" s="262">
        <f ca="1">SUM(C34:C38)</f>
        <v>5012</v>
      </c>
      <c r="D33" s="238"/>
      <c r="E33" s="218"/>
      <c r="F33" s="247"/>
      <c r="G33" s="240"/>
    </row>
    <row r="34" spans="1:7" s="264" customFormat="1" ht="13.5" customHeight="1">
      <c r="A34" s="888" t="s">
        <v>791</v>
      </c>
      <c r="B34" s="221" t="s">
        <v>2150</v>
      </c>
      <c r="C34" s="226">
        <f ca="1">IF(B1="",IF(F34=100%,'数据-取费表'!M16,'数据-取费表'!O16),IF(F34=100%,INDIRECT("'数据-取费表'!m"&amp;$G$1)+INDIRECT("'数据-取费表'!t"&amp;$G$1),INDIRECT("'数据-取费表'!o"&amp;$G$1)+INDIRECT("'数据-取费表'!aq"&amp;$G$1)))</f>
        <v>4536</v>
      </c>
      <c r="D34" s="223"/>
      <c r="E34" s="226"/>
      <c r="F34" s="263">
        <f ca="1">IF('数据-取费表'!B24=0,1,IF(B1="",'数据-取费表'!N16,INDIRECT("'数据-取费表'!n"&amp;$G$1)))</f>
        <v>1</v>
      </c>
      <c r="G34" s="225" t="s">
        <v>2151</v>
      </c>
    </row>
    <row r="35" spans="1:7" ht="13.5" customHeight="1">
      <c r="A35" s="888" t="s">
        <v>796</v>
      </c>
      <c r="B35" s="221" t="s">
        <v>2152</v>
      </c>
      <c r="C35" s="226">
        <f ca="1">ROUND(C34*F35,0)</f>
        <v>181</v>
      </c>
      <c r="D35" s="226"/>
      <c r="E35" s="226"/>
      <c r="F35" s="265">
        <f>'数据-取费表'!B33</f>
        <v>0.04</v>
      </c>
      <c r="G35" s="225" t="s">
        <v>2153</v>
      </c>
    </row>
    <row r="36" spans="1:7" ht="24">
      <c r="A36" s="888" t="s">
        <v>797</v>
      </c>
      <c r="B36" s="221" t="s">
        <v>2154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2155</v>
      </c>
    </row>
    <row r="37" spans="1:7" s="264" customFormat="1" ht="13.5" customHeight="1">
      <c r="A37" s="888" t="s">
        <v>798</v>
      </c>
      <c r="B37" s="221" t="s">
        <v>2156</v>
      </c>
      <c r="C37" s="255">
        <f ca="1">ROUND(E37*D37*F34/10000,0)</f>
        <v>227</v>
      </c>
      <c r="D37" s="223">
        <f ca="1">D19</f>
        <v>11340.73</v>
      </c>
      <c r="E37" s="255">
        <f>'数据-取费表'!B35</f>
        <v>200</v>
      </c>
      <c r="F37" s="265"/>
      <c r="G37" s="267" t="s">
        <v>2157</v>
      </c>
    </row>
    <row r="38" spans="1:7" ht="13.5" customHeight="1">
      <c r="A38" s="888" t="s">
        <v>799</v>
      </c>
      <c r="B38" s="221" t="s">
        <v>2158</v>
      </c>
      <c r="C38" s="226">
        <f ca="1">ROUND(C34*F38,0)</f>
        <v>68</v>
      </c>
      <c r="D38" s="226"/>
      <c r="E38" s="226"/>
      <c r="F38" s="265">
        <f>'数据-取费表'!B36</f>
        <v>1.4999999999999999E-2</v>
      </c>
      <c r="G38" s="225" t="s">
        <v>2153</v>
      </c>
    </row>
    <row r="39" spans="1:7" s="220" customFormat="1" ht="13.5" customHeight="1">
      <c r="A39" s="261" t="s">
        <v>2159</v>
      </c>
      <c r="B39" s="216" t="s">
        <v>2160</v>
      </c>
      <c r="C39" s="238">
        <f ca="1">ROUND(C33*F20,0)</f>
        <v>100</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215</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ROUND(IF('数据-取费表'!B22&lt;=1,C33*F22*'数据-取费表'!B21/2,C33*(POWER((1+F22),'数据-取费表'!B21/2)-1)),0)</f>
        <v>211</v>
      </c>
      <c r="D42" s="244"/>
      <c r="E42" s="244"/>
      <c r="F42" s="245"/>
      <c r="G42" s="3402" t="s">
        <v>2169</v>
      </c>
    </row>
    <row r="43" spans="1:7" ht="13.5" customHeight="1">
      <c r="A43" s="888" t="s">
        <v>792</v>
      </c>
      <c r="B43" s="221" t="s">
        <v>2170</v>
      </c>
      <c r="C43" s="244">
        <f ca="1">ROUND(IF('数据-取费表'!B22&lt;=1,C39*F22*'数据-取费表'!B21/2,C39*(POWER((1+F22),'数据-取费表'!B21/2)-1)),0)</f>
        <v>4</v>
      </c>
      <c r="D43" s="244"/>
      <c r="E43" s="244"/>
      <c r="F43" s="245"/>
      <c r="G43" s="3403"/>
    </row>
    <row r="44" spans="1:7" ht="13.5" customHeight="1">
      <c r="A44" s="888" t="s">
        <v>793</v>
      </c>
      <c r="B44" s="221" t="s">
        <v>2171</v>
      </c>
      <c r="C44" s="244">
        <f ca="1">ROUND(IF('数据-取费表'!B22&lt;=1,C40*F22*'数据-取费表'!B21/2,C40*(POWER((1+F22),'数据-取费表'!B21/2)-1)),4)</f>
        <v>8.0000000000000004E-4</v>
      </c>
      <c r="D44" s="244"/>
      <c r="E44" s="244"/>
      <c r="F44" s="245"/>
      <c r="G44" s="3404"/>
    </row>
    <row r="45" spans="1:7" s="220" customFormat="1" ht="13.5" customHeight="1">
      <c r="A45" s="261" t="s">
        <v>2172</v>
      </c>
      <c r="B45" s="250" t="s">
        <v>2138</v>
      </c>
      <c r="C45" s="251">
        <f ca="1">C46</f>
        <v>1022</v>
      </c>
      <c r="D45" s="241">
        <f ca="1">C47</f>
        <v>4.0000000000000001E-3</v>
      </c>
      <c r="E45" s="242" t="s">
        <v>2164</v>
      </c>
      <c r="F45" s="2507">
        <f ca="1">F27</f>
        <v>0.2</v>
      </c>
      <c r="G45" s="253" t="s">
        <v>2173</v>
      </c>
    </row>
    <row r="46" spans="1:7" s="220" customFormat="1" ht="13.5" customHeight="1">
      <c r="A46" s="888" t="s">
        <v>791</v>
      </c>
      <c r="B46" s="254" t="s">
        <v>2174</v>
      </c>
      <c r="C46" s="255">
        <f ca="1">ROUND((C33+C39)*F27,0)</f>
        <v>1022</v>
      </c>
      <c r="D46" s="269"/>
      <c r="E46" s="242"/>
      <c r="F46" s="252"/>
      <c r="G46" s="253"/>
    </row>
    <row r="47" spans="1:7" s="220" customFormat="1" ht="13.5" customHeight="1">
      <c r="A47" s="888" t="s">
        <v>792</v>
      </c>
      <c r="B47" s="254" t="s">
        <v>2175</v>
      </c>
      <c r="C47" s="244">
        <f ca="1">ROUND(C40*F27,4)</f>
        <v>4.0000000000000001E-3</v>
      </c>
      <c r="D47" s="269"/>
      <c r="E47" s="242"/>
      <c r="F47" s="252"/>
      <c r="G47" s="253"/>
    </row>
    <row r="48" spans="1:7" s="220" customFormat="1" ht="13.5" customHeight="1">
      <c r="A48" s="261" t="s">
        <v>2137</v>
      </c>
      <c r="B48" s="216" t="s">
        <v>2176</v>
      </c>
      <c r="C48" s="1467">
        <f>ROUND(F30/(1+'数据-取费表'!C42),4)</f>
        <v>5.33E-2</v>
      </c>
      <c r="D48" s="242" t="s">
        <v>2164</v>
      </c>
      <c r="E48" s="238"/>
      <c r="F48" s="2506">
        <f>F30</f>
        <v>5.6000000000000001E-2</v>
      </c>
      <c r="G48" s="240" t="s">
        <v>2177</v>
      </c>
    </row>
    <row r="49" spans="1:7" ht="16.5" customHeight="1">
      <c r="A49" s="261" t="s">
        <v>2143</v>
      </c>
      <c r="B49" s="216" t="s">
        <v>2178</v>
      </c>
      <c r="C49" s="238">
        <f ca="1">ROUND((C33+C39+C41+C45)/(1-C40-D41-D45-C48),0)</f>
        <v>6887</v>
      </c>
      <c r="D49" s="238"/>
      <c r="E49" s="238"/>
      <c r="F49" s="270"/>
      <c r="G49" s="240" t="s">
        <v>2179</v>
      </c>
    </row>
    <row r="50" spans="1:7" s="264" customFormat="1" ht="24">
      <c r="A50" s="261" t="s">
        <v>2180</v>
      </c>
      <c r="B50" s="216" t="s">
        <v>2181</v>
      </c>
      <c r="C50" s="238"/>
      <c r="D50" s="238"/>
      <c r="E50" s="238"/>
      <c r="F50" s="270">
        <f>IF('数据-取费表'!B24=0,'数据-取费表'!N16,1)</f>
        <v>0.81699999999999995</v>
      </c>
      <c r="G50" s="253" t="s">
        <v>2182</v>
      </c>
    </row>
    <row r="51" spans="1:7" ht="16.5" customHeight="1">
      <c r="A51" s="261" t="s">
        <v>2183</v>
      </c>
      <c r="B51" s="216" t="s">
        <v>2184</v>
      </c>
      <c r="C51" s="238">
        <f ca="1">ROUND(C49*F50,0)</f>
        <v>5627</v>
      </c>
      <c r="D51" s="238"/>
      <c r="E51" s="238"/>
      <c r="F51" s="270"/>
      <c r="G51" s="240" t="s">
        <v>2185</v>
      </c>
    </row>
    <row r="52" spans="1:7" s="214" customFormat="1" ht="16.5" thickBot="1">
      <c r="A52" s="271" t="s">
        <v>2186</v>
      </c>
      <c r="B52" s="272"/>
      <c r="C52" s="273">
        <f ca="1">C31+C51</f>
        <v>49405</v>
      </c>
      <c r="D52" s="272"/>
      <c r="E52" s="272"/>
      <c r="F52" s="272"/>
      <c r="G52" s="274"/>
    </row>
    <row r="55" spans="1:7" ht="15">
      <c r="B55" s="276" t="s">
        <v>2187</v>
      </c>
      <c r="C55" s="277"/>
    </row>
    <row r="56" spans="1:7">
      <c r="B56" s="279" t="s">
        <v>1418</v>
      </c>
      <c r="C56" s="281">
        <f ca="1">1-C57</f>
        <v>0.88600000000000001</v>
      </c>
    </row>
    <row r="57" spans="1:7">
      <c r="B57" s="279" t="s">
        <v>1419</v>
      </c>
      <c r="C57" s="280">
        <f ca="1">ROUND(C51/C52,3)</f>
        <v>0.114</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2086</v>
      </c>
      <c r="B1" s="1624"/>
      <c r="C1" s="2015" t="s">
        <v>2188</v>
      </c>
      <c r="D1" s="204"/>
      <c r="E1" s="204"/>
      <c r="F1" s="204"/>
      <c r="G1" s="1260">
        <f>MATCH(B1,'数据-取费表'!A6:A16,0)+5</f>
        <v>7</v>
      </c>
      <c r="H1" s="1192" t="str">
        <f>IF(ISERROR(FIND("住宅",B1)),"非住宅","住宅")</f>
        <v>非住宅</v>
      </c>
    </row>
    <row r="2" spans="1:8" s="206" customFormat="1" ht="18" customHeight="1">
      <c r="A2" s="207" t="s">
        <v>2087</v>
      </c>
      <c r="B2" s="208">
        <f ca="1">ROUND(IF(D2="——",C52/10000,C52/10000-E2),0)</f>
        <v>6272</v>
      </c>
      <c r="C2" s="205" t="s">
        <v>2088</v>
      </c>
      <c r="D2" s="2009" t="s">
        <v>70</v>
      </c>
      <c r="E2" s="1303" t="e">
        <f ca="1">SUMIF(INDIRECT("'"&amp;G2&amp;"'"&amp;"!A:A"),"承租人权益价值",INDIRECT("'"&amp;G2&amp;"'"&amp;"!c:c"))</f>
        <v>#REF!</v>
      </c>
      <c r="F2" s="2010" t="s">
        <v>2088</v>
      </c>
      <c r="G2" s="2011"/>
    </row>
    <row r="3" spans="1:8" s="206" customFormat="1" ht="18" customHeight="1" thickBot="1">
      <c r="A3" s="209" t="s">
        <v>2089</v>
      </c>
      <c r="B3" s="210">
        <f ca="1">ROUND(B2*10000/(IF(B1="",'数据-汇总表'!E3,INDIRECT("'数据-取费表'!k"&amp;$G$1))),0)</f>
        <v>5531</v>
      </c>
      <c r="C3" s="205" t="s">
        <v>2090</v>
      </c>
      <c r="D3" s="205"/>
      <c r="E3" s="205"/>
      <c r="F3" s="205"/>
      <c r="G3" s="205"/>
    </row>
    <row r="4" spans="1:8" s="214" customFormat="1" ht="15.75">
      <c r="A4" s="211" t="s">
        <v>2091</v>
      </c>
      <c r="B4" s="212"/>
      <c r="C4" s="212"/>
      <c r="D4" s="212"/>
      <c r="E4" s="212"/>
      <c r="F4" s="212"/>
      <c r="G4" s="213"/>
    </row>
    <row r="5" spans="1:8" s="220" customFormat="1" ht="13.5" customHeight="1">
      <c r="A5" s="261" t="s">
        <v>2092</v>
      </c>
      <c r="B5" s="216" t="s">
        <v>2093</v>
      </c>
      <c r="C5" s="217">
        <f ca="1">C6+C7+C8</f>
        <v>2268146</v>
      </c>
      <c r="D5" s="217" t="s">
        <v>2094</v>
      </c>
      <c r="E5" s="218" t="s">
        <v>2095</v>
      </c>
      <c r="F5" s="218" t="s">
        <v>2096</v>
      </c>
      <c r="G5" s="219"/>
    </row>
    <row r="6" spans="1:8" s="220" customFormat="1" ht="13.5" customHeight="1">
      <c r="A6" s="886" t="s">
        <v>2097</v>
      </c>
      <c r="B6" s="221" t="s">
        <v>2098</v>
      </c>
      <c r="C6" s="222"/>
      <c r="D6" s="223"/>
      <c r="E6" s="224"/>
      <c r="F6" s="224"/>
      <c r="G6" s="225"/>
    </row>
    <row r="7" spans="1:8" s="220" customFormat="1" ht="13.5" customHeight="1">
      <c r="A7" s="886" t="s">
        <v>2099</v>
      </c>
      <c r="B7" s="221" t="s">
        <v>2100</v>
      </c>
      <c r="C7" s="226">
        <f>ROUND(C6*F7,0)</f>
        <v>0</v>
      </c>
      <c r="D7" s="226"/>
      <c r="E7" s="224"/>
      <c r="F7" s="227">
        <f>IF(项目基本情况!B8="出让",0,'数据-取费表'!B48+'数据-取费表'!B49)</f>
        <v>3.0499999999999999E-2</v>
      </c>
      <c r="G7" s="225"/>
    </row>
    <row r="8" spans="1:8" s="229" customFormat="1">
      <c r="A8" s="886" t="s">
        <v>2101</v>
      </c>
      <c r="B8" s="221" t="s">
        <v>2102</v>
      </c>
      <c r="C8" s="226">
        <f ca="1">IF(G8="已包含在土地购买价格中",0,C9+C10)</f>
        <v>2268146</v>
      </c>
      <c r="D8" s="228"/>
      <c r="E8" s="226"/>
      <c r="F8" s="227"/>
      <c r="G8" s="2012"/>
    </row>
    <row r="9" spans="1:8" s="220" customFormat="1" ht="13.5" customHeight="1">
      <c r="A9" s="887" t="s">
        <v>800</v>
      </c>
      <c r="B9" s="230" t="s">
        <v>2103</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2105</v>
      </c>
      <c r="C10" s="231">
        <f ca="1">ROUND(D10*E10,0)</f>
        <v>2268146</v>
      </c>
      <c r="D10" s="954">
        <f ca="1">IF(B1="",'数据-汇总表'!E6,IF(INDIRECT("'数据-取费表'!c"&amp;$G$1)="住宅",INDIRECT("'数据-取费表'!s"&amp;$G$1),INDIRECT("'数据-取费表'!k"&amp;$G$1)+INDIRECT("'数据-取费表'!s"&amp;$G$1)))</f>
        <v>11340.73</v>
      </c>
      <c r="E10" s="231">
        <f>'数据-取费表'!B28</f>
        <v>200</v>
      </c>
      <c r="F10" s="227"/>
      <c r="G10" s="232"/>
    </row>
    <row r="11" spans="1:8" s="220" customFormat="1" ht="13.5" hidden="1" customHeight="1">
      <c r="A11" s="233" t="s">
        <v>7</v>
      </c>
      <c r="B11" s="221" t="s">
        <v>2106</v>
      </c>
      <c r="C11" s="217"/>
      <c r="D11" s="956"/>
      <c r="E11" s="224"/>
      <c r="F11" s="224"/>
      <c r="G11" s="225"/>
    </row>
    <row r="12" spans="1:8" s="220" customFormat="1" ht="13.5" hidden="1" customHeight="1">
      <c r="A12" s="233" t="s">
        <v>8</v>
      </c>
      <c r="B12" s="221" t="s">
        <v>2189</v>
      </c>
      <c r="C12" s="217">
        <v>0</v>
      </c>
      <c r="D12" s="956"/>
      <c r="E12" s="234"/>
      <c r="F12" s="227">
        <v>3.0499999999999999E-2</v>
      </c>
      <c r="G12" s="225"/>
    </row>
    <row r="13" spans="1:8" s="220" customFormat="1" ht="13.5" hidden="1" customHeight="1">
      <c r="A13" s="233" t="s">
        <v>9</v>
      </c>
      <c r="B13" s="221" t="s">
        <v>2190</v>
      </c>
      <c r="C13" s="217"/>
      <c r="D13" s="956"/>
      <c r="E13" s="224"/>
      <c r="F13" s="224"/>
      <c r="G13" s="225"/>
    </row>
    <row r="14" spans="1:8" s="220" customFormat="1" ht="13.5" hidden="1" customHeight="1">
      <c r="A14" s="233" t="s">
        <v>10</v>
      </c>
      <c r="B14" s="221" t="s">
        <v>2102</v>
      </c>
      <c r="C14" s="217"/>
      <c r="D14" s="956"/>
      <c r="E14" s="224"/>
      <c r="F14" s="224"/>
      <c r="G14" s="225" t="s">
        <v>2191</v>
      </c>
    </row>
    <row r="15" spans="1:8" s="220" customFormat="1" ht="13.5" hidden="1" customHeight="1">
      <c r="A15" s="233" t="s">
        <v>11</v>
      </c>
      <c r="B15" s="221" t="s">
        <v>2192</v>
      </c>
      <c r="C15" s="226"/>
      <c r="D15" s="956"/>
      <c r="E15" s="224"/>
      <c r="F15" s="224"/>
      <c r="G15" s="225" t="s">
        <v>2193</v>
      </c>
    </row>
    <row r="16" spans="1:8" s="220" customFormat="1" ht="13.5" hidden="1" customHeight="1">
      <c r="A16" s="233" t="s">
        <v>12</v>
      </c>
      <c r="B16" s="221" t="s">
        <v>2102</v>
      </c>
      <c r="C16" s="226"/>
      <c r="D16" s="956"/>
      <c r="E16" s="224"/>
      <c r="F16" s="224"/>
      <c r="G16" s="225"/>
    </row>
    <row r="17" spans="1:7" s="220" customFormat="1" ht="13.5" hidden="1" customHeight="1">
      <c r="A17" s="233" t="s">
        <v>13</v>
      </c>
      <c r="B17" s="221" t="s">
        <v>2194</v>
      </c>
      <c r="C17" s="235"/>
      <c r="D17" s="957"/>
      <c r="E17" s="235"/>
      <c r="F17" s="235"/>
      <c r="G17" s="225" t="s">
        <v>2193</v>
      </c>
    </row>
    <row r="18" spans="1:7" s="220" customFormat="1" ht="13.5" hidden="1" customHeight="1">
      <c r="A18" s="233" t="s">
        <v>14</v>
      </c>
      <c r="B18" s="221" t="s">
        <v>2195</v>
      </c>
      <c r="C18" s="226">
        <v>0</v>
      </c>
      <c r="D18" s="956"/>
      <c r="E18" s="224"/>
      <c r="F18" s="227">
        <v>3.0499999999999999E-2</v>
      </c>
      <c r="G18" s="225" t="s">
        <v>2196</v>
      </c>
    </row>
    <row r="19" spans="1:7" s="229" customFormat="1" ht="13.5" customHeight="1">
      <c r="A19" s="261" t="s">
        <v>2197</v>
      </c>
      <c r="B19" s="216" t="s">
        <v>2198</v>
      </c>
      <c r="C19" s="217">
        <f ca="1">IF(G19="已包含在土地取得成本中","0",ROUND(D19*E19,0))</f>
        <v>2268146</v>
      </c>
      <c r="D19" s="958">
        <f ca="1">D9+D10</f>
        <v>11340.73</v>
      </c>
      <c r="E19" s="217">
        <f>'数据-取费表'!B31</f>
        <v>200</v>
      </c>
      <c r="F19" s="237"/>
      <c r="G19" s="2012"/>
    </row>
    <row r="20" spans="1:7" s="220" customFormat="1" ht="13.5" customHeight="1">
      <c r="A20" s="261" t="s">
        <v>2199</v>
      </c>
      <c r="B20" s="216" t="s">
        <v>2200</v>
      </c>
      <c r="C20" s="238">
        <f ca="1">ROUND((C5+C19)*F20,0)</f>
        <v>90726</v>
      </c>
      <c r="D20" s="238"/>
      <c r="E20" s="238"/>
      <c r="F20" s="239">
        <f>'数据-取费表'!B37</f>
        <v>0.02</v>
      </c>
      <c r="G20" s="240" t="s">
        <v>2201</v>
      </c>
    </row>
    <row r="21" spans="1:7" s="220" customFormat="1" ht="13.5" customHeight="1">
      <c r="A21" s="261" t="s">
        <v>2202</v>
      </c>
      <c r="B21" s="216" t="s">
        <v>2203</v>
      </c>
      <c r="C21" s="241">
        <f>F21</f>
        <v>0.02</v>
      </c>
      <c r="D21" s="242" t="s">
        <v>2204</v>
      </c>
      <c r="E21" s="238"/>
      <c r="F21" s="239">
        <f>'数据-取费表'!B38</f>
        <v>0.02</v>
      </c>
      <c r="G21" s="240" t="s">
        <v>2205</v>
      </c>
    </row>
    <row r="22" spans="1:7" s="220" customFormat="1" ht="13.5" customHeight="1">
      <c r="A22" s="261" t="s">
        <v>2206</v>
      </c>
      <c r="B22" s="216" t="s">
        <v>2207</v>
      </c>
      <c r="C22" s="1261">
        <f ca="1">ROUND(SUM(C23:C25),0)</f>
        <v>392860</v>
      </c>
      <c r="D22" s="241">
        <f ca="1">C26</f>
        <v>8.0000000000000004E-4</v>
      </c>
      <c r="E22" s="242" t="s">
        <v>2204</v>
      </c>
      <c r="F22" s="243">
        <f ca="1">'数据-取费表'!B40</f>
        <v>4.2000000000000003E-2</v>
      </c>
      <c r="G22" s="240" t="str">
        <f>IF('数据-取费表'!B22&lt;=1,"单利计息","复利计息")</f>
        <v>复利计息</v>
      </c>
    </row>
    <row r="23" spans="1:7" s="220" customFormat="1" ht="13.5" customHeight="1">
      <c r="A23" s="888" t="s">
        <v>2097</v>
      </c>
      <c r="B23" s="221" t="s">
        <v>2208</v>
      </c>
      <c r="C23" s="1262">
        <f ca="1">ROUND(IF('数据-取费表'!B22&lt;=1,C5*F22*'数据-取费表'!B22,C5*(POWER((1+F22),'数据-取费表'!B22)-1)),0)</f>
        <v>194525</v>
      </c>
      <c r="D23" s="244"/>
      <c r="E23" s="244"/>
      <c r="F23" s="245"/>
      <c r="G23" s="246" t="s">
        <v>2209</v>
      </c>
    </row>
    <row r="24" spans="1:7" s="220" customFormat="1" ht="13.5" customHeight="1">
      <c r="A24" s="888" t="s">
        <v>2099</v>
      </c>
      <c r="B24" s="221" t="s">
        <v>2210</v>
      </c>
      <c r="C24" s="1262">
        <f ca="1">ROUND(IF('数据-取费表'!B22&lt;=1,C19*F22*('数据-取费表'!B19/2+'数据-取费表'!B20),C19*(POWER((1+F22),('数据-取费表'!B19/2+'数据-取费表'!B20))-1)),0)</f>
        <v>194525</v>
      </c>
      <c r="D24" s="244"/>
      <c r="E24" s="244"/>
      <c r="F24" s="245"/>
      <c r="G24" s="246" t="s">
        <v>2211</v>
      </c>
    </row>
    <row r="25" spans="1:7" s="220" customFormat="1" ht="24">
      <c r="A25" s="888" t="s">
        <v>2101</v>
      </c>
      <c r="B25" s="221" t="s">
        <v>2212</v>
      </c>
      <c r="C25" s="1262">
        <f ca="1">ROUND(IF('数据-取费表'!B22&lt;=1,C20*F22*'数据-取费表'!B22/2,C20*(POWER((1+F22),'数据-取费表'!B22/2)-1)),0)</f>
        <v>3810</v>
      </c>
      <c r="D25" s="244"/>
      <c r="E25" s="247"/>
      <c r="F25" s="245"/>
      <c r="G25" s="248" t="s">
        <v>2213</v>
      </c>
    </row>
    <row r="26" spans="1:7" s="220" customFormat="1">
      <c r="A26" s="888" t="s">
        <v>795</v>
      </c>
      <c r="B26" s="221" t="s">
        <v>2136</v>
      </c>
      <c r="C26" s="244">
        <f ca="1">ROUND(IF('数据-取费表'!B22&lt;=1,F21*F22*'数据-取费表'!B22/2,F21*(POWER((1+F22),'数据-取费表'!B22/2)-1)),4)</f>
        <v>8.0000000000000004E-4</v>
      </c>
      <c r="D26" s="244"/>
      <c r="E26" s="247"/>
      <c r="F26" s="245"/>
      <c r="G26" s="249"/>
    </row>
    <row r="27" spans="1:7" s="220" customFormat="1" ht="24.75">
      <c r="A27" s="261" t="s">
        <v>2137</v>
      </c>
      <c r="B27" s="250" t="s">
        <v>2138</v>
      </c>
      <c r="C27" s="251">
        <f ca="1">C28</f>
        <v>925404</v>
      </c>
      <c r="D27" s="241">
        <f ca="1">C29</f>
        <v>4.0000000000000001E-3</v>
      </c>
      <c r="E27" s="242" t="s">
        <v>2139</v>
      </c>
      <c r="F27" s="252">
        <f ca="1">IF(B1="",'数据-取费表'!Q16,INDIRECT("'数据-取费表'!q"&amp;$G$1))</f>
        <v>0.2</v>
      </c>
      <c r="G27" s="253" t="s">
        <v>2140</v>
      </c>
    </row>
    <row r="28" spans="1:7" s="220" customFormat="1" ht="13.5" customHeight="1">
      <c r="A28" s="888" t="s">
        <v>791</v>
      </c>
      <c r="B28" s="254" t="s">
        <v>2141</v>
      </c>
      <c r="C28" s="255">
        <f ca="1">ROUND((C5+C19+C20)*F27,0)</f>
        <v>925404</v>
      </c>
      <c r="D28" s="241"/>
      <c r="E28" s="242"/>
      <c r="F28" s="252"/>
      <c r="G28" s="253"/>
    </row>
    <row r="29" spans="1:7" s="220" customFormat="1" ht="13.5" customHeight="1">
      <c r="A29" s="888" t="s">
        <v>792</v>
      </c>
      <c r="B29" s="254" t="s">
        <v>2142</v>
      </c>
      <c r="C29" s="244">
        <f ca="1">ROUND(C21*F27,4)</f>
        <v>4.0000000000000001E-3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6448945</v>
      </c>
      <c r="D31" s="236"/>
      <c r="E31" s="217"/>
      <c r="F31" s="256"/>
      <c r="G31" s="240" t="s">
        <v>2147</v>
      </c>
    </row>
    <row r="32" spans="1:7" s="214" customFormat="1" ht="15.75">
      <c r="A32" s="258" t="s">
        <v>2214</v>
      </c>
      <c r="B32" s="259"/>
      <c r="C32" s="259"/>
      <c r="D32" s="259"/>
      <c r="E32" s="259"/>
      <c r="F32" s="259"/>
      <c r="G32" s="260"/>
    </row>
    <row r="33" spans="1:7" s="220" customFormat="1" ht="13.5" customHeight="1">
      <c r="A33" s="261" t="s">
        <v>782</v>
      </c>
      <c r="B33" s="216" t="s">
        <v>2215</v>
      </c>
      <c r="C33" s="262">
        <f ca="1">SUM(C34:C38)</f>
        <v>50126027</v>
      </c>
      <c r="D33" s="238"/>
      <c r="E33" s="218"/>
      <c r="F33" s="247"/>
      <c r="G33" s="240"/>
    </row>
    <row r="34" spans="1:7" s="264" customFormat="1" ht="13.5" customHeight="1">
      <c r="A34" s="888" t="s">
        <v>791</v>
      </c>
      <c r="B34" s="221" t="s">
        <v>2150</v>
      </c>
      <c r="C34" s="226">
        <f ca="1">ROUND(IF(B1="",SUMPRODUCT('数据-取费表'!K6:K14,'数据-取费表'!L6:L14),INDIRECT("'数据-取费表'!l"&amp;$G$1)*INDIRECT("'数据-取费表'!k"&amp;$G$1)+'数据-取费表'!L14*INDIRECT("'数据-取费表'!S"&amp;$G$1)),0)</f>
        <v>45362920</v>
      </c>
      <c r="D34" s="223"/>
      <c r="E34" s="226"/>
      <c r="F34" s="263"/>
      <c r="G34" s="225"/>
    </row>
    <row r="35" spans="1:7" ht="13.5" customHeight="1">
      <c r="A35" s="888" t="s">
        <v>796</v>
      </c>
      <c r="B35" s="221" t="s">
        <v>2152</v>
      </c>
      <c r="C35" s="226">
        <f ca="1">ROUND(C34*F35,0)</f>
        <v>1814517</v>
      </c>
      <c r="D35" s="226"/>
      <c r="E35" s="226"/>
      <c r="F35" s="265">
        <f>'数据-取费表'!B33</f>
        <v>0.04</v>
      </c>
      <c r="G35" s="225" t="s">
        <v>2153</v>
      </c>
    </row>
    <row r="36" spans="1:7" ht="24">
      <c r="A36" s="888" t="s">
        <v>797</v>
      </c>
      <c r="B36" s="221" t="s">
        <v>2154</v>
      </c>
      <c r="C36" s="226">
        <f ca="1">ROUND(IF(B1="",SUM('数据-取费表'!AP6:AP13)*F36,IF(INDIRECT("'数据-取费表'!c"&amp;$G$1)="住宅",INDIRECT("'数据-取费表'!k"&amp;$G$1)*INDIRECT("'数据-取费表'!l"&amp;$G$1)*F36,0)),0)</f>
        <v>0</v>
      </c>
      <c r="D36" s="226"/>
      <c r="E36" s="226"/>
      <c r="F36" s="265">
        <f>'数据-取费表'!B34</f>
        <v>0</v>
      </c>
      <c r="G36" s="266" t="s">
        <v>2155</v>
      </c>
    </row>
    <row r="37" spans="1:7" s="264" customFormat="1" ht="13.5" customHeight="1">
      <c r="A37" s="888" t="s">
        <v>798</v>
      </c>
      <c r="B37" s="221" t="s">
        <v>2156</v>
      </c>
      <c r="C37" s="255">
        <f ca="1">ROUND(E37*D37,0)</f>
        <v>2268146</v>
      </c>
      <c r="D37" s="223">
        <f ca="1">D19</f>
        <v>11340.73</v>
      </c>
      <c r="E37" s="255">
        <f>'数据-取费表'!B35</f>
        <v>200</v>
      </c>
      <c r="F37" s="265"/>
      <c r="G37" s="267"/>
    </row>
    <row r="38" spans="1:7" ht="13.5" customHeight="1">
      <c r="A38" s="888" t="s">
        <v>799</v>
      </c>
      <c r="B38" s="221" t="s">
        <v>2158</v>
      </c>
      <c r="C38" s="226">
        <f ca="1">ROUND(C34*F38,0)</f>
        <v>680444</v>
      </c>
      <c r="D38" s="226"/>
      <c r="E38" s="226"/>
      <c r="F38" s="265">
        <f>'数据-取费表'!B36</f>
        <v>1.4999999999999999E-2</v>
      </c>
      <c r="G38" s="225" t="s">
        <v>2153</v>
      </c>
    </row>
    <row r="39" spans="1:7" s="220" customFormat="1" ht="13.5" customHeight="1">
      <c r="A39" s="261" t="s">
        <v>2159</v>
      </c>
      <c r="B39" s="216" t="s">
        <v>2160</v>
      </c>
      <c r="C39" s="238">
        <f ca="1">ROUND(C33*F20,0)</f>
        <v>1002521</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2147399</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ROUND(IF('数据-取费表'!B22&lt;=1,C33*F22*'数据-取费表'!B20/2,C33*(POWER((1+F22),'数据-取费表'!B20/2)-1)),0)</f>
        <v>2105293</v>
      </c>
      <c r="D42" s="244"/>
      <c r="E42" s="244"/>
      <c r="F42" s="245"/>
      <c r="G42" s="3402" t="s">
        <v>2216</v>
      </c>
    </row>
    <row r="43" spans="1:7" ht="13.5" customHeight="1">
      <c r="A43" s="888" t="s">
        <v>792</v>
      </c>
      <c r="B43" s="221" t="s">
        <v>2170</v>
      </c>
      <c r="C43" s="244">
        <f ca="1">ROUND(IF('数据-取费表'!B22&lt;=1,C39*F22*'数据-取费表'!B20/2,C39*(POWER((1+F22),'数据-取费表'!B20/2)-1)),0)</f>
        <v>42106</v>
      </c>
      <c r="D43" s="244"/>
      <c r="E43" s="244"/>
      <c r="F43" s="245"/>
      <c r="G43" s="3403"/>
    </row>
    <row r="44" spans="1:7" ht="13.5" customHeight="1">
      <c r="A44" s="888" t="s">
        <v>793</v>
      </c>
      <c r="B44" s="221" t="s">
        <v>2171</v>
      </c>
      <c r="C44" s="244">
        <f ca="1">ROUND(IF('数据-取费表'!B22&lt;=1,C40*F22*'数据-取费表'!B20/2,C40*(POWER((1+F22),'数据-取费表'!B20/2)-1)),4)</f>
        <v>8.0000000000000004E-4</v>
      </c>
      <c r="D44" s="244"/>
      <c r="E44" s="244"/>
      <c r="F44" s="245"/>
      <c r="G44" s="3404"/>
    </row>
    <row r="45" spans="1:7" s="220" customFormat="1" ht="13.5" customHeight="1">
      <c r="A45" s="261" t="s">
        <v>2172</v>
      </c>
      <c r="B45" s="250" t="s">
        <v>2138</v>
      </c>
      <c r="C45" s="251">
        <f ca="1">C46</f>
        <v>10225710</v>
      </c>
      <c r="D45" s="241">
        <f ca="1">C47</f>
        <v>4.0000000000000001E-3</v>
      </c>
      <c r="E45" s="242" t="s">
        <v>2164</v>
      </c>
      <c r="F45" s="2507">
        <f ca="1">F27</f>
        <v>0.2</v>
      </c>
      <c r="G45" s="253" t="s">
        <v>2173</v>
      </c>
    </row>
    <row r="46" spans="1:7" s="220" customFormat="1" ht="13.5" customHeight="1">
      <c r="A46" s="888" t="s">
        <v>791</v>
      </c>
      <c r="B46" s="254" t="s">
        <v>2174</v>
      </c>
      <c r="C46" s="255">
        <f ca="1">ROUND((C33+C39)*F27,0)</f>
        <v>10225710</v>
      </c>
      <c r="D46" s="269"/>
      <c r="E46" s="242"/>
      <c r="F46" s="252"/>
      <c r="G46" s="253"/>
    </row>
    <row r="47" spans="1:7" s="220" customFormat="1" ht="13.5" customHeight="1">
      <c r="A47" s="888" t="s">
        <v>792</v>
      </c>
      <c r="B47" s="254" t="s">
        <v>2175</v>
      </c>
      <c r="C47" s="244">
        <f ca="1">ROUND(C40*F27,4)</f>
        <v>4.0000000000000001E-3</v>
      </c>
      <c r="D47" s="269"/>
      <c r="E47" s="242"/>
      <c r="F47" s="252"/>
      <c r="G47" s="253"/>
    </row>
    <row r="48" spans="1:7" s="220" customFormat="1" ht="13.5" customHeight="1">
      <c r="A48" s="261" t="s">
        <v>2137</v>
      </c>
      <c r="B48" s="216" t="s">
        <v>2176</v>
      </c>
      <c r="C48" s="268">
        <f>ROUND(F30/(1+'数据-取费表'!C42),4)</f>
        <v>5.33E-2</v>
      </c>
      <c r="D48" s="242" t="s">
        <v>2164</v>
      </c>
      <c r="E48" s="238"/>
      <c r="F48" s="2506">
        <f>F30</f>
        <v>5.6000000000000001E-2</v>
      </c>
      <c r="G48" s="240" t="s">
        <v>2177</v>
      </c>
    </row>
    <row r="49" spans="1:7" ht="16.5" customHeight="1">
      <c r="A49" s="261" t="s">
        <v>2143</v>
      </c>
      <c r="B49" s="216" t="s">
        <v>2217</v>
      </c>
      <c r="C49" s="238">
        <f ca="1">ROUND((C33+C39+C41+C45)/(1-C40-D41-D45-C48),0)</f>
        <v>68881285</v>
      </c>
      <c r="D49" s="238"/>
      <c r="E49" s="238"/>
      <c r="F49" s="270"/>
      <c r="G49" s="240" t="s">
        <v>2179</v>
      </c>
    </row>
    <row r="50" spans="1:7" s="264" customFormat="1">
      <c r="A50" s="261" t="s">
        <v>2180</v>
      </c>
      <c r="B50" s="216" t="s">
        <v>2181</v>
      </c>
      <c r="C50" s="238"/>
      <c r="D50" s="238"/>
      <c r="E50" s="238"/>
      <c r="F50" s="270">
        <f>IF('数据-取费表'!B24=0,'数据-取费表'!N16,1)</f>
        <v>0.81699999999999995</v>
      </c>
      <c r="G50" s="253"/>
    </row>
    <row r="51" spans="1:7" ht="16.5" customHeight="1">
      <c r="A51" s="261" t="s">
        <v>2183</v>
      </c>
      <c r="B51" s="216" t="s">
        <v>2218</v>
      </c>
      <c r="C51" s="238">
        <f ca="1">ROUND(C49*F50,0)</f>
        <v>56276010</v>
      </c>
      <c r="D51" s="238"/>
      <c r="E51" s="238"/>
      <c r="F51" s="270"/>
      <c r="G51" s="240" t="s">
        <v>2185</v>
      </c>
    </row>
    <row r="52" spans="1:7" s="214" customFormat="1" ht="16.5" thickBot="1">
      <c r="A52" s="271" t="s">
        <v>2186</v>
      </c>
      <c r="B52" s="272"/>
      <c r="C52" s="273">
        <f ca="1">C31+C51</f>
        <v>62724955</v>
      </c>
      <c r="D52" s="272"/>
      <c r="E52" s="272"/>
      <c r="F52" s="272"/>
      <c r="G52" s="274"/>
    </row>
    <row r="55" spans="1:7" ht="15">
      <c r="B55" s="276" t="s">
        <v>2187</v>
      </c>
      <c r="C55" s="277"/>
    </row>
    <row r="56" spans="1:7">
      <c r="B56" s="279" t="s">
        <v>1418</v>
      </c>
      <c r="C56" s="281">
        <f ca="1">1-C57</f>
        <v>0.10299999999999998</v>
      </c>
    </row>
    <row r="57" spans="1:7">
      <c r="B57" s="279" t="s">
        <v>1419</v>
      </c>
      <c r="C57" s="280">
        <f ca="1">ROUND(C51/C52,3)</f>
        <v>0.89700000000000002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2219</v>
      </c>
      <c r="B1" s="1325"/>
      <c r="C1" s="1326"/>
      <c r="D1" s="1324"/>
      <c r="E1" s="3005"/>
      <c r="F1" s="3005"/>
      <c r="G1" s="2868"/>
      <c r="H1" s="3005"/>
      <c r="I1" s="3005"/>
      <c r="J1" s="3005"/>
      <c r="K1" s="3006">
        <f>MATCH(C1,'数据-取费表'!A6:A16,0)+5</f>
        <v>7</v>
      </c>
    </row>
    <row r="2" spans="1:33" ht="18" customHeight="1">
      <c r="A2" s="207" t="s">
        <v>2087</v>
      </c>
      <c r="B2" s="210">
        <f ca="1">C32</f>
        <v>-270</v>
      </c>
      <c r="C2" s="282" t="s">
        <v>2220</v>
      </c>
      <c r="D2" s="282"/>
      <c r="E2" s="3005"/>
      <c r="F2" s="3005"/>
      <c r="G2" s="3005"/>
      <c r="H2" s="3005"/>
      <c r="I2" s="3005"/>
      <c r="J2" s="3005"/>
      <c r="K2" s="3005"/>
    </row>
    <row r="3" spans="1:33" ht="18" customHeight="1" thickBot="1">
      <c r="A3" s="209" t="s">
        <v>2089</v>
      </c>
      <c r="B3" s="210">
        <f ca="1">ROUND(B2*10000/IF(C1="",'数据-汇总表'!E3,INDIRECT("'数据-取费表'!K"&amp;$K$1)),0)</f>
        <v>-238</v>
      </c>
      <c r="C3" s="282" t="s">
        <v>2221</v>
      </c>
      <c r="D3" s="282"/>
      <c r="E3" s="3005"/>
      <c r="F3" s="3005"/>
      <c r="G3" s="3005"/>
      <c r="H3" s="3005"/>
      <c r="I3" s="3005"/>
      <c r="J3" s="3005"/>
      <c r="K3" s="3005"/>
    </row>
    <row r="4" spans="1:33" s="893" customFormat="1" ht="16.5" customHeight="1">
      <c r="A4" s="890" t="s">
        <v>2222</v>
      </c>
      <c r="B4" s="891"/>
      <c r="C4" s="933">
        <f>SUM(C8:K8)</f>
        <v>0</v>
      </c>
      <c r="D4" s="891"/>
      <c r="E4" s="891"/>
      <c r="F4" s="891"/>
      <c r="G4" s="891"/>
      <c r="H4" s="891"/>
      <c r="I4" s="891"/>
      <c r="J4" s="891"/>
      <c r="K4" s="892"/>
    </row>
    <row r="5" spans="1:33" s="897" customFormat="1" ht="24.75">
      <c r="A5" s="894" t="s">
        <v>2223</v>
      </c>
      <c r="B5" s="895" t="s">
        <v>2224</v>
      </c>
      <c r="C5" s="2016" t="s">
        <v>2225</v>
      </c>
      <c r="D5" s="2016" t="s">
        <v>2226</v>
      </c>
      <c r="E5" s="2016" t="s">
        <v>2227</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2229</v>
      </c>
      <c r="B7" s="136" t="s">
        <v>2230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2231</v>
      </c>
      <c r="B8" s="169" t="s">
        <v>2232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2233</v>
      </c>
      <c r="B9" s="891"/>
      <c r="C9" s="891"/>
      <c r="D9" s="891"/>
      <c r="E9" s="891"/>
      <c r="F9" s="891"/>
      <c r="G9" s="891"/>
      <c r="H9" s="891"/>
      <c r="I9" s="891"/>
      <c r="J9" s="891"/>
      <c r="K9" s="892"/>
    </row>
    <row r="10" spans="1:33" s="907" customFormat="1" ht="13.5" customHeight="1">
      <c r="A10" s="894" t="s">
        <v>2234</v>
      </c>
      <c r="B10" s="8" t="s">
        <v>2235</v>
      </c>
      <c r="C10" s="903" t="s">
        <v>2236</v>
      </c>
      <c r="D10" s="904" t="s">
        <v>2237</v>
      </c>
      <c r="E10" s="904" t="s">
        <v>2238</v>
      </c>
      <c r="F10" s="904" t="s">
        <v>2239</v>
      </c>
      <c r="G10" s="8"/>
      <c r="H10" s="905"/>
      <c r="I10" s="905"/>
      <c r="J10" s="905"/>
      <c r="K10" s="906"/>
    </row>
    <row r="11" spans="1:33" s="912" customFormat="1" ht="13.5" customHeight="1">
      <c r="A11" s="908" t="s">
        <v>1241</v>
      </c>
      <c r="B11" s="909" t="s">
        <v>2240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2241</v>
      </c>
      <c r="C12" s="24">
        <f ca="1">ROUND(C11*F12,0)</f>
        <v>0</v>
      </c>
      <c r="D12" s="910"/>
      <c r="E12" s="335"/>
      <c r="F12" s="913">
        <f>'数据-取费表'!B33</f>
        <v>0.04</v>
      </c>
      <c r="G12" s="8" t="s">
        <v>2242</v>
      </c>
      <c r="H12" s="905"/>
      <c r="I12" s="905"/>
      <c r="J12" s="905"/>
      <c r="K12" s="906"/>
    </row>
    <row r="13" spans="1:33" s="912" customFormat="1" ht="13.5" customHeight="1">
      <c r="A13" s="908" t="s">
        <v>1243</v>
      </c>
      <c r="B13" s="909" t="s">
        <v>2243</v>
      </c>
      <c r="C13" s="24">
        <f ca="1">ROUND(IF(C1="",SUMIF('数据-取费表'!C:C,"住宅",'数据-取费表'!P:P)*F13,IF(INDIRECT("'数据-取费表'!c"&amp;$K$1)="住宅",INDIRECT("'数据-取费表'!P"&amp;$K$1)*F13,0)),0)</f>
        <v>0</v>
      </c>
      <c r="D13" s="955"/>
      <c r="E13" s="335"/>
      <c r="F13" s="913">
        <f>'数据-取费表'!B34</f>
        <v>0</v>
      </c>
      <c r="G13" s="8" t="s">
        <v>2244</v>
      </c>
      <c r="H13" s="905"/>
      <c r="I13" s="905"/>
      <c r="J13" s="905"/>
      <c r="K13" s="906"/>
    </row>
    <row r="14" spans="1:33" s="914" customFormat="1" ht="13.5" customHeight="1">
      <c r="A14" s="908" t="s">
        <v>1244</v>
      </c>
      <c r="B14" s="909" t="s">
        <v>2245</v>
      </c>
      <c r="C14" s="24">
        <f ca="1">ROUND(D14*E14*F11/10000,0)</f>
        <v>0</v>
      </c>
      <c r="D14" s="955">
        <f ca="1">IF(C1="",'数据-汇总表'!E3,INDIRECT("'数据-取费表'!K"&amp;$K$1)+INDIRECT("'数据-取费表'!S"&amp;$K$1))</f>
        <v>11340.73</v>
      </c>
      <c r="E14" s="24">
        <f>'数据-取费表'!B35</f>
        <v>200</v>
      </c>
      <c r="F14" s="913"/>
      <c r="G14" s="8" t="s">
        <v>2246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2247</v>
      </c>
      <c r="C15" s="920">
        <f ca="1">ROUND(C11*F15,0)</f>
        <v>0</v>
      </c>
      <c r="D15" s="915"/>
      <c r="E15" s="920"/>
      <c r="F15" s="921">
        <f>'数据-取费表'!B36</f>
        <v>1.4999999999999999E-2</v>
      </c>
      <c r="G15" s="136" t="s">
        <v>2248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2249</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2250</v>
      </c>
      <c r="C17" s="24">
        <f ca="1">ROUND(D17*E17/10000,0)</f>
        <v>0</v>
      </c>
      <c r="D17" s="955">
        <f ca="1">D14</f>
        <v>11340.73</v>
      </c>
      <c r="E17" s="24">
        <f>'数据-取费表'!B32</f>
        <v>0</v>
      </c>
      <c r="F17" s="915"/>
      <c r="G17" s="136" t="s">
        <v>2251</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2252</v>
      </c>
      <c r="C18" s="24">
        <f ca="1">C19+C20-IF(C1="",'数据-取费表'!B29,IF(G18="已全部缴纳",C19+C20,H18))</f>
        <v>227</v>
      </c>
      <c r="D18" s="955"/>
      <c r="E18" s="24"/>
      <c r="F18" s="913"/>
      <c r="G18" s="2018"/>
      <c r="H18" s="1321"/>
      <c r="I18" s="2019" t="s">
        <v>2253</v>
      </c>
      <c r="J18" s="916"/>
      <c r="K18" s="917"/>
    </row>
    <row r="19" spans="1:33" s="912" customFormat="1" ht="13.5" customHeight="1">
      <c r="A19" s="908" t="s">
        <v>805</v>
      </c>
      <c r="B19" s="909" t="s">
        <v>2254</v>
      </c>
      <c r="C19" s="24">
        <f ca="1">ROUND(D19*E19/10000,0)</f>
        <v>0</v>
      </c>
      <c r="D19" s="955">
        <f ca="1">IF(C1="",'数据-汇总表'!E5,IF(INDIRECT("'数据-取费表'!c"&amp;$K$1)="住宅",INDIRECT("'数据-取费表'!k"&amp;$K$1),0))</f>
        <v>0</v>
      </c>
      <c r="E19" s="24">
        <f>'数据-取费表'!B27</f>
        <v>160</v>
      </c>
      <c r="F19" s="913"/>
      <c r="G19" s="15"/>
      <c r="H19" s="1323"/>
      <c r="I19" s="918"/>
      <c r="J19" s="918"/>
      <c r="K19" s="919"/>
    </row>
    <row r="20" spans="1:33" s="912" customFormat="1" ht="13.5" customHeight="1">
      <c r="A20" s="908" t="s">
        <v>806</v>
      </c>
      <c r="B20" s="909" t="s">
        <v>2255</v>
      </c>
      <c r="C20" s="24">
        <f ca="1">ROUND(D20*E20/10000,0)</f>
        <v>227</v>
      </c>
      <c r="D20" s="955">
        <f ca="1">IF(C1="",'数据-汇总表'!E6,IF(INDIRECT("'数据-取费表'!c"&amp;$K$1)="住宅",INDIRECT("'数据-取费表'!s"&amp;$K$1),INDIRECT("'数据-取费表'!k"&amp;$K$1)+INDIRECT("'数据-取费表'!s"&amp;$K$1)))</f>
        <v>11340.73</v>
      </c>
      <c r="E20" s="24">
        <f>'数据-取费表'!B28</f>
        <v>200</v>
      </c>
      <c r="F20" s="913"/>
      <c r="G20" s="15"/>
      <c r="H20" s="918"/>
      <c r="I20" s="918"/>
      <c r="J20" s="918"/>
      <c r="K20" s="919"/>
    </row>
    <row r="21" spans="1:33" s="912" customFormat="1" ht="13.5" customHeight="1">
      <c r="A21" s="898" t="s">
        <v>802</v>
      </c>
      <c r="B21" s="922" t="s">
        <v>2256</v>
      </c>
      <c r="C21" s="923">
        <f ca="1">C16+C17+C18</f>
        <v>227</v>
      </c>
      <c r="D21" s="924"/>
      <c r="E21" s="287"/>
      <c r="F21" s="287"/>
      <c r="G21" s="136" t="s">
        <v>2257</v>
      </c>
      <c r="H21" s="916"/>
      <c r="I21" s="916"/>
      <c r="J21" s="916"/>
      <c r="K21" s="917"/>
    </row>
    <row r="22" spans="1:33" s="912" customFormat="1" ht="13.5" customHeight="1">
      <c r="A22" s="898" t="s">
        <v>2229</v>
      </c>
      <c r="B22" s="922" t="s">
        <v>2258</v>
      </c>
      <c r="C22" s="923">
        <f ca="1">ROUND(C21*F22,0)</f>
        <v>5</v>
      </c>
      <c r="D22" s="287"/>
      <c r="E22" s="287"/>
      <c r="F22" s="925">
        <f>'数据-取费表'!B37</f>
        <v>0.02</v>
      </c>
      <c r="G22" s="8" t="s">
        <v>2259</v>
      </c>
      <c r="H22" s="905"/>
      <c r="I22" s="905"/>
      <c r="J22" s="905"/>
      <c r="K22" s="906"/>
    </row>
    <row r="23" spans="1:33" s="912" customFormat="1" ht="13.5" customHeight="1">
      <c r="A23" s="898" t="s">
        <v>2231</v>
      </c>
      <c r="B23" s="922" t="s">
        <v>2260</v>
      </c>
      <c r="C23" s="923">
        <f ca="1">ROUND(C4*F23*F11,0)</f>
        <v>0</v>
      </c>
      <c r="D23" s="287"/>
      <c r="E23" s="287"/>
      <c r="F23" s="925">
        <f>'数据-取费表'!B38</f>
        <v>0.02</v>
      </c>
      <c r="G23" s="8" t="s">
        <v>2261</v>
      </c>
      <c r="H23" s="905"/>
      <c r="I23" s="905"/>
      <c r="J23" s="905"/>
      <c r="K23" s="906"/>
    </row>
    <row r="24" spans="1:33" s="912" customFormat="1" ht="13.5" customHeight="1">
      <c r="A24" s="898" t="s">
        <v>2262</v>
      </c>
      <c r="B24" s="922" t="s">
        <v>2263</v>
      </c>
      <c r="C24" s="286">
        <f>ROUND(F24/(1+'数据-取费表'!C42),4)</f>
        <v>2.9000000000000001E-2</v>
      </c>
      <c r="D24" s="287" t="s">
        <v>15</v>
      </c>
      <c r="E24" s="287"/>
      <c r="F24" s="925">
        <f>IF(项目基本情况!B8="出让",0,'数据-取费表'!B48+'数据-取费表'!B49)</f>
        <v>3.0499999999999999E-2</v>
      </c>
      <c r="G24" s="8" t="s">
        <v>2264</v>
      </c>
      <c r="H24" s="927"/>
      <c r="I24" s="927"/>
      <c r="J24" s="927"/>
      <c r="K24" s="928"/>
    </row>
    <row r="25" spans="1:33" s="912" customFormat="1" ht="13.5" customHeight="1">
      <c r="A25" s="898" t="s">
        <v>2265</v>
      </c>
      <c r="B25" s="924" t="s">
        <v>2266</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2267</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2268</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2269</v>
      </c>
      <c r="B28" s="2021" t="s">
        <v>2270</v>
      </c>
      <c r="C28" s="293">
        <f ca="1">C30</f>
        <v>46</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2271</v>
      </c>
      <c r="C29" s="290">
        <f ca="1">ROUND((1+C24)*F28*'数据-取费表'!B24/'数据-取费表'!B20,4)</f>
        <v>0</v>
      </c>
      <c r="D29" s="290"/>
      <c r="E29" s="291"/>
      <c r="F29" s="296"/>
      <c r="G29" s="136" t="s">
        <v>2272</v>
      </c>
      <c r="H29" s="916"/>
      <c r="I29" s="916"/>
      <c r="J29" s="916"/>
      <c r="K29" s="917"/>
    </row>
    <row r="30" spans="1:33" s="297" customFormat="1" ht="13.5" customHeight="1">
      <c r="A30" s="908" t="s">
        <v>804</v>
      </c>
      <c r="B30" s="931" t="s">
        <v>2273</v>
      </c>
      <c r="C30" s="298">
        <f ca="1">ROUND((C21+C22+C23)*F28,0)</f>
        <v>46</v>
      </c>
      <c r="D30" s="290"/>
      <c r="E30" s="291"/>
      <c r="F30" s="296"/>
      <c r="G30" s="136"/>
      <c r="H30" s="916"/>
      <c r="I30" s="916"/>
      <c r="J30" s="916"/>
      <c r="K30" s="917"/>
    </row>
    <row r="31" spans="1:33" s="912" customFormat="1" ht="13.5" customHeight="1" thickBot="1">
      <c r="A31" s="2022" t="s">
        <v>2274</v>
      </c>
      <c r="B31" s="942" t="s">
        <v>2275</v>
      </c>
      <c r="C31" s="943">
        <f>ROUND(C4*F31/(1+'数据-取费表'!C42),0)</f>
        <v>0</v>
      </c>
      <c r="D31" s="944"/>
      <c r="E31" s="945"/>
      <c r="F31" s="946">
        <f>'数据-取费表'!B41</f>
        <v>5.6000000000000001E-2</v>
      </c>
      <c r="G31" s="947" t="s">
        <v>2276</v>
      </c>
      <c r="H31" s="948"/>
      <c r="I31" s="948"/>
      <c r="J31" s="948"/>
      <c r="K31" s="949"/>
    </row>
    <row r="32" spans="1:33" s="907" customFormat="1" ht="13.5" customHeight="1" thickBot="1">
      <c r="A32" s="937" t="s">
        <v>2277</v>
      </c>
      <c r="B32" s="938"/>
      <c r="C32" s="939">
        <f ca="1">ROUND((C4-C21-C22-C23-C25-C28-C31)/(1+C24+D25+D28),0)</f>
        <v>-270</v>
      </c>
      <c r="D32" s="938"/>
      <c r="E32" s="938"/>
      <c r="F32" s="938"/>
      <c r="G32" s="940" t="s">
        <v>2278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115" zoomScaleNormal="70" zoomScaleSheetLayoutView="115" workbookViewId="0">
      <selection activeCell="K44" sqref="K44"/>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1283</v>
      </c>
      <c r="D1" s="1516" t="s">
        <v>70</v>
      </c>
      <c r="E1" s="1517" t="s">
        <v>1292</v>
      </c>
      <c r="F1" s="1193">
        <f ca="1">J53</f>
        <v>24.7</v>
      </c>
      <c r="G1" s="1532">
        <f>MATCH(C1,'数据-取费表'!A6:A16,0)+5</f>
        <v>6</v>
      </c>
      <c r="H1" s="2889"/>
      <c r="I1" s="2890"/>
      <c r="J1" s="2890"/>
      <c r="K1" s="2891"/>
      <c r="L1" s="2890"/>
      <c r="M1" s="289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77882</v>
      </c>
      <c r="C2" s="1541" t="s">
        <v>1421</v>
      </c>
      <c r="D2" s="1541"/>
      <c r="E2" s="1542"/>
      <c r="F2" s="1543"/>
      <c r="G2" s="2903"/>
      <c r="H2" s="2892"/>
      <c r="I2" s="2892"/>
      <c r="J2" s="2892"/>
      <c r="K2" s="2893"/>
      <c r="L2" s="2892"/>
      <c r="M2" s="2892"/>
    </row>
    <row r="3" spans="1:37" ht="18" customHeight="1" thickBot="1">
      <c r="A3" s="1544" t="s">
        <v>1422</v>
      </c>
      <c r="B3" s="1545">
        <f ca="1">IF(ISERROR(B2*10000/F43),0,ROUND(B2*10000/F43,0))</f>
        <v>68675</v>
      </c>
      <c r="C3" s="1541" t="s">
        <v>1423</v>
      </c>
      <c r="D3" s="1541"/>
      <c r="E3" s="1542"/>
      <c r="F3" s="1543"/>
      <c r="G3" s="2903"/>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5409</v>
      </c>
      <c r="D5" s="1518" t="s">
        <v>1307</v>
      </c>
      <c r="E5" s="1203"/>
      <c r="F5" s="1204"/>
      <c r="G5" s="1538"/>
      <c r="H5" s="305">
        <v>1</v>
      </c>
      <c r="I5" s="306" t="s">
        <v>1306</v>
      </c>
      <c r="J5" s="1202">
        <f ca="1">J6+J10+J12</f>
        <v>0</v>
      </c>
      <c r="K5" s="1518" t="s">
        <v>1307</v>
      </c>
      <c r="L5" s="1203"/>
      <c r="M5" s="1204"/>
    </row>
    <row r="6" spans="1:37" ht="18" customHeight="1">
      <c r="A6" s="1201" t="s">
        <v>1003</v>
      </c>
      <c r="B6" s="3407" t="s">
        <v>1308</v>
      </c>
      <c r="C6" s="1206">
        <f ca="1">ROUND(F6*F8*F7*(1-F9)/10000,0)</f>
        <v>5402</v>
      </c>
      <c r="D6" s="160" t="s">
        <v>2790</v>
      </c>
      <c r="E6" s="308" t="s">
        <v>1310</v>
      </c>
      <c r="F6" s="309">
        <f ca="1">INDIRECT("'数据-取费表'!u"&amp;$G$1)</f>
        <v>14.5</v>
      </c>
      <c r="G6" s="1538"/>
      <c r="H6" s="1201" t="s">
        <v>1003</v>
      </c>
      <c r="I6" s="3407" t="s">
        <v>1308</v>
      </c>
      <c r="J6" s="307">
        <f ca="1">ROUND(M6*M8*M7*(1-M9)/10000,0)</f>
        <v>0</v>
      </c>
      <c r="K6" s="160" t="s">
        <v>2789</v>
      </c>
      <c r="L6" s="308" t="s">
        <v>1310</v>
      </c>
      <c r="M6" s="309">
        <f ca="1">INDIRECT("'数据-取费表'!z"&amp;$G$1)</f>
        <v>0</v>
      </c>
    </row>
    <row r="7" spans="1:37" ht="18" customHeight="1">
      <c r="A7" s="1205"/>
      <c r="B7" s="3408"/>
      <c r="C7" s="1207"/>
      <c r="D7" s="313"/>
      <c r="E7" s="1208" t="s">
        <v>1311</v>
      </c>
      <c r="F7" s="309">
        <f ca="1">IF(INDIRECT("'数据-取费表'!ah"&amp;$G$1)="",INDIRECT("'数据-取费表'!k"&amp;$G$1),INDIRECT("'数据-取费表'!ah"&amp;$G$1))</f>
        <v>11340.73</v>
      </c>
      <c r="G7" s="1538"/>
      <c r="H7" s="310"/>
      <c r="I7" s="3408"/>
      <c r="J7" s="312"/>
      <c r="K7" s="313"/>
      <c r="L7" s="308" t="s">
        <v>1311</v>
      </c>
      <c r="M7" s="309">
        <f ca="1">F7</f>
        <v>11340.73</v>
      </c>
    </row>
    <row r="8" spans="1:37" ht="18" customHeight="1">
      <c r="A8" s="310"/>
      <c r="B8" s="3408"/>
      <c r="C8" s="312"/>
      <c r="D8" s="313"/>
      <c r="E8" s="308" t="s">
        <v>1312</v>
      </c>
      <c r="F8" s="309">
        <f ca="1">INDIRECT("'数据-取费表'!ai"&amp;$G$1)</f>
        <v>365</v>
      </c>
      <c r="G8" s="1538"/>
      <c r="H8" s="310"/>
      <c r="I8" s="3408"/>
      <c r="J8" s="312"/>
      <c r="K8" s="313"/>
      <c r="L8" s="308" t="s">
        <v>1312</v>
      </c>
      <c r="M8" s="309">
        <f ca="1">INDIRECT("'数据-取费表'!ai"&amp;$G$1)</f>
        <v>365</v>
      </c>
    </row>
    <row r="9" spans="1:37" ht="18" customHeight="1">
      <c r="A9" s="310"/>
      <c r="B9" s="3409"/>
      <c r="C9" s="312"/>
      <c r="D9" s="313"/>
      <c r="E9" s="308" t="s">
        <v>1313</v>
      </c>
      <c r="F9" s="318">
        <f ca="1">INDIRECT("'数据-取费表'!w"&amp;$G$1)</f>
        <v>0.1</v>
      </c>
      <c r="G9" s="1538"/>
      <c r="H9" s="310"/>
      <c r="I9" s="3409"/>
      <c r="J9" s="312"/>
      <c r="K9" s="313"/>
      <c r="L9" s="319" t="s">
        <v>1313</v>
      </c>
      <c r="M9" s="320">
        <f ca="1">INDIRECT("'数据-取费表'!ab"&amp;$G$1)</f>
        <v>0</v>
      </c>
    </row>
    <row r="10" spans="1:37" ht="18" customHeight="1">
      <c r="A10" s="1201" t="s">
        <v>1007</v>
      </c>
      <c r="B10" s="1519" t="s">
        <v>1314</v>
      </c>
      <c r="C10" s="322">
        <f ca="1">ROUND(IF(F10="押一",C6/12*F11,IF(F10="押二",C6/12*2*F11,IF(F10="押三",C6/12*3*F11,C11*F11))),0)</f>
        <v>7</v>
      </c>
      <c r="D10" s="1520" t="s">
        <v>2798</v>
      </c>
      <c r="E10" s="319" t="s">
        <v>1315</v>
      </c>
      <c r="F10" s="1248" t="s">
        <v>3168</v>
      </c>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5627</v>
      </c>
      <c r="D13" s="1213" t="s">
        <v>1320</v>
      </c>
      <c r="E13" s="1213" t="s">
        <v>1321</v>
      </c>
      <c r="F13" s="1214">
        <f ca="1">INDIRECT("'数据-取费表'!y"&amp;$G$1)</f>
        <v>0.81699999999999995</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4536</v>
      </c>
      <c r="D14" s="1499" t="s">
        <v>1323</v>
      </c>
      <c r="E14" s="1496"/>
      <c r="F14" s="325"/>
      <c r="G14" s="1538"/>
      <c r="H14" s="1113" t="s">
        <v>1003</v>
      </c>
      <c r="I14" s="308" t="s">
        <v>1324</v>
      </c>
      <c r="J14" s="24">
        <f ca="1">C29</f>
        <v>6887</v>
      </c>
      <c r="K14" s="15"/>
      <c r="L14" s="916"/>
      <c r="M14" s="917"/>
    </row>
    <row r="15" spans="1:37" s="1551" customFormat="1" ht="18" customHeight="1" thickBot="1">
      <c r="A15" s="1113" t="s">
        <v>1004</v>
      </c>
      <c r="B15" s="308" t="s">
        <v>1325</v>
      </c>
      <c r="C15" s="24">
        <f ca="1">ROUND(C14*F15,0)</f>
        <v>181</v>
      </c>
      <c r="D15" s="326" t="s">
        <v>1326</v>
      </c>
      <c r="E15" s="326" t="s">
        <v>1327</v>
      </c>
      <c r="F15" s="327">
        <f>'数据-取费表'!B33</f>
        <v>0.04</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165</v>
      </c>
      <c r="K16" s="1219" t="s">
        <v>1330</v>
      </c>
      <c r="L16" s="1220"/>
      <c r="M16" s="1204"/>
    </row>
    <row r="17" spans="1:37" s="1551" customFormat="1" ht="18" customHeight="1">
      <c r="A17" s="1113" t="s">
        <v>1295</v>
      </c>
      <c r="B17" s="308" t="s">
        <v>1331</v>
      </c>
      <c r="C17" s="24">
        <f ca="1">ROUND(F17*(F43+INDIRECT("'数据-取费表'!S"&amp;$G$1))/10000,0)</f>
        <v>227</v>
      </c>
      <c r="D17" s="308" t="s">
        <v>1332</v>
      </c>
      <c r="E17" s="308" t="s">
        <v>1333</v>
      </c>
      <c r="F17" s="26">
        <f>'数据-取费表'!B35</f>
        <v>200</v>
      </c>
      <c r="G17" s="1550"/>
      <c r="H17" s="1113" t="s">
        <v>1003</v>
      </c>
      <c r="I17" s="308" t="s">
        <v>1334</v>
      </c>
      <c r="J17" s="2504">
        <f ca="1">ROUND(IF(AND(项目基本情况!B11="自然人",项目基本情况!B10="北京市"),J6*M17/(1+'数据-取费表'!C42),J18+J19+J20),0)</f>
        <v>62</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68</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5012</v>
      </c>
      <c r="D19" s="136" t="s">
        <v>1341</v>
      </c>
      <c r="E19" s="1514"/>
      <c r="F19" s="26"/>
      <c r="G19" s="1538"/>
      <c r="H19" s="1113" t="s">
        <v>1004</v>
      </c>
      <c r="I19" s="308" t="s">
        <v>1342</v>
      </c>
      <c r="J19" s="24">
        <f ca="1">IF(K19="按租金收入计税",ROUND(J6*M19/(1+'数据-取费表'!C42),2),ROUND(C29*M19*0.7,2))</f>
        <v>57.85</v>
      </c>
      <c r="K19" s="1524" t="s">
        <v>1343</v>
      </c>
      <c r="L19" s="308" t="s">
        <v>1327</v>
      </c>
      <c r="M19" s="328">
        <f>IF(K19="按租金收入计税",'数据-取费表'!B51,'数据-取费表'!B50)</f>
        <v>1.2E-2</v>
      </c>
    </row>
    <row r="20" spans="1:37" s="1551" customFormat="1" ht="18" customHeight="1">
      <c r="A20" s="1113" t="s">
        <v>1007</v>
      </c>
      <c r="B20" s="308" t="s">
        <v>1344</v>
      </c>
      <c r="C20" s="24">
        <f ca="1">ROUND(C19*F20,0)</f>
        <v>100</v>
      </c>
      <c r="D20" s="329" t="s">
        <v>1345</v>
      </c>
      <c r="E20" s="308" t="s">
        <v>1327</v>
      </c>
      <c r="F20" s="328">
        <f>'数据-取费表'!B37</f>
        <v>0.02</v>
      </c>
      <c r="G20" s="1550"/>
      <c r="H20" s="1113" t="s">
        <v>1294</v>
      </c>
      <c r="I20" s="160" t="s">
        <v>1346</v>
      </c>
      <c r="J20" s="25">
        <f ca="1">ROUND(M20*M21/10000,2)</f>
        <v>4.18</v>
      </c>
      <c r="K20" s="330" t="s">
        <v>1347</v>
      </c>
      <c r="L20" s="308" t="s">
        <v>1348</v>
      </c>
      <c r="M20" s="331">
        <f>'数据-取费表'!B52</f>
        <v>24</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1741.52</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103.3</v>
      </c>
      <c r="K22" s="1498" t="s">
        <v>1355</v>
      </c>
      <c r="L22" s="308" t="s">
        <v>1327</v>
      </c>
      <c r="M22" s="334">
        <f ca="1">INDIRECT("'数据-取费表'!Ak"&amp;$G$1)</f>
        <v>1.4999999999999999E-2</v>
      </c>
    </row>
    <row r="23" spans="1:37" s="1551" customFormat="1" ht="18" customHeight="1">
      <c r="A23" s="1113" t="s">
        <v>1002</v>
      </c>
      <c r="B23" s="308" t="s">
        <v>1356</v>
      </c>
      <c r="C23" s="24">
        <f ca="1">IF('数据-取费表'!B22&lt;=1,ROUND(C19*F24*F23/2,0)+ROUND(C20*F24*F23/2,0),ROUND(C19*(POWER((1+F24),F23/2)-1),0)+ROUND(C20*(POWER((1+F24),F23/2)-1),0))</f>
        <v>215</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ROUND(J13*M23,1)</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-165</v>
      </c>
      <c r="K25" s="1227" t="s">
        <v>1369</v>
      </c>
      <c r="L25" s="1228"/>
      <c r="M25" s="1229"/>
    </row>
    <row r="26" spans="1:37">
      <c r="A26" s="1113" t="s">
        <v>1002</v>
      </c>
      <c r="B26" s="308" t="s">
        <v>1370</v>
      </c>
      <c r="C26" s="24">
        <f ca="1">ROUND((C19+C20)*F26,0)</f>
        <v>1022</v>
      </c>
      <c r="D26" s="329" t="s">
        <v>1371</v>
      </c>
      <c r="E26" s="319" t="s">
        <v>1372</v>
      </c>
      <c r="F26" s="318">
        <f ca="1">INDIRECT("'数据-取费表'!q"&amp;$G$1)</f>
        <v>0.2</v>
      </c>
      <c r="G26" s="1538"/>
      <c r="H26" s="305" t="s">
        <v>1000</v>
      </c>
      <c r="I26" s="306" t="s">
        <v>1373</v>
      </c>
      <c r="J26" s="307">
        <f ca="1">IF(J5&lt;&gt;0,ROUND(J25*(1-((1+M28)/(1+M26))^M27)/(M26-M28),0),0)</f>
        <v>0</v>
      </c>
      <c r="K26" s="330" t="s">
        <v>1374</v>
      </c>
      <c r="L26" s="308" t="s">
        <v>1375</v>
      </c>
      <c r="M26" s="318">
        <f ca="1">INDIRECT("'数据-取费表'!I"&amp;$G$1)</f>
        <v>5.5E-2</v>
      </c>
    </row>
    <row r="27" spans="1:37" ht="18" customHeight="1">
      <c r="A27" s="1113" t="s">
        <v>1004</v>
      </c>
      <c r="B27" s="308" t="s">
        <v>1376</v>
      </c>
      <c r="C27" s="24">
        <f ca="1">ROUND(F21*F26,4)</f>
        <v>4.0000000000000001E-3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6887</v>
      </c>
      <c r="D29" s="1224"/>
      <c r="E29" s="1222"/>
      <c r="F29" s="1225"/>
      <c r="G29" s="1550"/>
      <c r="H29" s="340" t="s">
        <v>1001</v>
      </c>
      <c r="I29" s="341" t="s">
        <v>1384</v>
      </c>
      <c r="J29" s="342">
        <f ca="1">ROUND(J26/(1+F40)^F41,0)</f>
        <v>0</v>
      </c>
      <c r="K29" s="343" t="s">
        <v>1385</v>
      </c>
      <c r="L29" s="344"/>
      <c r="M29" s="345">
        <f ca="1">INDIRECT("'数据-取费表'!k"&amp;$G$1)</f>
        <v>11340.73</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1076</v>
      </c>
      <c r="D30" s="1219" t="s">
        <v>1330</v>
      </c>
      <c r="E30" s="1220"/>
      <c r="F30" s="1204"/>
      <c r="G30" s="1538"/>
      <c r="H30" s="2894"/>
      <c r="I30" s="1552"/>
      <c r="J30" s="1553"/>
      <c r="K30" s="2669"/>
      <c r="L30" s="2895"/>
      <c r="M30" s="2896"/>
    </row>
    <row r="31" spans="1:37" ht="18" customHeight="1">
      <c r="A31" s="1113" t="s">
        <v>1003</v>
      </c>
      <c r="B31" s="308" t="s">
        <v>1334</v>
      </c>
      <c r="C31" s="2504">
        <f ca="1">ROUND(IF(AND(项目基本情况!B11="自然人",项目基本情况!B10="北京市"),C6*F31/(1+'数据-取费表'!C42),C32+C33+C34),0)</f>
        <v>910</v>
      </c>
      <c r="D31" s="1499" t="s">
        <v>1335</v>
      </c>
      <c r="E31" s="1498" t="s">
        <v>1386</v>
      </c>
      <c r="F31" s="2503" t="str">
        <f>IF(项目基本情况!B11="企业","——",IF('数据-取费表'!B10="住宅",IF(F6*F7*F8/12/(1+'数据-取费表'!F30)&gt;100000,4%,2.5%),IF(F6*F7*F8/12/(1+'数据-取费表'!F30)&gt;100000,12%,7%)))</f>
        <v>——</v>
      </c>
      <c r="G31" s="1538"/>
      <c r="H31" s="3007" t="s">
        <v>2997</v>
      </c>
      <c r="I31" s="1552"/>
      <c r="J31" s="1553"/>
      <c r="K31" s="2669"/>
      <c r="L31" s="2895"/>
      <c r="M31" s="2896"/>
    </row>
    <row r="32" spans="1:37" ht="18" customHeight="1">
      <c r="A32" s="1113" t="s">
        <v>1002</v>
      </c>
      <c r="B32" s="308" t="s">
        <v>1338</v>
      </c>
      <c r="C32" s="24">
        <f ca="1">IF(项目基本情况!B11="自然人","——",ROUND(C6*F32/(1+'数据-取费表'!C42),2))</f>
        <v>288.11</v>
      </c>
      <c r="D32" s="1498" t="s">
        <v>1339</v>
      </c>
      <c r="E32" s="308" t="s">
        <v>1327</v>
      </c>
      <c r="F32" s="337">
        <f>'数据-取费表'!B41</f>
        <v>5.6000000000000001E-2</v>
      </c>
      <c r="G32" s="1538"/>
      <c r="H32" s="2894"/>
      <c r="I32" s="1552"/>
      <c r="J32" s="1553"/>
      <c r="K32" s="2669"/>
      <c r="L32" s="2895"/>
      <c r="M32" s="2896"/>
    </row>
    <row r="33" spans="1:18" ht="18" customHeight="1">
      <c r="A33" s="1113" t="s">
        <v>1004</v>
      </c>
      <c r="B33" s="308" t="s">
        <v>1342</v>
      </c>
      <c r="C33" s="24">
        <f ca="1">IF(项目基本情况!B11="自然人","——",IF(D33="按租金收入计税",ROUND(C6*F33/(1+'数据-取费表'!C42),2),IF(D33="按房产原值计税",ROUND(C29*F33*0.7,2),INDIRECT("'数据-取费表'!Aj"&amp;$G$1))))</f>
        <v>617.37</v>
      </c>
      <c r="D33" s="1524" t="s">
        <v>3169</v>
      </c>
      <c r="E33" s="308" t="s">
        <v>1327</v>
      </c>
      <c r="F33" s="328">
        <f>IF(D33="按票据","——",IF(D33="按租金收入计税",'数据-取费表'!B51,'数据-取费表'!B50))</f>
        <v>0.12</v>
      </c>
      <c r="G33" s="1538"/>
      <c r="H33" s="2897"/>
      <c r="I33" s="1552"/>
      <c r="J33" s="1553"/>
      <c r="K33" s="2898"/>
      <c r="L33" s="2897"/>
      <c r="M33" s="2897"/>
    </row>
    <row r="34" spans="1:18" ht="18" customHeight="1">
      <c r="A34" s="1201" t="s">
        <v>1294</v>
      </c>
      <c r="B34" s="160" t="s">
        <v>1346</v>
      </c>
      <c r="C34" s="25">
        <f ca="1">IF(项目基本情况!B11="自然人","——",ROUND(F34*F35/10000,2))</f>
        <v>4.18</v>
      </c>
      <c r="D34" s="330" t="s">
        <v>1347</v>
      </c>
      <c r="E34" s="308" t="s">
        <v>1348</v>
      </c>
      <c r="F34" s="331">
        <f>'数据-取费表'!B52</f>
        <v>24</v>
      </c>
      <c r="G34" s="1538"/>
      <c r="H34" s="2894"/>
      <c r="I34" s="1552"/>
      <c r="J34" s="1553"/>
      <c r="K34" s="2899"/>
      <c r="L34" s="2900"/>
      <c r="M34" s="2900"/>
    </row>
    <row r="35" spans="1:18" ht="18" customHeight="1">
      <c r="A35" s="1235"/>
      <c r="B35" s="1233"/>
      <c r="C35" s="29"/>
      <c r="D35" s="333"/>
      <c r="E35" s="308" t="s">
        <v>1352</v>
      </c>
      <c r="F35" s="309">
        <f ca="1">INDIRECT("'数据-取费表'!r"&amp;$G$1)</f>
        <v>1741.52</v>
      </c>
      <c r="G35" s="1538"/>
      <c r="H35" s="2894"/>
      <c r="I35" s="1552"/>
      <c r="J35" s="1553"/>
      <c r="K35" s="2898"/>
      <c r="L35" s="2897"/>
      <c r="M35" s="2897"/>
    </row>
    <row r="36" spans="1:18" ht="18" customHeight="1">
      <c r="A36" s="1234" t="s">
        <v>1007</v>
      </c>
      <c r="B36" s="308" t="s">
        <v>1354</v>
      </c>
      <c r="C36" s="24">
        <f ca="1">ROUND(C29*F36,1)</f>
        <v>103.3</v>
      </c>
      <c r="D36" s="1498" t="s">
        <v>1387</v>
      </c>
      <c r="E36" s="308" t="s">
        <v>1327</v>
      </c>
      <c r="F36" s="334">
        <f ca="1">INDIRECT("'数据-取费表'!Ak"&amp;$G$1)</f>
        <v>1.4999999999999999E-2</v>
      </c>
      <c r="G36" s="1538"/>
      <c r="H36" s="2897"/>
      <c r="I36" s="1552"/>
      <c r="J36" s="1553"/>
      <c r="K36" s="2738"/>
      <c r="L36" s="2897"/>
      <c r="M36" s="2897"/>
    </row>
    <row r="37" spans="1:18" ht="18" customHeight="1">
      <c r="A37" s="1113" t="s">
        <v>1043</v>
      </c>
      <c r="B37" s="308" t="s">
        <v>1358</v>
      </c>
      <c r="C37" s="24">
        <f ca="1">ROUND(C13*F37,1)</f>
        <v>8.4</v>
      </c>
      <c r="D37" s="1498" t="s">
        <v>1359</v>
      </c>
      <c r="E37" s="308" t="s">
        <v>1360</v>
      </c>
      <c r="F37" s="336">
        <f ca="1">INDIRECT("'数据-取费表'!Al"&amp;$G$1)</f>
        <v>1.5E-3</v>
      </c>
      <c r="G37" s="1538"/>
      <c r="H37" s="2897"/>
      <c r="I37" s="1552"/>
      <c r="J37" s="1553"/>
      <c r="K37" s="2738"/>
      <c r="L37" s="2897"/>
      <c r="M37" s="2897"/>
    </row>
    <row r="38" spans="1:18" ht="18" customHeight="1" thickBot="1">
      <c r="A38" s="1221" t="s">
        <v>1298</v>
      </c>
      <c r="B38" s="1222" t="s">
        <v>1344</v>
      </c>
      <c r="C38" s="1223">
        <f ca="1">ROUND(C5*F38,1)</f>
        <v>54.1</v>
      </c>
      <c r="D38" s="1224" t="s">
        <v>1364</v>
      </c>
      <c r="E38" s="1222" t="s">
        <v>1360</v>
      </c>
      <c r="F38" s="1218">
        <f ca="1">INDIRECT("'数据-取费表'!Am"&amp;$G$1)</f>
        <v>0.01</v>
      </c>
      <c r="G38" s="1538"/>
      <c r="H38" s="2897"/>
      <c r="I38" s="1552"/>
      <c r="J38" s="1553"/>
      <c r="K38" s="2901"/>
      <c r="L38" s="2897"/>
      <c r="M38" s="2897"/>
    </row>
    <row r="39" spans="1:18" ht="24.6" customHeight="1" thickTop="1">
      <c r="A39" s="1211" t="s">
        <v>999</v>
      </c>
      <c r="B39" s="1226" t="s">
        <v>1388</v>
      </c>
      <c r="C39" s="316">
        <f ca="1">C5-C30</f>
        <v>4333</v>
      </c>
      <c r="D39" s="1227" t="s">
        <v>1389</v>
      </c>
      <c r="E39" s="1228"/>
      <c r="F39" s="1229"/>
      <c r="G39" s="1538"/>
      <c r="H39" s="2897"/>
      <c r="I39" s="1552"/>
      <c r="J39" s="1553"/>
      <c r="K39" s="2901"/>
      <c r="L39" s="2897"/>
      <c r="M39" s="2897"/>
    </row>
    <row r="40" spans="1:18" ht="18" customHeight="1">
      <c r="A40" s="305" t="s">
        <v>1000</v>
      </c>
      <c r="B40" s="306" t="s">
        <v>1390</v>
      </c>
      <c r="C40" s="307">
        <f ca="1">ROUND(C39*(1-((1+F42)/(1+F40))^F41)/(F40-F42),0)</f>
        <v>77470</v>
      </c>
      <c r="D40" s="330" t="s">
        <v>1374</v>
      </c>
      <c r="E40" s="308" t="s">
        <v>1375</v>
      </c>
      <c r="F40" s="318">
        <f ca="1">INDIRECT("'数据-取费表'!I"&amp;$G$1)</f>
        <v>5.5E-2</v>
      </c>
      <c r="G40" s="1538"/>
      <c r="H40" s="1615"/>
      <c r="I40" s="1552"/>
      <c r="J40" s="1553"/>
      <c r="K40" s="2901"/>
      <c r="L40" s="1615"/>
      <c r="M40" s="1615"/>
    </row>
    <row r="41" spans="1:18" ht="18" customHeight="1">
      <c r="A41" s="310"/>
      <c r="B41" s="311"/>
      <c r="C41" s="312"/>
      <c r="D41" s="338" t="s">
        <v>1391</v>
      </c>
      <c r="E41" s="308" t="s">
        <v>1379</v>
      </c>
      <c r="F41" s="339">
        <f ca="1">IF(INDIRECT("'数据-取费表'!af"&amp;$G$1)=0,INDIRECT("'数据-取费表'!ae"&amp;$G$1),INDIRECT("'数据-取费表'!af"&amp;$G$1))</f>
        <v>24.7</v>
      </c>
      <c r="G41" s="1538"/>
      <c r="H41" s="1325"/>
      <c r="I41" s="1552"/>
      <c r="J41" s="1553"/>
      <c r="K41" s="2738"/>
      <c r="L41" s="1325"/>
      <c r="M41" s="1325"/>
    </row>
    <row r="42" spans="1:18" ht="18" customHeight="1">
      <c r="A42" s="314"/>
      <c r="B42" s="315"/>
      <c r="C42" s="316"/>
      <c r="D42" s="333"/>
      <c r="E42" s="308" t="s">
        <v>1382</v>
      </c>
      <c r="F42" s="318">
        <f ca="1">INDIRECT("'数据-取费表'!v"&amp;$G$1)</f>
        <v>0.03</v>
      </c>
      <c r="G42" s="1538"/>
      <c r="H42" s="1325"/>
      <c r="I42" s="1552"/>
      <c r="J42" s="1553"/>
      <c r="K42" s="2738"/>
      <c r="L42" s="1325"/>
      <c r="M42" s="1325"/>
    </row>
    <row r="43" spans="1:18" ht="18" customHeight="1" thickBot="1">
      <c r="A43" s="340" t="s">
        <v>1001</v>
      </c>
      <c r="B43" s="341" t="s">
        <v>1392</v>
      </c>
      <c r="C43" s="342">
        <f ca="1">ROUND(C40*10000/F43,0)</f>
        <v>68311</v>
      </c>
      <c r="D43" s="343" t="s">
        <v>1393</v>
      </c>
      <c r="E43" s="344" t="s">
        <v>1394</v>
      </c>
      <c r="F43" s="345">
        <f ca="1">INDIRECT("'数据-取费表'!k"&amp;$G$1)</f>
        <v>11340.73</v>
      </c>
      <c r="G43" s="1538"/>
      <c r="H43" s="1325"/>
      <c r="I43" s="1325"/>
      <c r="J43" s="1325"/>
      <c r="K43" s="2738"/>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2" t="s">
        <v>1424</v>
      </c>
      <c r="P45" s="1615"/>
      <c r="Q45" s="1615"/>
      <c r="R45" s="1615"/>
    </row>
    <row r="46" spans="1:18" s="1538" customFormat="1" ht="13.5" thickBot="1">
      <c r="A46" s="1558" t="s">
        <v>1425</v>
      </c>
      <c r="C46" s="1559">
        <f ca="1">C68-C40</f>
        <v>-86739</v>
      </c>
      <c r="D46" s="1560" t="str">
        <f>C2</f>
        <v>万元</v>
      </c>
      <c r="E46" s="1554"/>
      <c r="F46" s="1554"/>
      <c r="I46" s="1561" t="s">
        <v>1426</v>
      </c>
      <c r="J46" s="1562"/>
      <c r="K46" s="1563"/>
      <c r="L46" s="1564">
        <f ca="1">IF(M47="住宅",0,IF(L48&gt;J51,L60,J60))</f>
        <v>412</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3170</v>
      </c>
      <c r="K47" s="1570" t="s">
        <v>1432</v>
      </c>
      <c r="L47" s="1571">
        <f ca="1">INDIRECT("'数据-取费表'!d"&amp;$G$1)</f>
        <v>40</v>
      </c>
      <c r="M47" s="1534" t="str">
        <f>IF(ISNUMBER(FIND("住宅",C1)),"住宅","非住宅")</f>
        <v>非住宅</v>
      </c>
      <c r="O47" s="1572" t="s">
        <v>1008</v>
      </c>
      <c r="P47" s="1573" t="s">
        <v>1433</v>
      </c>
      <c r="Q47" s="1574">
        <f ca="1">C40+J29</f>
        <v>77470</v>
      </c>
      <c r="R47" s="1574" t="s">
        <v>1434</v>
      </c>
    </row>
    <row r="48" spans="1:18" s="1538" customFormat="1" ht="28.5" thickBot="1">
      <c r="A48" s="1242" t="s">
        <v>1044</v>
      </c>
      <c r="B48" s="306" t="s">
        <v>1306</v>
      </c>
      <c r="C48" s="1513">
        <f ca="1">C49+C53+C55</f>
        <v>0</v>
      </c>
      <c r="D48" s="1244"/>
      <c r="E48" s="1245"/>
      <c r="F48" s="1093"/>
      <c r="G48" s="731"/>
      <c r="H48" s="732"/>
      <c r="I48" s="1575" t="s">
        <v>1435</v>
      </c>
      <c r="J48" s="1576" t="s">
        <v>3171</v>
      </c>
      <c r="K48" s="1577" t="s">
        <v>1436</v>
      </c>
      <c r="L48" s="1578">
        <f ca="1">INDIRECT("'数据-取费表'!f"&amp;$G$1)</f>
        <v>24.7</v>
      </c>
      <c r="O48" s="1572" t="s">
        <v>1009</v>
      </c>
      <c r="P48" s="1573" t="s">
        <v>1437</v>
      </c>
      <c r="Q48" s="1574">
        <f ca="1">J60</f>
        <v>412</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2009</v>
      </c>
      <c r="K49" s="1577" t="s">
        <v>1440</v>
      </c>
      <c r="L49" s="1581"/>
      <c r="O49" s="1582" t="s">
        <v>1010</v>
      </c>
      <c r="P49" s="1573" t="s">
        <v>1441</v>
      </c>
      <c r="Q49" s="1574">
        <f ca="1">C29</f>
        <v>6887</v>
      </c>
      <c r="R49" s="1574" t="s">
        <v>1434</v>
      </c>
    </row>
    <row r="50" spans="1:18" s="1538" customFormat="1" ht="13.5" thickBot="1">
      <c r="A50" s="1107"/>
      <c r="B50" s="1110"/>
      <c r="C50" s="1250"/>
      <c r="D50" s="1084"/>
      <c r="E50" s="1187" t="s">
        <v>1311</v>
      </c>
      <c r="F50" s="1188">
        <f ca="1">F7</f>
        <v>11340.73</v>
      </c>
      <c r="H50" s="732"/>
      <c r="I50" s="1575" t="s">
        <v>1442</v>
      </c>
      <c r="J50" s="1583">
        <f>SUMPRODUCT((I63:I65=J47)*(J62:L62=J48)*(J63:L65))</f>
        <v>60</v>
      </c>
      <c r="K50" s="1577" t="s">
        <v>1443</v>
      </c>
      <c r="L50" s="1581"/>
      <c r="M50" s="1584"/>
      <c r="O50" s="1582" t="s">
        <v>1011</v>
      </c>
      <c r="P50" s="1573" t="s">
        <v>1444</v>
      </c>
      <c r="Q50" s="1585">
        <f ca="1">J58</f>
        <v>0.4</v>
      </c>
      <c r="R50" s="1574"/>
    </row>
    <row r="51" spans="1:18" s="1538" customFormat="1" ht="13.5" thickBot="1">
      <c r="A51" s="1108"/>
      <c r="B51" s="1110"/>
      <c r="C51" s="1111"/>
      <c r="D51" s="1084"/>
      <c r="E51" s="1112" t="s">
        <v>1312</v>
      </c>
      <c r="F51" s="309">
        <f ca="1">F8</f>
        <v>365</v>
      </c>
      <c r="I51" s="1586" t="s">
        <v>1445</v>
      </c>
      <c r="J51" s="1587">
        <f>IF(J49="",J50,J49+J50-YEAR('数据-取费表'!B2))</f>
        <v>47</v>
      </c>
      <c r="K51" s="1588" t="s">
        <v>1446</v>
      </c>
      <c r="L51" s="1589">
        <f ca="1">ROUND(-PV(INDIRECT("'数据-取费表'!h"&amp;$G$1),J51,(C39-C13*C76),0),0)</f>
        <v>69817</v>
      </c>
      <c r="M51" s="1590"/>
      <c r="O51" s="1582" t="s">
        <v>1012</v>
      </c>
      <c r="P51" s="1573" t="s">
        <v>1447</v>
      </c>
      <c r="Q51" s="1585">
        <f>J52</f>
        <v>0.08</v>
      </c>
      <c r="R51" s="1574"/>
    </row>
    <row r="52" spans="1:18" s="1538" customFormat="1" ht="13.5" thickBot="1">
      <c r="A52" s="1108"/>
      <c r="B52" s="1110"/>
      <c r="C52" s="1111"/>
      <c r="D52" s="1084"/>
      <c r="E52" s="1112" t="s">
        <v>1313</v>
      </c>
      <c r="F52" s="1185"/>
      <c r="I52" s="1591" t="s">
        <v>1448</v>
      </c>
      <c r="J52" s="1592">
        <v>0.08</v>
      </c>
      <c r="K52" s="1591" t="s">
        <v>1449</v>
      </c>
      <c r="L52" s="1592"/>
      <c r="O52" s="1582" t="s">
        <v>1013</v>
      </c>
      <c r="P52" s="1573" t="s">
        <v>1450</v>
      </c>
      <c r="Q52" s="1574">
        <f ca="1">J53</f>
        <v>24.7</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6">
        <f ca="1">IF(M47="住宅",IF(D1="——",MAX(J51,L48),MAX(J51,L48-'数据-取费表'!B24)),IF(D1="——",MIN(J51,L48),MIN(J51,L48-'数据-取费表'!B24)))</f>
        <v>24.7</v>
      </c>
      <c r="K53" s="3405" t="s">
        <v>1453</v>
      </c>
      <c r="L53" s="3406"/>
      <c r="O53" s="1572" t="s">
        <v>1014</v>
      </c>
      <c r="P53" s="1573" t="s">
        <v>1454</v>
      </c>
      <c r="Q53" s="1574">
        <f ca="1">Q47+Q48</f>
        <v>77882</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f ca="1">ROUND(IF(J47="钢混",J57/J50,1-(1-2%)*(J50-J57)/J50),3)</f>
        <v>0.372</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5627</v>
      </c>
      <c r="D56" s="1601"/>
      <c r="E56" s="1602"/>
      <c r="F56" s="1594"/>
      <c r="I56" s="1603" t="s">
        <v>1459</v>
      </c>
      <c r="J56" s="1604" t="s">
        <v>3141</v>
      </c>
      <c r="K56" s="1575" t="s">
        <v>1460</v>
      </c>
      <c r="L56" s="1578" t="str">
        <f ca="1">IF(L48&lt;J51,"——",L48-J53)</f>
        <v>——</v>
      </c>
      <c r="O56" s="1572" t="s">
        <v>1008</v>
      </c>
      <c r="P56" s="1573" t="s">
        <v>1433</v>
      </c>
      <c r="Q56" s="1574">
        <f ca="1">C40+J29</f>
        <v>77470</v>
      </c>
      <c r="R56" s="1574" t="s">
        <v>1434</v>
      </c>
    </row>
    <row r="57" spans="1:18" s="1538" customFormat="1" ht="24.75" thickBot="1">
      <c r="A57" s="1605"/>
      <c r="B57" s="1081" t="s">
        <v>1383</v>
      </c>
      <c r="C57" s="244">
        <f ca="1">C29</f>
        <v>6887</v>
      </c>
      <c r="D57" s="1606"/>
      <c r="E57" s="1607"/>
      <c r="F57" s="1608"/>
      <c r="I57" s="1609" t="s">
        <v>1461</v>
      </c>
      <c r="J57" s="1610">
        <f ca="1">IF(OR(M47="住宅",J51&lt;L48,J56="是"),"——",J51-L48)</f>
        <v>22.3</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695</v>
      </c>
      <c r="D58" s="1091" t="s">
        <v>1330</v>
      </c>
      <c r="E58" s="1092"/>
      <c r="F58" s="1093"/>
      <c r="I58" s="1609" t="s">
        <v>1465</v>
      </c>
      <c r="J58" s="1611">
        <f ca="1">IF(J55&lt;0.4,0.4,J55)</f>
        <v>0.4</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583</v>
      </c>
      <c r="D59" s="1094" t="s">
        <v>1335</v>
      </c>
      <c r="E59" s="1095" t="s">
        <v>1336</v>
      </c>
      <c r="F59" s="2503" t="str">
        <f>IF(项目基本情况!B11="企业","——",IF('数据-取费表'!B10="住宅",IF(F49*F50*F51/12/(1+'数据-取费表'!F30)&gt;100000,4%,2.5%),IF(F49*F50*F51/12/(1+'数据-取费表'!F30)&gt;100000,12%,7%)))</f>
        <v>——</v>
      </c>
      <c r="I59" s="1609" t="s">
        <v>1468</v>
      </c>
      <c r="J59" s="1610">
        <f ca="1">IF(OR(M47="住宅",J51&lt;L48,J56="是"),"——",ROUND(C29*J58,0))</f>
        <v>2755</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5.6000000000000001E-2</v>
      </c>
      <c r="I60" s="1612" t="s">
        <v>1470</v>
      </c>
      <c r="J60" s="1613">
        <f ca="1">IF(OR(M47="住宅",J51&lt;L48,J56="是"),"0",ROUND(J59/(1+J52)^J53,0))</f>
        <v>412</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578.51</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IF(项目基本情况!B11="自然人","——",ROUND(F62*F63/10000,2))</f>
        <v>4.18</v>
      </c>
      <c r="D62" s="1096" t="s">
        <v>1402</v>
      </c>
      <c r="E62" s="1081" t="s">
        <v>1403</v>
      </c>
      <c r="F62" s="331">
        <f t="shared" si="0"/>
        <v>24</v>
      </c>
      <c r="I62" s="1616" t="s">
        <v>1475</v>
      </c>
      <c r="J62" s="1617" t="s">
        <v>1476</v>
      </c>
      <c r="K62" s="1617" t="s">
        <v>1477</v>
      </c>
      <c r="L62" s="1617" t="s">
        <v>1478</v>
      </c>
      <c r="M62" s="1618" t="s">
        <v>1479</v>
      </c>
      <c r="O62" s="1572" t="s">
        <v>1014</v>
      </c>
      <c r="P62" s="1573" t="s">
        <v>1480</v>
      </c>
      <c r="Q62" s="1574">
        <f ca="1">Q56+Q57</f>
        <v>77470</v>
      </c>
      <c r="R62" s="1574" t="s">
        <v>1015</v>
      </c>
    </row>
    <row r="63" spans="1:18" s="1538" customFormat="1" ht="13.5" thickBot="1">
      <c r="A63" s="332"/>
      <c r="B63" s="1087"/>
      <c r="C63" s="29"/>
      <c r="D63" s="1097"/>
      <c r="E63" s="1081" t="s">
        <v>1404</v>
      </c>
      <c r="F63" s="309">
        <f t="shared" ca="1" si="0"/>
        <v>1741.52</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103.3</v>
      </c>
      <c r="D64" s="1095" t="s">
        <v>1407</v>
      </c>
      <c r="E64" s="1081" t="s">
        <v>1399</v>
      </c>
      <c r="F64" s="334">
        <f t="shared" ca="1" si="0"/>
        <v>1.4999999999999999E-2</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8.4</v>
      </c>
      <c r="D65" s="1095" t="s">
        <v>1359</v>
      </c>
      <c r="E65" s="1081" t="s">
        <v>1360</v>
      </c>
      <c r="F65" s="336">
        <f t="shared" ca="1" si="0"/>
        <v>1.5E-3</v>
      </c>
      <c r="I65" s="1616" t="s">
        <v>1484</v>
      </c>
      <c r="J65" s="1617">
        <v>40</v>
      </c>
      <c r="K65" s="1617">
        <v>30</v>
      </c>
      <c r="L65" s="1617">
        <v>50</v>
      </c>
      <c r="M65" s="1619">
        <v>0.02</v>
      </c>
      <c r="O65" s="1572" t="s">
        <v>1008</v>
      </c>
      <c r="P65" s="1573" t="s">
        <v>1485</v>
      </c>
      <c r="Q65" s="1574">
        <f ca="1">C40+J29</f>
        <v>77470</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-695</v>
      </c>
      <c r="D67" s="1094" t="s">
        <v>1369</v>
      </c>
      <c r="E67" s="1099"/>
      <c r="F67" s="1100"/>
      <c r="O67" s="1582" t="s">
        <v>1010</v>
      </c>
      <c r="P67" s="1573" t="s">
        <v>1467</v>
      </c>
      <c r="Q67" s="1620">
        <f ca="1">L51</f>
        <v>69817</v>
      </c>
      <c r="R67" s="1574" t="s">
        <v>1487</v>
      </c>
    </row>
    <row r="68" spans="1:18" s="1538" customFormat="1" ht="16.5" thickBot="1">
      <c r="A68" s="1078" t="s">
        <v>1000</v>
      </c>
      <c r="B68" s="1079" t="s">
        <v>1390</v>
      </c>
      <c r="C68" s="307">
        <f ca="1">ROUND(C67*(1-((1+F70)/(1+F68))^F69)/(F68-F70),0)</f>
        <v>-9269</v>
      </c>
      <c r="D68" s="1096" t="s">
        <v>1374</v>
      </c>
      <c r="E68" s="1081" t="s">
        <v>1375</v>
      </c>
      <c r="F68" s="318">
        <f ca="1">F40</f>
        <v>5.5E-2</v>
      </c>
      <c r="O68" s="1582" t="s">
        <v>1011</v>
      </c>
      <c r="P68" s="1621" t="s">
        <v>1488</v>
      </c>
      <c r="Q68" s="1574">
        <f ca="1">ROUND(Q69-Q70*Q71,0)</f>
        <v>3883</v>
      </c>
      <c r="R68" s="1574" t="s">
        <v>1019</v>
      </c>
    </row>
    <row r="69" spans="1:18" s="1538" customFormat="1" ht="13.5" thickBot="1">
      <c r="A69" s="1082"/>
      <c r="B69" s="1083"/>
      <c r="C69" s="312"/>
      <c r="D69" s="1101" t="s">
        <v>1378</v>
      </c>
      <c r="E69" s="1081" t="s">
        <v>1379</v>
      </c>
      <c r="F69" s="339">
        <f ca="1">F41</f>
        <v>24.7</v>
      </c>
      <c r="O69" s="1582" t="s">
        <v>1016</v>
      </c>
      <c r="P69" s="1621" t="s">
        <v>1489</v>
      </c>
      <c r="Q69" s="1574">
        <f ca="1">C39</f>
        <v>4333</v>
      </c>
      <c r="R69" s="1574" t="s">
        <v>1434</v>
      </c>
    </row>
    <row r="70" spans="1:18" s="1538" customFormat="1" ht="13.5" thickBot="1">
      <c r="A70" s="1085"/>
      <c r="B70" s="1086"/>
      <c r="C70" s="316"/>
      <c r="D70" s="1097"/>
      <c r="E70" s="1081" t="s">
        <v>1382</v>
      </c>
      <c r="F70" s="1185"/>
      <c r="O70" s="1582" t="s">
        <v>1017</v>
      </c>
      <c r="P70" s="1621" t="s">
        <v>1490</v>
      </c>
      <c r="Q70" s="1574">
        <f ca="1">C13</f>
        <v>5627</v>
      </c>
      <c r="R70" s="1574" t="s">
        <v>1434</v>
      </c>
    </row>
    <row r="71" spans="1:18" s="1538" customFormat="1" ht="13.5" thickBot="1">
      <c r="A71" s="1102" t="s">
        <v>1001</v>
      </c>
      <c r="B71" s="1103" t="s">
        <v>1392</v>
      </c>
      <c r="C71" s="342">
        <f ca="1">ROUND(C68*10000/F71,0)</f>
        <v>-8173</v>
      </c>
      <c r="D71" s="1104" t="s">
        <v>1393</v>
      </c>
      <c r="E71" s="1105" t="s">
        <v>1394</v>
      </c>
      <c r="F71" s="345">
        <f ca="1">F43</f>
        <v>11340.73</v>
      </c>
      <c r="O71" s="1582" t="s">
        <v>1018</v>
      </c>
      <c r="P71" s="1621" t="s">
        <v>1491</v>
      </c>
      <c r="Q71" s="1585">
        <f ca="1">C76</f>
        <v>0.08</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450</v>
      </c>
      <c r="D75" s="1538"/>
      <c r="E75" s="1538"/>
      <c r="F75" s="1538"/>
      <c r="K75" s="1556"/>
      <c r="L75" s="1538"/>
      <c r="O75" s="1572" t="s">
        <v>1014</v>
      </c>
      <c r="P75" s="1573" t="s">
        <v>1454</v>
      </c>
      <c r="Q75" s="1574">
        <f ca="1">Q65+Q66</f>
        <v>77470</v>
      </c>
      <c r="R75" s="1574" t="s">
        <v>1015</v>
      </c>
    </row>
    <row r="76" spans="1:18">
      <c r="B76" s="348" t="s">
        <v>1412</v>
      </c>
      <c r="C76" s="349">
        <f ca="1">INDIRECT("'数据-取费表'!j"&amp;$G$1)</f>
        <v>0.08</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0.89600000000000002</v>
      </c>
    </row>
    <row r="80" spans="1:18">
      <c r="B80" s="346" t="s">
        <v>1416</v>
      </c>
      <c r="C80" s="280">
        <f ca="1">ROUND(C75/C39,3)</f>
        <v>0.104</v>
      </c>
    </row>
    <row r="81" spans="2:3">
      <c r="B81" s="276" t="s">
        <v>1417</v>
      </c>
      <c r="C81" s="244"/>
    </row>
    <row r="82" spans="2:3">
      <c r="B82" s="279" t="s">
        <v>1418</v>
      </c>
      <c r="C82" s="281">
        <f ca="1">1-C83</f>
        <v>0.92700000000000005</v>
      </c>
    </row>
    <row r="83" spans="2:3">
      <c r="B83" s="279" t="s">
        <v>1419</v>
      </c>
      <c r="C83" s="280">
        <f ca="1">ROUND(C13/C40,3)</f>
        <v>7.2999999999999995E-2</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c r="D1" s="1516"/>
      <c r="E1" s="1517" t="s">
        <v>1292</v>
      </c>
      <c r="F1" s="1193">
        <f ca="1">J53</f>
        <v>0</v>
      </c>
      <c r="G1" s="1532">
        <f>MATCH(C1,'数据-取费表'!A6:A16,0)+5</f>
        <v>7</v>
      </c>
      <c r="H1" s="2889"/>
      <c r="I1" s="2890"/>
      <c r="J1" s="2890"/>
      <c r="K1" s="2891"/>
      <c r="L1" s="2890"/>
      <c r="M1" s="289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t="e">
        <f ca="1">ROUND(D2/10000,0)</f>
        <v>#DIV/0!</v>
      </c>
      <c r="C2" s="1541" t="s">
        <v>1496</v>
      </c>
      <c r="D2" s="1625" t="e">
        <f ca="1">C40+J29+L46</f>
        <v>#DIV/0!</v>
      </c>
      <c r="E2" s="1542" t="s">
        <v>1497</v>
      </c>
      <c r="F2" s="1543"/>
      <c r="G2" s="2903"/>
      <c r="H2" s="2892"/>
      <c r="I2" s="2892"/>
      <c r="J2" s="2892"/>
      <c r="K2" s="2893"/>
      <c r="L2" s="2892"/>
      <c r="M2" s="2892"/>
    </row>
    <row r="3" spans="1:37" ht="18" customHeight="1" thickBot="1">
      <c r="A3" s="1544" t="s">
        <v>1498</v>
      </c>
      <c r="B3" s="1545">
        <f ca="1">IF(ISERROR(D2/F43),0,ROUND(D2/F43,0))</f>
        <v>0</v>
      </c>
      <c r="C3" s="1541" t="s">
        <v>1499</v>
      </c>
      <c r="D3" s="1541"/>
      <c r="E3" s="1542"/>
      <c r="F3" s="1543"/>
      <c r="G3" s="2903"/>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0</v>
      </c>
      <c r="D5" s="1518" t="s">
        <v>1506</v>
      </c>
      <c r="E5" s="1203"/>
      <c r="F5" s="1204"/>
      <c r="G5" s="1538"/>
      <c r="H5" s="305">
        <v>1</v>
      </c>
      <c r="I5" s="306" t="s">
        <v>1505</v>
      </c>
      <c r="J5" s="1202">
        <f ca="1">J6+J10+J12</f>
        <v>0</v>
      </c>
      <c r="K5" s="1518" t="s">
        <v>1506</v>
      </c>
      <c r="L5" s="1203"/>
      <c r="M5" s="1204"/>
    </row>
    <row r="6" spans="1:37" ht="18" customHeight="1">
      <c r="A6" s="1201" t="s">
        <v>1003</v>
      </c>
      <c r="B6" s="3407" t="s">
        <v>1308</v>
      </c>
      <c r="C6" s="1206">
        <f ca="1">ROUND(F6*F8*F7*(1-F9),0)</f>
        <v>0</v>
      </c>
      <c r="D6" s="160" t="s">
        <v>2787</v>
      </c>
      <c r="E6" s="308" t="s">
        <v>1310</v>
      </c>
      <c r="F6" s="309">
        <f ca="1">INDIRECT("'数据-取费表'!u"&amp;$G$1)</f>
        <v>0</v>
      </c>
      <c r="G6" s="1538"/>
      <c r="H6" s="1201" t="s">
        <v>1003</v>
      </c>
      <c r="I6" s="3407" t="s">
        <v>1308</v>
      </c>
      <c r="J6" s="307">
        <f ca="1">ROUND(M6*M8*M7*(1-M9),0)</f>
        <v>0</v>
      </c>
      <c r="K6" s="1530" t="s">
        <v>2788</v>
      </c>
      <c r="L6" s="308" t="s">
        <v>1310</v>
      </c>
      <c r="M6" s="309">
        <f ca="1">INDIRECT("'数据-取费表'!z"&amp;$G$1)</f>
        <v>0</v>
      </c>
    </row>
    <row r="7" spans="1:37" ht="18" customHeight="1">
      <c r="A7" s="1205"/>
      <c r="B7" s="3408"/>
      <c r="C7" s="1207"/>
      <c r="D7" s="313"/>
      <c r="E7" s="1208" t="s">
        <v>1311</v>
      </c>
      <c r="F7" s="309">
        <f ca="1">IF(INDIRECT("'数据-取费表'!ah"&amp;$G$1)="",INDIRECT("'数据-取费表'!k"&amp;$G$1),INDIRECT("'数据-取费表'!ah"&amp;$G$1))</f>
        <v>0</v>
      </c>
      <c r="G7" s="1538"/>
      <c r="H7" s="310"/>
      <c r="I7" s="3408"/>
      <c r="J7" s="312"/>
      <c r="K7" s="313"/>
      <c r="L7" s="308" t="s">
        <v>1311</v>
      </c>
      <c r="M7" s="309">
        <f ca="1">F7</f>
        <v>0</v>
      </c>
    </row>
    <row r="8" spans="1:37" ht="18" customHeight="1">
      <c r="A8" s="310"/>
      <c r="B8" s="3408"/>
      <c r="C8" s="312"/>
      <c r="D8" s="313"/>
      <c r="E8" s="308" t="s">
        <v>1312</v>
      </c>
      <c r="F8" s="309">
        <f ca="1">INDIRECT("'数据-取费表'!ai"&amp;$G$1)</f>
        <v>0</v>
      </c>
      <c r="G8" s="1538"/>
      <c r="H8" s="310"/>
      <c r="I8" s="3408"/>
      <c r="J8" s="312"/>
      <c r="K8" s="313"/>
      <c r="L8" s="308" t="s">
        <v>1312</v>
      </c>
      <c r="M8" s="309">
        <f ca="1">INDIRECT("'数据-取费表'!ai"&amp;$G$1)</f>
        <v>0</v>
      </c>
    </row>
    <row r="9" spans="1:37" ht="18" customHeight="1">
      <c r="A9" s="310"/>
      <c r="B9" s="3409"/>
      <c r="C9" s="312"/>
      <c r="D9" s="313"/>
      <c r="E9" s="308" t="s">
        <v>1313</v>
      </c>
      <c r="F9" s="318">
        <f ca="1">INDIRECT("'数据-取费表'!w"&amp;$G$1)</f>
        <v>0</v>
      </c>
      <c r="G9" s="1538"/>
      <c r="H9" s="310"/>
      <c r="I9" s="3409"/>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0.04</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0.02</v>
      </c>
      <c r="G20" s="1550"/>
      <c r="H20" s="1113" t="s">
        <v>1294</v>
      </c>
      <c r="I20" s="160" t="s">
        <v>1346</v>
      </c>
      <c r="J20" s="25">
        <f ca="1">ROUND(M20*M21,0)</f>
        <v>0</v>
      </c>
      <c r="K20" s="330" t="s">
        <v>1347</v>
      </c>
      <c r="L20" s="308" t="s">
        <v>1348</v>
      </c>
      <c r="M20" s="331">
        <f>'数据-取费表'!B52</f>
        <v>24</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4"/>
      <c r="I30" s="1552"/>
      <c r="J30" s="1553"/>
      <c r="K30" s="2669"/>
      <c r="L30" s="2895"/>
      <c r="M30" s="2896"/>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t="str">
        <f>IF(项目基本情况!B11="企业","——",IF('数据-取费表'!B10="住宅",IF(F6*F7*F8/12/(1+'数据-取费表'!F30)&gt;100000,4%,2.5%),IF(F6*F7*F8/12/(1+'数据-取费表'!F30)&gt;100000,12%,7%)))</f>
        <v>——</v>
      </c>
      <c r="G31" s="1538"/>
      <c r="H31" s="3007" t="s">
        <v>2997</v>
      </c>
      <c r="I31" s="1552"/>
      <c r="J31" s="1553"/>
      <c r="K31" s="2669"/>
      <c r="L31" s="2895"/>
      <c r="M31" s="2896"/>
    </row>
    <row r="32" spans="1:37" ht="18" customHeight="1">
      <c r="A32" s="1113" t="s">
        <v>1002</v>
      </c>
      <c r="B32" s="308" t="s">
        <v>1338</v>
      </c>
      <c r="C32" s="24">
        <f ca="1">IF(项目基本情况!B11="自然人","——",ROUND(C6*F32/(1+'数据-取费表'!C42),0))</f>
        <v>0</v>
      </c>
      <c r="D32" s="1498" t="s">
        <v>1339</v>
      </c>
      <c r="E32" s="308" t="s">
        <v>1327</v>
      </c>
      <c r="F32" s="337">
        <f>'数据-取费表'!B41</f>
        <v>5.6000000000000001E-2</v>
      </c>
      <c r="G32" s="1538"/>
      <c r="H32" s="2894"/>
      <c r="I32" s="1552"/>
      <c r="J32" s="1553"/>
      <c r="K32" s="2669"/>
      <c r="L32" s="2895"/>
      <c r="M32" s="2896"/>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7"/>
      <c r="I33" s="1552"/>
      <c r="J33" s="1553"/>
      <c r="K33" s="2898"/>
      <c r="L33" s="2897"/>
      <c r="M33" s="2897"/>
    </row>
    <row r="34" spans="1:18" ht="18" customHeight="1">
      <c r="A34" s="1201" t="s">
        <v>1294</v>
      </c>
      <c r="B34" s="160" t="s">
        <v>1346</v>
      </c>
      <c r="C34" s="25">
        <f ca="1">IF(项目基本情况!B11="自然人","——",ROUND(F34*F35,))</f>
        <v>0</v>
      </c>
      <c r="D34" s="330" t="s">
        <v>1347</v>
      </c>
      <c r="E34" s="308" t="s">
        <v>1348</v>
      </c>
      <c r="F34" s="331">
        <f>'数据-取费表'!B52</f>
        <v>24</v>
      </c>
      <c r="G34" s="1538"/>
      <c r="H34" s="2894"/>
      <c r="I34" s="1552"/>
      <c r="J34" s="1553"/>
      <c r="K34" s="2899"/>
      <c r="L34" s="2900"/>
      <c r="M34" s="2900"/>
    </row>
    <row r="35" spans="1:18" ht="18" customHeight="1">
      <c r="A35" s="1235"/>
      <c r="B35" s="1233"/>
      <c r="C35" s="29"/>
      <c r="D35" s="333"/>
      <c r="E35" s="308" t="s">
        <v>1352</v>
      </c>
      <c r="F35" s="309">
        <f ca="1">INDIRECT("'数据-取费表'!r"&amp;$G$1)</f>
        <v>0</v>
      </c>
      <c r="G35" s="1538"/>
      <c r="H35" s="2894"/>
      <c r="I35" s="1552"/>
      <c r="J35" s="1553"/>
      <c r="K35" s="2898"/>
      <c r="L35" s="2897"/>
      <c r="M35" s="2897"/>
    </row>
    <row r="36" spans="1:18" ht="18" customHeight="1">
      <c r="A36" s="1234" t="s">
        <v>1007</v>
      </c>
      <c r="B36" s="308" t="s">
        <v>1354</v>
      </c>
      <c r="C36" s="24">
        <f ca="1">ROUND(C29*F36,0)</f>
        <v>0</v>
      </c>
      <c r="D36" s="1498" t="s">
        <v>1387</v>
      </c>
      <c r="E36" s="308" t="s">
        <v>1327</v>
      </c>
      <c r="F36" s="334">
        <f ca="1">INDIRECT("'数据-取费表'!Ak"&amp;$G$1)</f>
        <v>0</v>
      </c>
      <c r="G36" s="1538"/>
      <c r="H36" s="2897"/>
      <c r="I36" s="1552"/>
      <c r="J36" s="1553"/>
      <c r="K36" s="2738"/>
      <c r="L36" s="2897"/>
      <c r="M36" s="2897"/>
    </row>
    <row r="37" spans="1:18" ht="18" customHeight="1">
      <c r="A37" s="1113" t="s">
        <v>1043</v>
      </c>
      <c r="B37" s="308" t="s">
        <v>1358</v>
      </c>
      <c r="C37" s="24">
        <f ca="1">ROUND(C13*F37,0)</f>
        <v>0</v>
      </c>
      <c r="D37" s="1498" t="s">
        <v>1359</v>
      </c>
      <c r="E37" s="308" t="s">
        <v>1360</v>
      </c>
      <c r="F37" s="336">
        <f ca="1">INDIRECT("'数据-取费表'!Al"&amp;$G$1)</f>
        <v>0</v>
      </c>
      <c r="G37" s="1538"/>
      <c r="H37" s="2897"/>
      <c r="I37" s="1552"/>
      <c r="J37" s="1553"/>
      <c r="K37" s="2738"/>
      <c r="L37" s="2897"/>
      <c r="M37" s="2897"/>
    </row>
    <row r="38" spans="1:18" ht="18" customHeight="1" thickBot="1">
      <c r="A38" s="1221" t="s">
        <v>1298</v>
      </c>
      <c r="B38" s="1222" t="s">
        <v>1344</v>
      </c>
      <c r="C38" s="1223">
        <f ca="1">ROUND(C5*F38,1)</f>
        <v>0</v>
      </c>
      <c r="D38" s="1224" t="s">
        <v>1364</v>
      </c>
      <c r="E38" s="1222" t="s">
        <v>1360</v>
      </c>
      <c r="F38" s="1218">
        <f ca="1">INDIRECT("'数据-取费表'!Am"&amp;$G$1)</f>
        <v>0</v>
      </c>
      <c r="G38" s="1538"/>
      <c r="H38" s="2897"/>
      <c r="I38" s="1552"/>
      <c r="J38" s="1553"/>
      <c r="K38" s="2901"/>
      <c r="L38" s="2897"/>
      <c r="M38" s="2897"/>
    </row>
    <row r="39" spans="1:18" ht="24.6" customHeight="1" thickTop="1">
      <c r="A39" s="1211" t="s">
        <v>999</v>
      </c>
      <c r="B39" s="1226" t="s">
        <v>1388</v>
      </c>
      <c r="C39" s="316">
        <f ca="1">C5-C30</f>
        <v>0</v>
      </c>
      <c r="D39" s="1227" t="s">
        <v>1389</v>
      </c>
      <c r="E39" s="1228"/>
      <c r="F39" s="1229"/>
      <c r="G39" s="1538"/>
      <c r="H39" s="2897"/>
      <c r="I39" s="1552"/>
      <c r="J39" s="1553"/>
      <c r="K39" s="2901"/>
      <c r="L39" s="2897"/>
      <c r="M39" s="2897"/>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1"/>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38"/>
      <c r="L41" s="1325"/>
      <c r="M41" s="1325"/>
    </row>
    <row r="42" spans="1:18" ht="18" customHeight="1">
      <c r="A42" s="314"/>
      <c r="B42" s="315"/>
      <c r="C42" s="316"/>
      <c r="D42" s="333"/>
      <c r="E42" s="308" t="s">
        <v>1382</v>
      </c>
      <c r="F42" s="318">
        <f ca="1">INDIRECT("'数据-取费表'!v"&amp;$G$1)</f>
        <v>0</v>
      </c>
      <c r="G42" s="1538"/>
      <c r="H42" s="1325"/>
      <c r="I42" s="1552"/>
      <c r="J42" s="1553"/>
      <c r="K42" s="2738"/>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38"/>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1509</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6">
        <f ca="1">IF(M47="住宅",IF(D1="——",MAX(J51,L48),MAX(J51,L48-'数据-取费表'!B24)),IF(D1="——",MIN(J51,L48),MIN(J51,L48-'数据-取费表'!B24)))</f>
        <v>0</v>
      </c>
      <c r="K53" s="3405" t="s">
        <v>1453</v>
      </c>
      <c r="L53" s="3406"/>
      <c r="O53" s="1572" t="s">
        <v>1014</v>
      </c>
      <c r="P53" s="1573" t="s">
        <v>1454</v>
      </c>
      <c r="Q53" s="1574" t="e">
        <f ca="1">Q47+Q48</f>
        <v>#DIV/0!</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1459</v>
      </c>
      <c r="J56" s="1604"/>
      <c r="K56" s="1575" t="s">
        <v>1460</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1461</v>
      </c>
      <c r="J57" s="1610">
        <f ca="1">IF(OR(M47="住宅",J51&lt;L48,J56="是"),"——",J51-L48)</f>
        <v>0</v>
      </c>
      <c r="K57" s="1575" t="s">
        <v>1510</v>
      </c>
      <c r="L57" s="1578">
        <f ca="1">IF(L48&lt;J51,"——",IF(L55="比较法",L49,IF(L55="基准地价",L50,L51)))</f>
        <v>0</v>
      </c>
      <c r="O57" s="1572" t="s">
        <v>1009</v>
      </c>
      <c r="P57" s="1573" t="s">
        <v>1511</v>
      </c>
      <c r="Q57" s="1574" t="e">
        <f ca="1">L60</f>
        <v>#DIV/0!</v>
      </c>
      <c r="R57" s="1574" t="s">
        <v>1512</v>
      </c>
    </row>
    <row r="58" spans="1:18" s="1538" customFormat="1" ht="24.75" thickBot="1">
      <c r="A58" s="321" t="s">
        <v>998</v>
      </c>
      <c r="B58" s="1089" t="s">
        <v>1329</v>
      </c>
      <c r="C58" s="322">
        <f ca="1">ROUND(C59+C64+C65+C66,0)</f>
        <v>0</v>
      </c>
      <c r="D58" s="1091" t="s">
        <v>1330</v>
      </c>
      <c r="E58" s="1092"/>
      <c r="F58" s="1093"/>
      <c r="I58" s="1609" t="s">
        <v>1465</v>
      </c>
      <c r="J58" s="1611" t="e">
        <f ca="1">IF(J55&lt;0.4,0.4,J55)</f>
        <v>#DIV/0!</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t="str">
        <f>IF(项目基本情况!B11="企业","——",IF('数据-取费表'!B10="住宅",IF(F49*F50*F51/12/(1+'数据-取费表'!F30)&gt;100000,4%,2.5%),IF(F49*F50*F51/12/(1+'数据-取费表'!F30)&gt;100000,12%,7%)))</f>
        <v>——</v>
      </c>
      <c r="I59" s="1609" t="s">
        <v>1468</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5.6000000000000001E-2</v>
      </c>
      <c r="I60" s="1612" t="s">
        <v>1470</v>
      </c>
      <c r="J60" s="1613" t="e">
        <f ca="1">IF(OR(M47="住宅",J51&lt;L48,J56="是"),"0",ROUND(J59/(1+J52)^J53,0))</f>
        <v>#DIV/0!</v>
      </c>
      <c r="K60" s="1614" t="s">
        <v>1471</v>
      </c>
      <c r="L60" s="1613" t="e">
        <f ca="1">IF(OR(M47="住宅",L48&lt;J51),0,ROUND(L57*(L58/L59-1),0))</f>
        <v>#DIV/0!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1474</v>
      </c>
    </row>
    <row r="62" spans="1:18" s="1538" customFormat="1" ht="13.5" thickBot="1">
      <c r="A62" s="1113" t="s">
        <v>1400</v>
      </c>
      <c r="B62" s="1080" t="s">
        <v>1401</v>
      </c>
      <c r="C62" s="25">
        <f ca="1">IF(项目基本情况!B11="自然人","——",ROUND(F62*F63,0))</f>
        <v>0</v>
      </c>
      <c r="D62" s="1096" t="s">
        <v>1402</v>
      </c>
      <c r="E62" s="1081" t="s">
        <v>1403</v>
      </c>
      <c r="F62" s="331">
        <f t="shared" si="0"/>
        <v>24</v>
      </c>
      <c r="I62" s="1616" t="s">
        <v>1475</v>
      </c>
      <c r="J62" s="1617" t="s">
        <v>1476</v>
      </c>
      <c r="K62" s="1617" t="s">
        <v>1477</v>
      </c>
      <c r="L62" s="1617" t="s">
        <v>1478</v>
      </c>
      <c r="M62" s="1618" t="s">
        <v>1479</v>
      </c>
      <c r="O62" s="1572" t="s">
        <v>1014</v>
      </c>
      <c r="P62" s="1573" t="s">
        <v>1480</v>
      </c>
      <c r="Q62" s="1574" t="e">
        <f ca="1">Q56+Q57</f>
        <v>#DIV/0!</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1484</v>
      </c>
      <c r="J65" s="1617">
        <v>40</v>
      </c>
      <c r="K65" s="1617">
        <v>30</v>
      </c>
      <c r="L65" s="1617">
        <v>50</v>
      </c>
      <c r="M65" s="1619">
        <v>0.02</v>
      </c>
      <c r="O65" s="1572" t="s">
        <v>1008</v>
      </c>
      <c r="P65" s="1573" t="s">
        <v>1485</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1463</v>
      </c>
      <c r="Q66" s="1574" t="e">
        <f ca="1">L60</f>
        <v>#DIV/0!</v>
      </c>
      <c r="R66" s="1574" t="s">
        <v>1486</v>
      </c>
    </row>
    <row r="67" spans="1:18" s="1538" customFormat="1" ht="16.5" thickBot="1">
      <c r="A67" s="1088" t="s">
        <v>999</v>
      </c>
      <c r="B67" s="1098" t="s">
        <v>1368</v>
      </c>
      <c r="C67" s="322">
        <f ca="1">C48-C58</f>
        <v>0</v>
      </c>
      <c r="D67" s="1094" t="s">
        <v>1369</v>
      </c>
      <c r="E67" s="1099"/>
      <c r="F67" s="1100"/>
      <c r="O67" s="1582" t="s">
        <v>1010</v>
      </c>
      <c r="P67" s="1573" t="s">
        <v>1467</v>
      </c>
      <c r="Q67" s="1620">
        <f ca="1">L51</f>
        <v>0</v>
      </c>
      <c r="R67" s="1574" t="s">
        <v>1487</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1488</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1489</v>
      </c>
      <c r="Q69" s="1574">
        <f ca="1">C39</f>
        <v>0</v>
      </c>
      <c r="R69" s="1574" t="s">
        <v>1434</v>
      </c>
    </row>
    <row r="70" spans="1:18" s="1538" customFormat="1" ht="13.5" thickBot="1">
      <c r="A70" s="1085"/>
      <c r="B70" s="1086"/>
      <c r="C70" s="316"/>
      <c r="D70" s="1097"/>
      <c r="E70" s="1081" t="s">
        <v>1382</v>
      </c>
      <c r="F70" s="1185">
        <f ca="1">F42</f>
        <v>0</v>
      </c>
      <c r="O70" s="1582" t="s">
        <v>1017</v>
      </c>
      <c r="P70" s="1621" t="s">
        <v>1490</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1491</v>
      </c>
      <c r="Q71" s="1585">
        <f ca="1">C76</f>
        <v>0</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建设期及建筑物耐用年限下的土地年期修正系数Kn</v>
      </c>
      <c r="Q74" s="1574" t="e">
        <f ca="1">L59</f>
        <v>#DIV/0!</v>
      </c>
      <c r="R74" s="1574" t="s">
        <v>1474</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1" customWidth="1"/>
    <col min="2" max="2" width="8.875" style="3041"/>
    <col min="3" max="5" width="12.875" style="3041" customWidth="1"/>
    <col min="6" max="6" width="47.5" style="3041" customWidth="1"/>
    <col min="7" max="7" width="13" style="3200" customWidth="1"/>
    <col min="8" max="8" width="8.875" style="3035"/>
    <col min="9" max="9" width="8.875" style="3036"/>
    <col min="10" max="10" width="5.75" style="3201" customWidth="1"/>
    <col min="11" max="11" width="11.75" style="3201" customWidth="1"/>
    <col min="12" max="13" width="10.75" style="3201" customWidth="1"/>
    <col min="14" max="14" width="10" style="3201" customWidth="1"/>
    <col min="15" max="16" width="10.5" style="3201" bestFit="1" customWidth="1"/>
    <col min="17" max="17" width="10" style="3201" customWidth="1"/>
    <col min="18" max="18" width="10.125" style="3201" customWidth="1"/>
    <col min="19" max="19" width="10" style="3201" customWidth="1"/>
    <col min="20" max="20" width="26.125" style="3201" customWidth="1"/>
    <col min="21" max="21" width="8.875" style="3201"/>
    <col min="22" max="22" width="8.875" style="3036"/>
    <col min="23" max="256" width="8.875" style="3041"/>
    <col min="257" max="257" width="9.5" style="3041" customWidth="1"/>
    <col min="258" max="258" width="8.875" style="3041"/>
    <col min="259" max="261" width="12.875" style="3041" customWidth="1"/>
    <col min="262" max="262" width="47.5" style="3041" customWidth="1"/>
    <col min="263" max="263" width="13" style="3041" customWidth="1"/>
    <col min="264" max="265" width="8.875" style="3041"/>
    <col min="266" max="266" width="5.75" style="3041" customWidth="1"/>
    <col min="267" max="267" width="11.75" style="3041" customWidth="1"/>
    <col min="268" max="269" width="10.75" style="3041" customWidth="1"/>
    <col min="270" max="270" width="10" style="3041" customWidth="1"/>
    <col min="271" max="272" width="10.5" style="3041" bestFit="1" customWidth="1"/>
    <col min="273" max="273" width="10" style="3041" customWidth="1"/>
    <col min="274" max="274" width="10.125" style="3041" customWidth="1"/>
    <col min="275" max="275" width="10" style="3041" customWidth="1"/>
    <col min="276" max="276" width="26.125" style="3041" customWidth="1"/>
    <col min="277" max="512" width="8.875" style="3041"/>
    <col min="513" max="513" width="9.5" style="3041" customWidth="1"/>
    <col min="514" max="514" width="8.875" style="3041"/>
    <col min="515" max="517" width="12.875" style="3041" customWidth="1"/>
    <col min="518" max="518" width="47.5" style="3041" customWidth="1"/>
    <col min="519" max="519" width="13" style="3041" customWidth="1"/>
    <col min="520" max="521" width="8.875" style="3041"/>
    <col min="522" max="522" width="5.75" style="3041" customWidth="1"/>
    <col min="523" max="523" width="11.75" style="3041" customWidth="1"/>
    <col min="524" max="525" width="10.75" style="3041" customWidth="1"/>
    <col min="526" max="526" width="10" style="3041" customWidth="1"/>
    <col min="527" max="528" width="10.5" style="3041" bestFit="1" customWidth="1"/>
    <col min="529" max="529" width="10" style="3041" customWidth="1"/>
    <col min="530" max="530" width="10.125" style="3041" customWidth="1"/>
    <col min="531" max="531" width="10" style="3041" customWidth="1"/>
    <col min="532" max="532" width="26.125" style="3041" customWidth="1"/>
    <col min="533" max="768" width="8.875" style="3041"/>
    <col min="769" max="769" width="9.5" style="3041" customWidth="1"/>
    <col min="770" max="770" width="8.875" style="3041"/>
    <col min="771" max="773" width="12.875" style="3041" customWidth="1"/>
    <col min="774" max="774" width="47.5" style="3041" customWidth="1"/>
    <col min="775" max="775" width="13" style="3041" customWidth="1"/>
    <col min="776" max="777" width="8.875" style="3041"/>
    <col min="778" max="778" width="5.75" style="3041" customWidth="1"/>
    <col min="779" max="779" width="11.75" style="3041" customWidth="1"/>
    <col min="780" max="781" width="10.75" style="3041" customWidth="1"/>
    <col min="782" max="782" width="10" style="3041" customWidth="1"/>
    <col min="783" max="784" width="10.5" style="3041" bestFit="1" customWidth="1"/>
    <col min="785" max="785" width="10" style="3041" customWidth="1"/>
    <col min="786" max="786" width="10.125" style="3041" customWidth="1"/>
    <col min="787" max="787" width="10" style="3041" customWidth="1"/>
    <col min="788" max="788" width="26.125" style="3041" customWidth="1"/>
    <col min="789" max="1024" width="8.875" style="3041"/>
    <col min="1025" max="1025" width="9.5" style="3041" customWidth="1"/>
    <col min="1026" max="1026" width="8.875" style="3041"/>
    <col min="1027" max="1029" width="12.875" style="3041" customWidth="1"/>
    <col min="1030" max="1030" width="47.5" style="3041" customWidth="1"/>
    <col min="1031" max="1031" width="13" style="3041" customWidth="1"/>
    <col min="1032" max="1033" width="8.875" style="3041"/>
    <col min="1034" max="1034" width="5.75" style="3041" customWidth="1"/>
    <col min="1035" max="1035" width="11.75" style="3041" customWidth="1"/>
    <col min="1036" max="1037" width="10.75" style="3041" customWidth="1"/>
    <col min="1038" max="1038" width="10" style="3041" customWidth="1"/>
    <col min="1039" max="1040" width="10.5" style="3041" bestFit="1" customWidth="1"/>
    <col min="1041" max="1041" width="10" style="3041" customWidth="1"/>
    <col min="1042" max="1042" width="10.125" style="3041" customWidth="1"/>
    <col min="1043" max="1043" width="10" style="3041" customWidth="1"/>
    <col min="1044" max="1044" width="26.125" style="3041" customWidth="1"/>
    <col min="1045" max="1280" width="8.875" style="3041"/>
    <col min="1281" max="1281" width="9.5" style="3041" customWidth="1"/>
    <col min="1282" max="1282" width="8.875" style="3041"/>
    <col min="1283" max="1285" width="12.875" style="3041" customWidth="1"/>
    <col min="1286" max="1286" width="47.5" style="3041" customWidth="1"/>
    <col min="1287" max="1287" width="13" style="3041" customWidth="1"/>
    <col min="1288" max="1289" width="8.875" style="3041"/>
    <col min="1290" max="1290" width="5.75" style="3041" customWidth="1"/>
    <col min="1291" max="1291" width="11.75" style="3041" customWidth="1"/>
    <col min="1292" max="1293" width="10.75" style="3041" customWidth="1"/>
    <col min="1294" max="1294" width="10" style="3041" customWidth="1"/>
    <col min="1295" max="1296" width="10.5" style="3041" bestFit="1" customWidth="1"/>
    <col min="1297" max="1297" width="10" style="3041" customWidth="1"/>
    <col min="1298" max="1298" width="10.125" style="3041" customWidth="1"/>
    <col min="1299" max="1299" width="10" style="3041" customWidth="1"/>
    <col min="1300" max="1300" width="26.125" style="3041" customWidth="1"/>
    <col min="1301" max="1536" width="8.875" style="3041"/>
    <col min="1537" max="1537" width="9.5" style="3041" customWidth="1"/>
    <col min="1538" max="1538" width="8.875" style="3041"/>
    <col min="1539" max="1541" width="12.875" style="3041" customWidth="1"/>
    <col min="1542" max="1542" width="47.5" style="3041" customWidth="1"/>
    <col min="1543" max="1543" width="13" style="3041" customWidth="1"/>
    <col min="1544" max="1545" width="8.875" style="3041"/>
    <col min="1546" max="1546" width="5.75" style="3041" customWidth="1"/>
    <col min="1547" max="1547" width="11.75" style="3041" customWidth="1"/>
    <col min="1548" max="1549" width="10.75" style="3041" customWidth="1"/>
    <col min="1550" max="1550" width="10" style="3041" customWidth="1"/>
    <col min="1551" max="1552" width="10.5" style="3041" bestFit="1" customWidth="1"/>
    <col min="1553" max="1553" width="10" style="3041" customWidth="1"/>
    <col min="1554" max="1554" width="10.125" style="3041" customWidth="1"/>
    <col min="1555" max="1555" width="10" style="3041" customWidth="1"/>
    <col min="1556" max="1556" width="26.125" style="3041" customWidth="1"/>
    <col min="1557" max="1792" width="8.875" style="3041"/>
    <col min="1793" max="1793" width="9.5" style="3041" customWidth="1"/>
    <col min="1794" max="1794" width="8.875" style="3041"/>
    <col min="1795" max="1797" width="12.875" style="3041" customWidth="1"/>
    <col min="1798" max="1798" width="47.5" style="3041" customWidth="1"/>
    <col min="1799" max="1799" width="13" style="3041" customWidth="1"/>
    <col min="1800" max="1801" width="8.875" style="3041"/>
    <col min="1802" max="1802" width="5.75" style="3041" customWidth="1"/>
    <col min="1803" max="1803" width="11.75" style="3041" customWidth="1"/>
    <col min="1804" max="1805" width="10.75" style="3041" customWidth="1"/>
    <col min="1806" max="1806" width="10" style="3041" customWidth="1"/>
    <col min="1807" max="1808" width="10.5" style="3041" bestFit="1" customWidth="1"/>
    <col min="1809" max="1809" width="10" style="3041" customWidth="1"/>
    <col min="1810" max="1810" width="10.125" style="3041" customWidth="1"/>
    <col min="1811" max="1811" width="10" style="3041" customWidth="1"/>
    <col min="1812" max="1812" width="26.125" style="3041" customWidth="1"/>
    <col min="1813" max="2048" width="8.875" style="3041"/>
    <col min="2049" max="2049" width="9.5" style="3041" customWidth="1"/>
    <col min="2050" max="2050" width="8.875" style="3041"/>
    <col min="2051" max="2053" width="12.875" style="3041" customWidth="1"/>
    <col min="2054" max="2054" width="47.5" style="3041" customWidth="1"/>
    <col min="2055" max="2055" width="13" style="3041" customWidth="1"/>
    <col min="2056" max="2057" width="8.875" style="3041"/>
    <col min="2058" max="2058" width="5.75" style="3041" customWidth="1"/>
    <col min="2059" max="2059" width="11.75" style="3041" customWidth="1"/>
    <col min="2060" max="2061" width="10.75" style="3041" customWidth="1"/>
    <col min="2062" max="2062" width="10" style="3041" customWidth="1"/>
    <col min="2063" max="2064" width="10.5" style="3041" bestFit="1" customWidth="1"/>
    <col min="2065" max="2065" width="10" style="3041" customWidth="1"/>
    <col min="2066" max="2066" width="10.125" style="3041" customWidth="1"/>
    <col min="2067" max="2067" width="10" style="3041" customWidth="1"/>
    <col min="2068" max="2068" width="26.125" style="3041" customWidth="1"/>
    <col min="2069" max="2304" width="8.875" style="3041"/>
    <col min="2305" max="2305" width="9.5" style="3041" customWidth="1"/>
    <col min="2306" max="2306" width="8.875" style="3041"/>
    <col min="2307" max="2309" width="12.875" style="3041" customWidth="1"/>
    <col min="2310" max="2310" width="47.5" style="3041" customWidth="1"/>
    <col min="2311" max="2311" width="13" style="3041" customWidth="1"/>
    <col min="2312" max="2313" width="8.875" style="3041"/>
    <col min="2314" max="2314" width="5.75" style="3041" customWidth="1"/>
    <col min="2315" max="2315" width="11.75" style="3041" customWidth="1"/>
    <col min="2316" max="2317" width="10.75" style="3041" customWidth="1"/>
    <col min="2318" max="2318" width="10" style="3041" customWidth="1"/>
    <col min="2319" max="2320" width="10.5" style="3041" bestFit="1" customWidth="1"/>
    <col min="2321" max="2321" width="10" style="3041" customWidth="1"/>
    <col min="2322" max="2322" width="10.125" style="3041" customWidth="1"/>
    <col min="2323" max="2323" width="10" style="3041" customWidth="1"/>
    <col min="2324" max="2324" width="26.125" style="3041" customWidth="1"/>
    <col min="2325" max="2560" width="8.875" style="3041"/>
    <col min="2561" max="2561" width="9.5" style="3041" customWidth="1"/>
    <col min="2562" max="2562" width="8.875" style="3041"/>
    <col min="2563" max="2565" width="12.875" style="3041" customWidth="1"/>
    <col min="2566" max="2566" width="47.5" style="3041" customWidth="1"/>
    <col min="2567" max="2567" width="13" style="3041" customWidth="1"/>
    <col min="2568" max="2569" width="8.875" style="3041"/>
    <col min="2570" max="2570" width="5.75" style="3041" customWidth="1"/>
    <col min="2571" max="2571" width="11.75" style="3041" customWidth="1"/>
    <col min="2572" max="2573" width="10.75" style="3041" customWidth="1"/>
    <col min="2574" max="2574" width="10" style="3041" customWidth="1"/>
    <col min="2575" max="2576" width="10.5" style="3041" bestFit="1" customWidth="1"/>
    <col min="2577" max="2577" width="10" style="3041" customWidth="1"/>
    <col min="2578" max="2578" width="10.125" style="3041" customWidth="1"/>
    <col min="2579" max="2579" width="10" style="3041" customWidth="1"/>
    <col min="2580" max="2580" width="26.125" style="3041" customWidth="1"/>
    <col min="2581" max="2816" width="8.875" style="3041"/>
    <col min="2817" max="2817" width="9.5" style="3041" customWidth="1"/>
    <col min="2818" max="2818" width="8.875" style="3041"/>
    <col min="2819" max="2821" width="12.875" style="3041" customWidth="1"/>
    <col min="2822" max="2822" width="47.5" style="3041" customWidth="1"/>
    <col min="2823" max="2823" width="13" style="3041" customWidth="1"/>
    <col min="2824" max="2825" width="8.875" style="3041"/>
    <col min="2826" max="2826" width="5.75" style="3041" customWidth="1"/>
    <col min="2827" max="2827" width="11.75" style="3041" customWidth="1"/>
    <col min="2828" max="2829" width="10.75" style="3041" customWidth="1"/>
    <col min="2830" max="2830" width="10" style="3041" customWidth="1"/>
    <col min="2831" max="2832" width="10.5" style="3041" bestFit="1" customWidth="1"/>
    <col min="2833" max="2833" width="10" style="3041" customWidth="1"/>
    <col min="2834" max="2834" width="10.125" style="3041" customWidth="1"/>
    <col min="2835" max="2835" width="10" style="3041" customWidth="1"/>
    <col min="2836" max="2836" width="26.125" style="3041" customWidth="1"/>
    <col min="2837" max="3072" width="8.875" style="3041"/>
    <col min="3073" max="3073" width="9.5" style="3041" customWidth="1"/>
    <col min="3074" max="3074" width="8.875" style="3041"/>
    <col min="3075" max="3077" width="12.875" style="3041" customWidth="1"/>
    <col min="3078" max="3078" width="47.5" style="3041" customWidth="1"/>
    <col min="3079" max="3079" width="13" style="3041" customWidth="1"/>
    <col min="3080" max="3081" width="8.875" style="3041"/>
    <col min="3082" max="3082" width="5.75" style="3041" customWidth="1"/>
    <col min="3083" max="3083" width="11.75" style="3041" customWidth="1"/>
    <col min="3084" max="3085" width="10.75" style="3041" customWidth="1"/>
    <col min="3086" max="3086" width="10" style="3041" customWidth="1"/>
    <col min="3087" max="3088" width="10.5" style="3041" bestFit="1" customWidth="1"/>
    <col min="3089" max="3089" width="10" style="3041" customWidth="1"/>
    <col min="3090" max="3090" width="10.125" style="3041" customWidth="1"/>
    <col min="3091" max="3091" width="10" style="3041" customWidth="1"/>
    <col min="3092" max="3092" width="26.125" style="3041" customWidth="1"/>
    <col min="3093" max="3328" width="8.875" style="3041"/>
    <col min="3329" max="3329" width="9.5" style="3041" customWidth="1"/>
    <col min="3330" max="3330" width="8.875" style="3041"/>
    <col min="3331" max="3333" width="12.875" style="3041" customWidth="1"/>
    <col min="3334" max="3334" width="47.5" style="3041" customWidth="1"/>
    <col min="3335" max="3335" width="13" style="3041" customWidth="1"/>
    <col min="3336" max="3337" width="8.875" style="3041"/>
    <col min="3338" max="3338" width="5.75" style="3041" customWidth="1"/>
    <col min="3339" max="3339" width="11.75" style="3041" customWidth="1"/>
    <col min="3340" max="3341" width="10.75" style="3041" customWidth="1"/>
    <col min="3342" max="3342" width="10" style="3041" customWidth="1"/>
    <col min="3343" max="3344" width="10.5" style="3041" bestFit="1" customWidth="1"/>
    <col min="3345" max="3345" width="10" style="3041" customWidth="1"/>
    <col min="3346" max="3346" width="10.125" style="3041" customWidth="1"/>
    <col min="3347" max="3347" width="10" style="3041" customWidth="1"/>
    <col min="3348" max="3348" width="26.125" style="3041" customWidth="1"/>
    <col min="3349" max="3584" width="8.875" style="3041"/>
    <col min="3585" max="3585" width="9.5" style="3041" customWidth="1"/>
    <col min="3586" max="3586" width="8.875" style="3041"/>
    <col min="3587" max="3589" width="12.875" style="3041" customWidth="1"/>
    <col min="3590" max="3590" width="47.5" style="3041" customWidth="1"/>
    <col min="3591" max="3591" width="13" style="3041" customWidth="1"/>
    <col min="3592" max="3593" width="8.875" style="3041"/>
    <col min="3594" max="3594" width="5.75" style="3041" customWidth="1"/>
    <col min="3595" max="3595" width="11.75" style="3041" customWidth="1"/>
    <col min="3596" max="3597" width="10.75" style="3041" customWidth="1"/>
    <col min="3598" max="3598" width="10" style="3041" customWidth="1"/>
    <col min="3599" max="3600" width="10.5" style="3041" bestFit="1" customWidth="1"/>
    <col min="3601" max="3601" width="10" style="3041" customWidth="1"/>
    <col min="3602" max="3602" width="10.125" style="3041" customWidth="1"/>
    <col min="3603" max="3603" width="10" style="3041" customWidth="1"/>
    <col min="3604" max="3604" width="26.125" style="3041" customWidth="1"/>
    <col min="3605" max="3840" width="8.875" style="3041"/>
    <col min="3841" max="3841" width="9.5" style="3041" customWidth="1"/>
    <col min="3842" max="3842" width="8.875" style="3041"/>
    <col min="3843" max="3845" width="12.875" style="3041" customWidth="1"/>
    <col min="3846" max="3846" width="47.5" style="3041" customWidth="1"/>
    <col min="3847" max="3847" width="13" style="3041" customWidth="1"/>
    <col min="3848" max="3849" width="8.875" style="3041"/>
    <col min="3850" max="3850" width="5.75" style="3041" customWidth="1"/>
    <col min="3851" max="3851" width="11.75" style="3041" customWidth="1"/>
    <col min="3852" max="3853" width="10.75" style="3041" customWidth="1"/>
    <col min="3854" max="3854" width="10" style="3041" customWidth="1"/>
    <col min="3855" max="3856" width="10.5" style="3041" bestFit="1" customWidth="1"/>
    <col min="3857" max="3857" width="10" style="3041" customWidth="1"/>
    <col min="3858" max="3858" width="10.125" style="3041" customWidth="1"/>
    <col min="3859" max="3859" width="10" style="3041" customWidth="1"/>
    <col min="3860" max="3860" width="26.125" style="3041" customWidth="1"/>
    <col min="3861" max="4096" width="8.875" style="3041"/>
    <col min="4097" max="4097" width="9.5" style="3041" customWidth="1"/>
    <col min="4098" max="4098" width="8.875" style="3041"/>
    <col min="4099" max="4101" width="12.875" style="3041" customWidth="1"/>
    <col min="4102" max="4102" width="47.5" style="3041" customWidth="1"/>
    <col min="4103" max="4103" width="13" style="3041" customWidth="1"/>
    <col min="4104" max="4105" width="8.875" style="3041"/>
    <col min="4106" max="4106" width="5.75" style="3041" customWidth="1"/>
    <col min="4107" max="4107" width="11.75" style="3041" customWidth="1"/>
    <col min="4108" max="4109" width="10.75" style="3041" customWidth="1"/>
    <col min="4110" max="4110" width="10" style="3041" customWidth="1"/>
    <col min="4111" max="4112" width="10.5" style="3041" bestFit="1" customWidth="1"/>
    <col min="4113" max="4113" width="10" style="3041" customWidth="1"/>
    <col min="4114" max="4114" width="10.125" style="3041" customWidth="1"/>
    <col min="4115" max="4115" width="10" style="3041" customWidth="1"/>
    <col min="4116" max="4116" width="26.125" style="3041" customWidth="1"/>
    <col min="4117" max="4352" width="8.875" style="3041"/>
    <col min="4353" max="4353" width="9.5" style="3041" customWidth="1"/>
    <col min="4354" max="4354" width="8.875" style="3041"/>
    <col min="4355" max="4357" width="12.875" style="3041" customWidth="1"/>
    <col min="4358" max="4358" width="47.5" style="3041" customWidth="1"/>
    <col min="4359" max="4359" width="13" style="3041" customWidth="1"/>
    <col min="4360" max="4361" width="8.875" style="3041"/>
    <col min="4362" max="4362" width="5.75" style="3041" customWidth="1"/>
    <col min="4363" max="4363" width="11.75" style="3041" customWidth="1"/>
    <col min="4364" max="4365" width="10.75" style="3041" customWidth="1"/>
    <col min="4366" max="4366" width="10" style="3041" customWidth="1"/>
    <col min="4367" max="4368" width="10.5" style="3041" bestFit="1" customWidth="1"/>
    <col min="4369" max="4369" width="10" style="3041" customWidth="1"/>
    <col min="4370" max="4370" width="10.125" style="3041" customWidth="1"/>
    <col min="4371" max="4371" width="10" style="3041" customWidth="1"/>
    <col min="4372" max="4372" width="26.125" style="3041" customWidth="1"/>
    <col min="4373" max="4608" width="8.875" style="3041"/>
    <col min="4609" max="4609" width="9.5" style="3041" customWidth="1"/>
    <col min="4610" max="4610" width="8.875" style="3041"/>
    <col min="4611" max="4613" width="12.875" style="3041" customWidth="1"/>
    <col min="4614" max="4614" width="47.5" style="3041" customWidth="1"/>
    <col min="4615" max="4615" width="13" style="3041" customWidth="1"/>
    <col min="4616" max="4617" width="8.875" style="3041"/>
    <col min="4618" max="4618" width="5.75" style="3041" customWidth="1"/>
    <col min="4619" max="4619" width="11.75" style="3041" customWidth="1"/>
    <col min="4620" max="4621" width="10.75" style="3041" customWidth="1"/>
    <col min="4622" max="4622" width="10" style="3041" customWidth="1"/>
    <col min="4623" max="4624" width="10.5" style="3041" bestFit="1" customWidth="1"/>
    <col min="4625" max="4625" width="10" style="3041" customWidth="1"/>
    <col min="4626" max="4626" width="10.125" style="3041" customWidth="1"/>
    <col min="4627" max="4627" width="10" style="3041" customWidth="1"/>
    <col min="4628" max="4628" width="26.125" style="3041" customWidth="1"/>
    <col min="4629" max="4864" width="8.875" style="3041"/>
    <col min="4865" max="4865" width="9.5" style="3041" customWidth="1"/>
    <col min="4866" max="4866" width="8.875" style="3041"/>
    <col min="4867" max="4869" width="12.875" style="3041" customWidth="1"/>
    <col min="4870" max="4870" width="47.5" style="3041" customWidth="1"/>
    <col min="4871" max="4871" width="13" style="3041" customWidth="1"/>
    <col min="4872" max="4873" width="8.875" style="3041"/>
    <col min="4874" max="4874" width="5.75" style="3041" customWidth="1"/>
    <col min="4875" max="4875" width="11.75" style="3041" customWidth="1"/>
    <col min="4876" max="4877" width="10.75" style="3041" customWidth="1"/>
    <col min="4878" max="4878" width="10" style="3041" customWidth="1"/>
    <col min="4879" max="4880" width="10.5" style="3041" bestFit="1" customWidth="1"/>
    <col min="4881" max="4881" width="10" style="3041" customWidth="1"/>
    <col min="4882" max="4882" width="10.125" style="3041" customWidth="1"/>
    <col min="4883" max="4883" width="10" style="3041" customWidth="1"/>
    <col min="4884" max="4884" width="26.125" style="3041" customWidth="1"/>
    <col min="4885" max="5120" width="8.875" style="3041"/>
    <col min="5121" max="5121" width="9.5" style="3041" customWidth="1"/>
    <col min="5122" max="5122" width="8.875" style="3041"/>
    <col min="5123" max="5125" width="12.875" style="3041" customWidth="1"/>
    <col min="5126" max="5126" width="47.5" style="3041" customWidth="1"/>
    <col min="5127" max="5127" width="13" style="3041" customWidth="1"/>
    <col min="5128" max="5129" width="8.875" style="3041"/>
    <col min="5130" max="5130" width="5.75" style="3041" customWidth="1"/>
    <col min="5131" max="5131" width="11.75" style="3041" customWidth="1"/>
    <col min="5132" max="5133" width="10.75" style="3041" customWidth="1"/>
    <col min="5134" max="5134" width="10" style="3041" customWidth="1"/>
    <col min="5135" max="5136" width="10.5" style="3041" bestFit="1" customWidth="1"/>
    <col min="5137" max="5137" width="10" style="3041" customWidth="1"/>
    <col min="5138" max="5138" width="10.125" style="3041" customWidth="1"/>
    <col min="5139" max="5139" width="10" style="3041" customWidth="1"/>
    <col min="5140" max="5140" width="26.125" style="3041" customWidth="1"/>
    <col min="5141" max="5376" width="8.875" style="3041"/>
    <col min="5377" max="5377" width="9.5" style="3041" customWidth="1"/>
    <col min="5378" max="5378" width="8.875" style="3041"/>
    <col min="5379" max="5381" width="12.875" style="3041" customWidth="1"/>
    <col min="5382" max="5382" width="47.5" style="3041" customWidth="1"/>
    <col min="5383" max="5383" width="13" style="3041" customWidth="1"/>
    <col min="5384" max="5385" width="8.875" style="3041"/>
    <col min="5386" max="5386" width="5.75" style="3041" customWidth="1"/>
    <col min="5387" max="5387" width="11.75" style="3041" customWidth="1"/>
    <col min="5388" max="5389" width="10.75" style="3041" customWidth="1"/>
    <col min="5390" max="5390" width="10" style="3041" customWidth="1"/>
    <col min="5391" max="5392" width="10.5" style="3041" bestFit="1" customWidth="1"/>
    <col min="5393" max="5393" width="10" style="3041" customWidth="1"/>
    <col min="5394" max="5394" width="10.125" style="3041" customWidth="1"/>
    <col min="5395" max="5395" width="10" style="3041" customWidth="1"/>
    <col min="5396" max="5396" width="26.125" style="3041" customWidth="1"/>
    <col min="5397" max="5632" width="8.875" style="3041"/>
    <col min="5633" max="5633" width="9.5" style="3041" customWidth="1"/>
    <col min="5634" max="5634" width="8.875" style="3041"/>
    <col min="5635" max="5637" width="12.875" style="3041" customWidth="1"/>
    <col min="5638" max="5638" width="47.5" style="3041" customWidth="1"/>
    <col min="5639" max="5639" width="13" style="3041" customWidth="1"/>
    <col min="5640" max="5641" width="8.875" style="3041"/>
    <col min="5642" max="5642" width="5.75" style="3041" customWidth="1"/>
    <col min="5643" max="5643" width="11.75" style="3041" customWidth="1"/>
    <col min="5644" max="5645" width="10.75" style="3041" customWidth="1"/>
    <col min="5646" max="5646" width="10" style="3041" customWidth="1"/>
    <col min="5647" max="5648" width="10.5" style="3041" bestFit="1" customWidth="1"/>
    <col min="5649" max="5649" width="10" style="3041" customWidth="1"/>
    <col min="5650" max="5650" width="10.125" style="3041" customWidth="1"/>
    <col min="5651" max="5651" width="10" style="3041" customWidth="1"/>
    <col min="5652" max="5652" width="26.125" style="3041" customWidth="1"/>
    <col min="5653" max="5888" width="8.875" style="3041"/>
    <col min="5889" max="5889" width="9.5" style="3041" customWidth="1"/>
    <col min="5890" max="5890" width="8.875" style="3041"/>
    <col min="5891" max="5893" width="12.875" style="3041" customWidth="1"/>
    <col min="5894" max="5894" width="47.5" style="3041" customWidth="1"/>
    <col min="5895" max="5895" width="13" style="3041" customWidth="1"/>
    <col min="5896" max="5897" width="8.875" style="3041"/>
    <col min="5898" max="5898" width="5.75" style="3041" customWidth="1"/>
    <col min="5899" max="5899" width="11.75" style="3041" customWidth="1"/>
    <col min="5900" max="5901" width="10.75" style="3041" customWidth="1"/>
    <col min="5902" max="5902" width="10" style="3041" customWidth="1"/>
    <col min="5903" max="5904" width="10.5" style="3041" bestFit="1" customWidth="1"/>
    <col min="5905" max="5905" width="10" style="3041" customWidth="1"/>
    <col min="5906" max="5906" width="10.125" style="3041" customWidth="1"/>
    <col min="5907" max="5907" width="10" style="3041" customWidth="1"/>
    <col min="5908" max="5908" width="26.125" style="3041" customWidth="1"/>
    <col min="5909" max="6144" width="8.875" style="3041"/>
    <col min="6145" max="6145" width="9.5" style="3041" customWidth="1"/>
    <col min="6146" max="6146" width="8.875" style="3041"/>
    <col min="6147" max="6149" width="12.875" style="3041" customWidth="1"/>
    <col min="6150" max="6150" width="47.5" style="3041" customWidth="1"/>
    <col min="6151" max="6151" width="13" style="3041" customWidth="1"/>
    <col min="6152" max="6153" width="8.875" style="3041"/>
    <col min="6154" max="6154" width="5.75" style="3041" customWidth="1"/>
    <col min="6155" max="6155" width="11.75" style="3041" customWidth="1"/>
    <col min="6156" max="6157" width="10.75" style="3041" customWidth="1"/>
    <col min="6158" max="6158" width="10" style="3041" customWidth="1"/>
    <col min="6159" max="6160" width="10.5" style="3041" bestFit="1" customWidth="1"/>
    <col min="6161" max="6161" width="10" style="3041" customWidth="1"/>
    <col min="6162" max="6162" width="10.125" style="3041" customWidth="1"/>
    <col min="6163" max="6163" width="10" style="3041" customWidth="1"/>
    <col min="6164" max="6164" width="26.125" style="3041" customWidth="1"/>
    <col min="6165" max="6400" width="8.875" style="3041"/>
    <col min="6401" max="6401" width="9.5" style="3041" customWidth="1"/>
    <col min="6402" max="6402" width="8.875" style="3041"/>
    <col min="6403" max="6405" width="12.875" style="3041" customWidth="1"/>
    <col min="6406" max="6406" width="47.5" style="3041" customWidth="1"/>
    <col min="6407" max="6407" width="13" style="3041" customWidth="1"/>
    <col min="6408" max="6409" width="8.875" style="3041"/>
    <col min="6410" max="6410" width="5.75" style="3041" customWidth="1"/>
    <col min="6411" max="6411" width="11.75" style="3041" customWidth="1"/>
    <col min="6412" max="6413" width="10.75" style="3041" customWidth="1"/>
    <col min="6414" max="6414" width="10" style="3041" customWidth="1"/>
    <col min="6415" max="6416" width="10.5" style="3041" bestFit="1" customWidth="1"/>
    <col min="6417" max="6417" width="10" style="3041" customWidth="1"/>
    <col min="6418" max="6418" width="10.125" style="3041" customWidth="1"/>
    <col min="6419" max="6419" width="10" style="3041" customWidth="1"/>
    <col min="6420" max="6420" width="26.125" style="3041" customWidth="1"/>
    <col min="6421" max="6656" width="8.875" style="3041"/>
    <col min="6657" max="6657" width="9.5" style="3041" customWidth="1"/>
    <col min="6658" max="6658" width="8.875" style="3041"/>
    <col min="6659" max="6661" width="12.875" style="3041" customWidth="1"/>
    <col min="6662" max="6662" width="47.5" style="3041" customWidth="1"/>
    <col min="6663" max="6663" width="13" style="3041" customWidth="1"/>
    <col min="6664" max="6665" width="8.875" style="3041"/>
    <col min="6666" max="6666" width="5.75" style="3041" customWidth="1"/>
    <col min="6667" max="6667" width="11.75" style="3041" customWidth="1"/>
    <col min="6668" max="6669" width="10.75" style="3041" customWidth="1"/>
    <col min="6670" max="6670" width="10" style="3041" customWidth="1"/>
    <col min="6671" max="6672" width="10.5" style="3041" bestFit="1" customWidth="1"/>
    <col min="6673" max="6673" width="10" style="3041" customWidth="1"/>
    <col min="6674" max="6674" width="10.125" style="3041" customWidth="1"/>
    <col min="6675" max="6675" width="10" style="3041" customWidth="1"/>
    <col min="6676" max="6676" width="26.125" style="3041" customWidth="1"/>
    <col min="6677" max="6912" width="8.875" style="3041"/>
    <col min="6913" max="6913" width="9.5" style="3041" customWidth="1"/>
    <col min="6914" max="6914" width="8.875" style="3041"/>
    <col min="6915" max="6917" width="12.875" style="3041" customWidth="1"/>
    <col min="6918" max="6918" width="47.5" style="3041" customWidth="1"/>
    <col min="6919" max="6919" width="13" style="3041" customWidth="1"/>
    <col min="6920" max="6921" width="8.875" style="3041"/>
    <col min="6922" max="6922" width="5.75" style="3041" customWidth="1"/>
    <col min="6923" max="6923" width="11.75" style="3041" customWidth="1"/>
    <col min="6924" max="6925" width="10.75" style="3041" customWidth="1"/>
    <col min="6926" max="6926" width="10" style="3041" customWidth="1"/>
    <col min="6927" max="6928" width="10.5" style="3041" bestFit="1" customWidth="1"/>
    <col min="6929" max="6929" width="10" style="3041" customWidth="1"/>
    <col min="6930" max="6930" width="10.125" style="3041" customWidth="1"/>
    <col min="6931" max="6931" width="10" style="3041" customWidth="1"/>
    <col min="6932" max="6932" width="26.125" style="3041" customWidth="1"/>
    <col min="6933" max="7168" width="8.875" style="3041"/>
    <col min="7169" max="7169" width="9.5" style="3041" customWidth="1"/>
    <col min="7170" max="7170" width="8.875" style="3041"/>
    <col min="7171" max="7173" width="12.875" style="3041" customWidth="1"/>
    <col min="7174" max="7174" width="47.5" style="3041" customWidth="1"/>
    <col min="7175" max="7175" width="13" style="3041" customWidth="1"/>
    <col min="7176" max="7177" width="8.875" style="3041"/>
    <col min="7178" max="7178" width="5.75" style="3041" customWidth="1"/>
    <col min="7179" max="7179" width="11.75" style="3041" customWidth="1"/>
    <col min="7180" max="7181" width="10.75" style="3041" customWidth="1"/>
    <col min="7182" max="7182" width="10" style="3041" customWidth="1"/>
    <col min="7183" max="7184" width="10.5" style="3041" bestFit="1" customWidth="1"/>
    <col min="7185" max="7185" width="10" style="3041" customWidth="1"/>
    <col min="7186" max="7186" width="10.125" style="3041" customWidth="1"/>
    <col min="7187" max="7187" width="10" style="3041" customWidth="1"/>
    <col min="7188" max="7188" width="26.125" style="3041" customWidth="1"/>
    <col min="7189" max="7424" width="8.875" style="3041"/>
    <col min="7425" max="7425" width="9.5" style="3041" customWidth="1"/>
    <col min="7426" max="7426" width="8.875" style="3041"/>
    <col min="7427" max="7429" width="12.875" style="3041" customWidth="1"/>
    <col min="7430" max="7430" width="47.5" style="3041" customWidth="1"/>
    <col min="7431" max="7431" width="13" style="3041" customWidth="1"/>
    <col min="7432" max="7433" width="8.875" style="3041"/>
    <col min="7434" max="7434" width="5.75" style="3041" customWidth="1"/>
    <col min="7435" max="7435" width="11.75" style="3041" customWidth="1"/>
    <col min="7436" max="7437" width="10.75" style="3041" customWidth="1"/>
    <col min="7438" max="7438" width="10" style="3041" customWidth="1"/>
    <col min="7439" max="7440" width="10.5" style="3041" bestFit="1" customWidth="1"/>
    <col min="7441" max="7441" width="10" style="3041" customWidth="1"/>
    <col min="7442" max="7442" width="10.125" style="3041" customWidth="1"/>
    <col min="7443" max="7443" width="10" style="3041" customWidth="1"/>
    <col min="7444" max="7444" width="26.125" style="3041" customWidth="1"/>
    <col min="7445" max="7680" width="8.875" style="3041"/>
    <col min="7681" max="7681" width="9.5" style="3041" customWidth="1"/>
    <col min="7682" max="7682" width="8.875" style="3041"/>
    <col min="7683" max="7685" width="12.875" style="3041" customWidth="1"/>
    <col min="7686" max="7686" width="47.5" style="3041" customWidth="1"/>
    <col min="7687" max="7687" width="13" style="3041" customWidth="1"/>
    <col min="7688" max="7689" width="8.875" style="3041"/>
    <col min="7690" max="7690" width="5.75" style="3041" customWidth="1"/>
    <col min="7691" max="7691" width="11.75" style="3041" customWidth="1"/>
    <col min="7692" max="7693" width="10.75" style="3041" customWidth="1"/>
    <col min="7694" max="7694" width="10" style="3041" customWidth="1"/>
    <col min="7695" max="7696" width="10.5" style="3041" bestFit="1" customWidth="1"/>
    <col min="7697" max="7697" width="10" style="3041" customWidth="1"/>
    <col min="7698" max="7698" width="10.125" style="3041" customWidth="1"/>
    <col min="7699" max="7699" width="10" style="3041" customWidth="1"/>
    <col min="7700" max="7700" width="26.125" style="3041" customWidth="1"/>
    <col min="7701" max="7936" width="8.875" style="3041"/>
    <col min="7937" max="7937" width="9.5" style="3041" customWidth="1"/>
    <col min="7938" max="7938" width="8.875" style="3041"/>
    <col min="7939" max="7941" width="12.875" style="3041" customWidth="1"/>
    <col min="7942" max="7942" width="47.5" style="3041" customWidth="1"/>
    <col min="7943" max="7943" width="13" style="3041" customWidth="1"/>
    <col min="7944" max="7945" width="8.875" style="3041"/>
    <col min="7946" max="7946" width="5.75" style="3041" customWidth="1"/>
    <col min="7947" max="7947" width="11.75" style="3041" customWidth="1"/>
    <col min="7948" max="7949" width="10.75" style="3041" customWidth="1"/>
    <col min="7950" max="7950" width="10" style="3041" customWidth="1"/>
    <col min="7951" max="7952" width="10.5" style="3041" bestFit="1" customWidth="1"/>
    <col min="7953" max="7953" width="10" style="3041" customWidth="1"/>
    <col min="7954" max="7954" width="10.125" style="3041" customWidth="1"/>
    <col min="7955" max="7955" width="10" style="3041" customWidth="1"/>
    <col min="7956" max="7956" width="26.125" style="3041" customWidth="1"/>
    <col min="7957" max="8192" width="8.875" style="3041"/>
    <col min="8193" max="8193" width="9.5" style="3041" customWidth="1"/>
    <col min="8194" max="8194" width="8.875" style="3041"/>
    <col min="8195" max="8197" width="12.875" style="3041" customWidth="1"/>
    <col min="8198" max="8198" width="47.5" style="3041" customWidth="1"/>
    <col min="8199" max="8199" width="13" style="3041" customWidth="1"/>
    <col min="8200" max="8201" width="8.875" style="3041"/>
    <col min="8202" max="8202" width="5.75" style="3041" customWidth="1"/>
    <col min="8203" max="8203" width="11.75" style="3041" customWidth="1"/>
    <col min="8204" max="8205" width="10.75" style="3041" customWidth="1"/>
    <col min="8206" max="8206" width="10" style="3041" customWidth="1"/>
    <col min="8207" max="8208" width="10.5" style="3041" bestFit="1" customWidth="1"/>
    <col min="8209" max="8209" width="10" style="3041" customWidth="1"/>
    <col min="8210" max="8210" width="10.125" style="3041" customWidth="1"/>
    <col min="8211" max="8211" width="10" style="3041" customWidth="1"/>
    <col min="8212" max="8212" width="26.125" style="3041" customWidth="1"/>
    <col min="8213" max="8448" width="8.875" style="3041"/>
    <col min="8449" max="8449" width="9.5" style="3041" customWidth="1"/>
    <col min="8450" max="8450" width="8.875" style="3041"/>
    <col min="8451" max="8453" width="12.875" style="3041" customWidth="1"/>
    <col min="8454" max="8454" width="47.5" style="3041" customWidth="1"/>
    <col min="8455" max="8455" width="13" style="3041" customWidth="1"/>
    <col min="8456" max="8457" width="8.875" style="3041"/>
    <col min="8458" max="8458" width="5.75" style="3041" customWidth="1"/>
    <col min="8459" max="8459" width="11.75" style="3041" customWidth="1"/>
    <col min="8460" max="8461" width="10.75" style="3041" customWidth="1"/>
    <col min="8462" max="8462" width="10" style="3041" customWidth="1"/>
    <col min="8463" max="8464" width="10.5" style="3041" bestFit="1" customWidth="1"/>
    <col min="8465" max="8465" width="10" style="3041" customWidth="1"/>
    <col min="8466" max="8466" width="10.125" style="3041" customWidth="1"/>
    <col min="8467" max="8467" width="10" style="3041" customWidth="1"/>
    <col min="8468" max="8468" width="26.125" style="3041" customWidth="1"/>
    <col min="8469" max="8704" width="8.875" style="3041"/>
    <col min="8705" max="8705" width="9.5" style="3041" customWidth="1"/>
    <col min="8706" max="8706" width="8.875" style="3041"/>
    <col min="8707" max="8709" width="12.875" style="3041" customWidth="1"/>
    <col min="8710" max="8710" width="47.5" style="3041" customWidth="1"/>
    <col min="8711" max="8711" width="13" style="3041" customWidth="1"/>
    <col min="8712" max="8713" width="8.875" style="3041"/>
    <col min="8714" max="8714" width="5.75" style="3041" customWidth="1"/>
    <col min="8715" max="8715" width="11.75" style="3041" customWidth="1"/>
    <col min="8716" max="8717" width="10.75" style="3041" customWidth="1"/>
    <col min="8718" max="8718" width="10" style="3041" customWidth="1"/>
    <col min="8719" max="8720" width="10.5" style="3041" bestFit="1" customWidth="1"/>
    <col min="8721" max="8721" width="10" style="3041" customWidth="1"/>
    <col min="8722" max="8722" width="10.125" style="3041" customWidth="1"/>
    <col min="8723" max="8723" width="10" style="3041" customWidth="1"/>
    <col min="8724" max="8724" width="26.125" style="3041" customWidth="1"/>
    <col min="8725" max="8960" width="8.875" style="3041"/>
    <col min="8961" max="8961" width="9.5" style="3041" customWidth="1"/>
    <col min="8962" max="8962" width="8.875" style="3041"/>
    <col min="8963" max="8965" width="12.875" style="3041" customWidth="1"/>
    <col min="8966" max="8966" width="47.5" style="3041" customWidth="1"/>
    <col min="8967" max="8967" width="13" style="3041" customWidth="1"/>
    <col min="8968" max="8969" width="8.875" style="3041"/>
    <col min="8970" max="8970" width="5.75" style="3041" customWidth="1"/>
    <col min="8971" max="8971" width="11.75" style="3041" customWidth="1"/>
    <col min="8972" max="8973" width="10.75" style="3041" customWidth="1"/>
    <col min="8974" max="8974" width="10" style="3041" customWidth="1"/>
    <col min="8975" max="8976" width="10.5" style="3041" bestFit="1" customWidth="1"/>
    <col min="8977" max="8977" width="10" style="3041" customWidth="1"/>
    <col min="8978" max="8978" width="10.125" style="3041" customWidth="1"/>
    <col min="8979" max="8979" width="10" style="3041" customWidth="1"/>
    <col min="8980" max="8980" width="26.125" style="3041" customWidth="1"/>
    <col min="8981" max="9216" width="8.875" style="3041"/>
    <col min="9217" max="9217" width="9.5" style="3041" customWidth="1"/>
    <col min="9218" max="9218" width="8.875" style="3041"/>
    <col min="9219" max="9221" width="12.875" style="3041" customWidth="1"/>
    <col min="9222" max="9222" width="47.5" style="3041" customWidth="1"/>
    <col min="9223" max="9223" width="13" style="3041" customWidth="1"/>
    <col min="9224" max="9225" width="8.875" style="3041"/>
    <col min="9226" max="9226" width="5.75" style="3041" customWidth="1"/>
    <col min="9227" max="9227" width="11.75" style="3041" customWidth="1"/>
    <col min="9228" max="9229" width="10.75" style="3041" customWidth="1"/>
    <col min="9230" max="9230" width="10" style="3041" customWidth="1"/>
    <col min="9231" max="9232" width="10.5" style="3041" bestFit="1" customWidth="1"/>
    <col min="9233" max="9233" width="10" style="3041" customWidth="1"/>
    <col min="9234" max="9234" width="10.125" style="3041" customWidth="1"/>
    <col min="9235" max="9235" width="10" style="3041" customWidth="1"/>
    <col min="9236" max="9236" width="26.125" style="3041" customWidth="1"/>
    <col min="9237" max="9472" width="8.875" style="3041"/>
    <col min="9473" max="9473" width="9.5" style="3041" customWidth="1"/>
    <col min="9474" max="9474" width="8.875" style="3041"/>
    <col min="9475" max="9477" width="12.875" style="3041" customWidth="1"/>
    <col min="9478" max="9478" width="47.5" style="3041" customWidth="1"/>
    <col min="9479" max="9479" width="13" style="3041" customWidth="1"/>
    <col min="9480" max="9481" width="8.875" style="3041"/>
    <col min="9482" max="9482" width="5.75" style="3041" customWidth="1"/>
    <col min="9483" max="9483" width="11.75" style="3041" customWidth="1"/>
    <col min="9484" max="9485" width="10.75" style="3041" customWidth="1"/>
    <col min="9486" max="9486" width="10" style="3041" customWidth="1"/>
    <col min="9487" max="9488" width="10.5" style="3041" bestFit="1" customWidth="1"/>
    <col min="9489" max="9489" width="10" style="3041" customWidth="1"/>
    <col min="9490" max="9490" width="10.125" style="3041" customWidth="1"/>
    <col min="9491" max="9491" width="10" style="3041" customWidth="1"/>
    <col min="9492" max="9492" width="26.125" style="3041" customWidth="1"/>
    <col min="9493" max="9728" width="8.875" style="3041"/>
    <col min="9729" max="9729" width="9.5" style="3041" customWidth="1"/>
    <col min="9730" max="9730" width="8.875" style="3041"/>
    <col min="9731" max="9733" width="12.875" style="3041" customWidth="1"/>
    <col min="9734" max="9734" width="47.5" style="3041" customWidth="1"/>
    <col min="9735" max="9735" width="13" style="3041" customWidth="1"/>
    <col min="9736" max="9737" width="8.875" style="3041"/>
    <col min="9738" max="9738" width="5.75" style="3041" customWidth="1"/>
    <col min="9739" max="9739" width="11.75" style="3041" customWidth="1"/>
    <col min="9740" max="9741" width="10.75" style="3041" customWidth="1"/>
    <col min="9742" max="9742" width="10" style="3041" customWidth="1"/>
    <col min="9743" max="9744" width="10.5" style="3041" bestFit="1" customWidth="1"/>
    <col min="9745" max="9745" width="10" style="3041" customWidth="1"/>
    <col min="9746" max="9746" width="10.125" style="3041" customWidth="1"/>
    <col min="9747" max="9747" width="10" style="3041" customWidth="1"/>
    <col min="9748" max="9748" width="26.125" style="3041" customWidth="1"/>
    <col min="9749" max="9984" width="8.875" style="3041"/>
    <col min="9985" max="9985" width="9.5" style="3041" customWidth="1"/>
    <col min="9986" max="9986" width="8.875" style="3041"/>
    <col min="9987" max="9989" width="12.875" style="3041" customWidth="1"/>
    <col min="9990" max="9990" width="47.5" style="3041" customWidth="1"/>
    <col min="9991" max="9991" width="13" style="3041" customWidth="1"/>
    <col min="9992" max="9993" width="8.875" style="3041"/>
    <col min="9994" max="9994" width="5.75" style="3041" customWidth="1"/>
    <col min="9995" max="9995" width="11.75" style="3041" customWidth="1"/>
    <col min="9996" max="9997" width="10.75" style="3041" customWidth="1"/>
    <col min="9998" max="9998" width="10" style="3041" customWidth="1"/>
    <col min="9999" max="10000" width="10.5" style="3041" bestFit="1" customWidth="1"/>
    <col min="10001" max="10001" width="10" style="3041" customWidth="1"/>
    <col min="10002" max="10002" width="10.125" style="3041" customWidth="1"/>
    <col min="10003" max="10003" width="10" style="3041" customWidth="1"/>
    <col min="10004" max="10004" width="26.125" style="3041" customWidth="1"/>
    <col min="10005" max="10240" width="8.875" style="3041"/>
    <col min="10241" max="10241" width="9.5" style="3041" customWidth="1"/>
    <col min="10242" max="10242" width="8.875" style="3041"/>
    <col min="10243" max="10245" width="12.875" style="3041" customWidth="1"/>
    <col min="10246" max="10246" width="47.5" style="3041" customWidth="1"/>
    <col min="10247" max="10247" width="13" style="3041" customWidth="1"/>
    <col min="10248" max="10249" width="8.875" style="3041"/>
    <col min="10250" max="10250" width="5.75" style="3041" customWidth="1"/>
    <col min="10251" max="10251" width="11.75" style="3041" customWidth="1"/>
    <col min="10252" max="10253" width="10.75" style="3041" customWidth="1"/>
    <col min="10254" max="10254" width="10" style="3041" customWidth="1"/>
    <col min="10255" max="10256" width="10.5" style="3041" bestFit="1" customWidth="1"/>
    <col min="10257" max="10257" width="10" style="3041" customWidth="1"/>
    <col min="10258" max="10258" width="10.125" style="3041" customWidth="1"/>
    <col min="10259" max="10259" width="10" style="3041" customWidth="1"/>
    <col min="10260" max="10260" width="26.125" style="3041" customWidth="1"/>
    <col min="10261" max="10496" width="8.875" style="3041"/>
    <col min="10497" max="10497" width="9.5" style="3041" customWidth="1"/>
    <col min="10498" max="10498" width="8.875" style="3041"/>
    <col min="10499" max="10501" width="12.875" style="3041" customWidth="1"/>
    <col min="10502" max="10502" width="47.5" style="3041" customWidth="1"/>
    <col min="10503" max="10503" width="13" style="3041" customWidth="1"/>
    <col min="10504" max="10505" width="8.875" style="3041"/>
    <col min="10506" max="10506" width="5.75" style="3041" customWidth="1"/>
    <col min="10507" max="10507" width="11.75" style="3041" customWidth="1"/>
    <col min="10508" max="10509" width="10.75" style="3041" customWidth="1"/>
    <col min="10510" max="10510" width="10" style="3041" customWidth="1"/>
    <col min="10511" max="10512" width="10.5" style="3041" bestFit="1" customWidth="1"/>
    <col min="10513" max="10513" width="10" style="3041" customWidth="1"/>
    <col min="10514" max="10514" width="10.125" style="3041" customWidth="1"/>
    <col min="10515" max="10515" width="10" style="3041" customWidth="1"/>
    <col min="10516" max="10516" width="26.125" style="3041" customWidth="1"/>
    <col min="10517" max="10752" width="8.875" style="3041"/>
    <col min="10753" max="10753" width="9.5" style="3041" customWidth="1"/>
    <col min="10754" max="10754" width="8.875" style="3041"/>
    <col min="10755" max="10757" width="12.875" style="3041" customWidth="1"/>
    <col min="10758" max="10758" width="47.5" style="3041" customWidth="1"/>
    <col min="10759" max="10759" width="13" style="3041" customWidth="1"/>
    <col min="10760" max="10761" width="8.875" style="3041"/>
    <col min="10762" max="10762" width="5.75" style="3041" customWidth="1"/>
    <col min="10763" max="10763" width="11.75" style="3041" customWidth="1"/>
    <col min="10764" max="10765" width="10.75" style="3041" customWidth="1"/>
    <col min="10766" max="10766" width="10" style="3041" customWidth="1"/>
    <col min="10767" max="10768" width="10.5" style="3041" bestFit="1" customWidth="1"/>
    <col min="10769" max="10769" width="10" style="3041" customWidth="1"/>
    <col min="10770" max="10770" width="10.125" style="3041" customWidth="1"/>
    <col min="10771" max="10771" width="10" style="3041" customWidth="1"/>
    <col min="10772" max="10772" width="26.125" style="3041" customWidth="1"/>
    <col min="10773" max="11008" width="8.875" style="3041"/>
    <col min="11009" max="11009" width="9.5" style="3041" customWidth="1"/>
    <col min="11010" max="11010" width="8.875" style="3041"/>
    <col min="11011" max="11013" width="12.875" style="3041" customWidth="1"/>
    <col min="11014" max="11014" width="47.5" style="3041" customWidth="1"/>
    <col min="11015" max="11015" width="13" style="3041" customWidth="1"/>
    <col min="11016" max="11017" width="8.875" style="3041"/>
    <col min="11018" max="11018" width="5.75" style="3041" customWidth="1"/>
    <col min="11019" max="11019" width="11.75" style="3041" customWidth="1"/>
    <col min="11020" max="11021" width="10.75" style="3041" customWidth="1"/>
    <col min="11022" max="11022" width="10" style="3041" customWidth="1"/>
    <col min="11023" max="11024" width="10.5" style="3041" bestFit="1" customWidth="1"/>
    <col min="11025" max="11025" width="10" style="3041" customWidth="1"/>
    <col min="11026" max="11026" width="10.125" style="3041" customWidth="1"/>
    <col min="11027" max="11027" width="10" style="3041" customWidth="1"/>
    <col min="11028" max="11028" width="26.125" style="3041" customWidth="1"/>
    <col min="11029" max="11264" width="8.875" style="3041"/>
    <col min="11265" max="11265" width="9.5" style="3041" customWidth="1"/>
    <col min="11266" max="11266" width="8.875" style="3041"/>
    <col min="11267" max="11269" width="12.875" style="3041" customWidth="1"/>
    <col min="11270" max="11270" width="47.5" style="3041" customWidth="1"/>
    <col min="11271" max="11271" width="13" style="3041" customWidth="1"/>
    <col min="11272" max="11273" width="8.875" style="3041"/>
    <col min="11274" max="11274" width="5.75" style="3041" customWidth="1"/>
    <col min="11275" max="11275" width="11.75" style="3041" customWidth="1"/>
    <col min="11276" max="11277" width="10.75" style="3041" customWidth="1"/>
    <col min="11278" max="11278" width="10" style="3041" customWidth="1"/>
    <col min="11279" max="11280" width="10.5" style="3041" bestFit="1" customWidth="1"/>
    <col min="11281" max="11281" width="10" style="3041" customWidth="1"/>
    <col min="11282" max="11282" width="10.125" style="3041" customWidth="1"/>
    <col min="11283" max="11283" width="10" style="3041" customWidth="1"/>
    <col min="11284" max="11284" width="26.125" style="3041" customWidth="1"/>
    <col min="11285" max="11520" width="8.875" style="3041"/>
    <col min="11521" max="11521" width="9.5" style="3041" customWidth="1"/>
    <col min="11522" max="11522" width="8.875" style="3041"/>
    <col min="11523" max="11525" width="12.875" style="3041" customWidth="1"/>
    <col min="11526" max="11526" width="47.5" style="3041" customWidth="1"/>
    <col min="11527" max="11527" width="13" style="3041" customWidth="1"/>
    <col min="11528" max="11529" width="8.875" style="3041"/>
    <col min="11530" max="11530" width="5.75" style="3041" customWidth="1"/>
    <col min="11531" max="11531" width="11.75" style="3041" customWidth="1"/>
    <col min="11532" max="11533" width="10.75" style="3041" customWidth="1"/>
    <col min="11534" max="11534" width="10" style="3041" customWidth="1"/>
    <col min="11535" max="11536" width="10.5" style="3041" bestFit="1" customWidth="1"/>
    <col min="11537" max="11537" width="10" style="3041" customWidth="1"/>
    <col min="11538" max="11538" width="10.125" style="3041" customWidth="1"/>
    <col min="11539" max="11539" width="10" style="3041" customWidth="1"/>
    <col min="11540" max="11540" width="26.125" style="3041" customWidth="1"/>
    <col min="11541" max="11776" width="8.875" style="3041"/>
    <col min="11777" max="11777" width="9.5" style="3041" customWidth="1"/>
    <col min="11778" max="11778" width="8.875" style="3041"/>
    <col min="11779" max="11781" width="12.875" style="3041" customWidth="1"/>
    <col min="11782" max="11782" width="47.5" style="3041" customWidth="1"/>
    <col min="11783" max="11783" width="13" style="3041" customWidth="1"/>
    <col min="11784" max="11785" width="8.875" style="3041"/>
    <col min="11786" max="11786" width="5.75" style="3041" customWidth="1"/>
    <col min="11787" max="11787" width="11.75" style="3041" customWidth="1"/>
    <col min="11788" max="11789" width="10.75" style="3041" customWidth="1"/>
    <col min="11790" max="11790" width="10" style="3041" customWidth="1"/>
    <col min="11791" max="11792" width="10.5" style="3041" bestFit="1" customWidth="1"/>
    <col min="11793" max="11793" width="10" style="3041" customWidth="1"/>
    <col min="11794" max="11794" width="10.125" style="3041" customWidth="1"/>
    <col min="11795" max="11795" width="10" style="3041" customWidth="1"/>
    <col min="11796" max="11796" width="26.125" style="3041" customWidth="1"/>
    <col min="11797" max="12032" width="8.875" style="3041"/>
    <col min="12033" max="12033" width="9.5" style="3041" customWidth="1"/>
    <col min="12034" max="12034" width="8.875" style="3041"/>
    <col min="12035" max="12037" width="12.875" style="3041" customWidth="1"/>
    <col min="12038" max="12038" width="47.5" style="3041" customWidth="1"/>
    <col min="12039" max="12039" width="13" style="3041" customWidth="1"/>
    <col min="12040" max="12041" width="8.875" style="3041"/>
    <col min="12042" max="12042" width="5.75" style="3041" customWidth="1"/>
    <col min="12043" max="12043" width="11.75" style="3041" customWidth="1"/>
    <col min="12044" max="12045" width="10.75" style="3041" customWidth="1"/>
    <col min="12046" max="12046" width="10" style="3041" customWidth="1"/>
    <col min="12047" max="12048" width="10.5" style="3041" bestFit="1" customWidth="1"/>
    <col min="12049" max="12049" width="10" style="3041" customWidth="1"/>
    <col min="12050" max="12050" width="10.125" style="3041" customWidth="1"/>
    <col min="12051" max="12051" width="10" style="3041" customWidth="1"/>
    <col min="12052" max="12052" width="26.125" style="3041" customWidth="1"/>
    <col min="12053" max="12288" width="8.875" style="3041"/>
    <col min="12289" max="12289" width="9.5" style="3041" customWidth="1"/>
    <col min="12290" max="12290" width="8.875" style="3041"/>
    <col min="12291" max="12293" width="12.875" style="3041" customWidth="1"/>
    <col min="12294" max="12294" width="47.5" style="3041" customWidth="1"/>
    <col min="12295" max="12295" width="13" style="3041" customWidth="1"/>
    <col min="12296" max="12297" width="8.875" style="3041"/>
    <col min="12298" max="12298" width="5.75" style="3041" customWidth="1"/>
    <col min="12299" max="12299" width="11.75" style="3041" customWidth="1"/>
    <col min="12300" max="12301" width="10.75" style="3041" customWidth="1"/>
    <col min="12302" max="12302" width="10" style="3041" customWidth="1"/>
    <col min="12303" max="12304" width="10.5" style="3041" bestFit="1" customWidth="1"/>
    <col min="12305" max="12305" width="10" style="3041" customWidth="1"/>
    <col min="12306" max="12306" width="10.125" style="3041" customWidth="1"/>
    <col min="12307" max="12307" width="10" style="3041" customWidth="1"/>
    <col min="12308" max="12308" width="26.125" style="3041" customWidth="1"/>
    <col min="12309" max="12544" width="8.875" style="3041"/>
    <col min="12545" max="12545" width="9.5" style="3041" customWidth="1"/>
    <col min="12546" max="12546" width="8.875" style="3041"/>
    <col min="12547" max="12549" width="12.875" style="3041" customWidth="1"/>
    <col min="12550" max="12550" width="47.5" style="3041" customWidth="1"/>
    <col min="12551" max="12551" width="13" style="3041" customWidth="1"/>
    <col min="12552" max="12553" width="8.875" style="3041"/>
    <col min="12554" max="12554" width="5.75" style="3041" customWidth="1"/>
    <col min="12555" max="12555" width="11.75" style="3041" customWidth="1"/>
    <col min="12556" max="12557" width="10.75" style="3041" customWidth="1"/>
    <col min="12558" max="12558" width="10" style="3041" customWidth="1"/>
    <col min="12559" max="12560" width="10.5" style="3041" bestFit="1" customWidth="1"/>
    <col min="12561" max="12561" width="10" style="3041" customWidth="1"/>
    <col min="12562" max="12562" width="10.125" style="3041" customWidth="1"/>
    <col min="12563" max="12563" width="10" style="3041" customWidth="1"/>
    <col min="12564" max="12564" width="26.125" style="3041" customWidth="1"/>
    <col min="12565" max="12800" width="8.875" style="3041"/>
    <col min="12801" max="12801" width="9.5" style="3041" customWidth="1"/>
    <col min="12802" max="12802" width="8.875" style="3041"/>
    <col min="12803" max="12805" width="12.875" style="3041" customWidth="1"/>
    <col min="12806" max="12806" width="47.5" style="3041" customWidth="1"/>
    <col min="12807" max="12807" width="13" style="3041" customWidth="1"/>
    <col min="12808" max="12809" width="8.875" style="3041"/>
    <col min="12810" max="12810" width="5.75" style="3041" customWidth="1"/>
    <col min="12811" max="12811" width="11.75" style="3041" customWidth="1"/>
    <col min="12812" max="12813" width="10.75" style="3041" customWidth="1"/>
    <col min="12814" max="12814" width="10" style="3041" customWidth="1"/>
    <col min="12815" max="12816" width="10.5" style="3041" bestFit="1" customWidth="1"/>
    <col min="12817" max="12817" width="10" style="3041" customWidth="1"/>
    <col min="12818" max="12818" width="10.125" style="3041" customWidth="1"/>
    <col min="12819" max="12819" width="10" style="3041" customWidth="1"/>
    <col min="12820" max="12820" width="26.125" style="3041" customWidth="1"/>
    <col min="12821" max="13056" width="8.875" style="3041"/>
    <col min="13057" max="13057" width="9.5" style="3041" customWidth="1"/>
    <col min="13058" max="13058" width="8.875" style="3041"/>
    <col min="13059" max="13061" width="12.875" style="3041" customWidth="1"/>
    <col min="13062" max="13062" width="47.5" style="3041" customWidth="1"/>
    <col min="13063" max="13063" width="13" style="3041" customWidth="1"/>
    <col min="13064" max="13065" width="8.875" style="3041"/>
    <col min="13066" max="13066" width="5.75" style="3041" customWidth="1"/>
    <col min="13067" max="13067" width="11.75" style="3041" customWidth="1"/>
    <col min="13068" max="13069" width="10.75" style="3041" customWidth="1"/>
    <col min="13070" max="13070" width="10" style="3041" customWidth="1"/>
    <col min="13071" max="13072" width="10.5" style="3041" bestFit="1" customWidth="1"/>
    <col min="13073" max="13073" width="10" style="3041" customWidth="1"/>
    <col min="13074" max="13074" width="10.125" style="3041" customWidth="1"/>
    <col min="13075" max="13075" width="10" style="3041" customWidth="1"/>
    <col min="13076" max="13076" width="26.125" style="3041" customWidth="1"/>
    <col min="13077" max="13312" width="8.875" style="3041"/>
    <col min="13313" max="13313" width="9.5" style="3041" customWidth="1"/>
    <col min="13314" max="13314" width="8.875" style="3041"/>
    <col min="13315" max="13317" width="12.875" style="3041" customWidth="1"/>
    <col min="13318" max="13318" width="47.5" style="3041" customWidth="1"/>
    <col min="13319" max="13319" width="13" style="3041" customWidth="1"/>
    <col min="13320" max="13321" width="8.875" style="3041"/>
    <col min="13322" max="13322" width="5.75" style="3041" customWidth="1"/>
    <col min="13323" max="13323" width="11.75" style="3041" customWidth="1"/>
    <col min="13324" max="13325" width="10.75" style="3041" customWidth="1"/>
    <col min="13326" max="13326" width="10" style="3041" customWidth="1"/>
    <col min="13327" max="13328" width="10.5" style="3041" bestFit="1" customWidth="1"/>
    <col min="13329" max="13329" width="10" style="3041" customWidth="1"/>
    <col min="13330" max="13330" width="10.125" style="3041" customWidth="1"/>
    <col min="13331" max="13331" width="10" style="3041" customWidth="1"/>
    <col min="13332" max="13332" width="26.125" style="3041" customWidth="1"/>
    <col min="13333" max="13568" width="8.875" style="3041"/>
    <col min="13569" max="13569" width="9.5" style="3041" customWidth="1"/>
    <col min="13570" max="13570" width="8.875" style="3041"/>
    <col min="13571" max="13573" width="12.875" style="3041" customWidth="1"/>
    <col min="13574" max="13574" width="47.5" style="3041" customWidth="1"/>
    <col min="13575" max="13575" width="13" style="3041" customWidth="1"/>
    <col min="13576" max="13577" width="8.875" style="3041"/>
    <col min="13578" max="13578" width="5.75" style="3041" customWidth="1"/>
    <col min="13579" max="13579" width="11.75" style="3041" customWidth="1"/>
    <col min="13580" max="13581" width="10.75" style="3041" customWidth="1"/>
    <col min="13582" max="13582" width="10" style="3041" customWidth="1"/>
    <col min="13583" max="13584" width="10.5" style="3041" bestFit="1" customWidth="1"/>
    <col min="13585" max="13585" width="10" style="3041" customWidth="1"/>
    <col min="13586" max="13586" width="10.125" style="3041" customWidth="1"/>
    <col min="13587" max="13587" width="10" style="3041" customWidth="1"/>
    <col min="13588" max="13588" width="26.125" style="3041" customWidth="1"/>
    <col min="13589" max="13824" width="8.875" style="3041"/>
    <col min="13825" max="13825" width="9.5" style="3041" customWidth="1"/>
    <col min="13826" max="13826" width="8.875" style="3041"/>
    <col min="13827" max="13829" width="12.875" style="3041" customWidth="1"/>
    <col min="13830" max="13830" width="47.5" style="3041" customWidth="1"/>
    <col min="13831" max="13831" width="13" style="3041" customWidth="1"/>
    <col min="13832" max="13833" width="8.875" style="3041"/>
    <col min="13834" max="13834" width="5.75" style="3041" customWidth="1"/>
    <col min="13835" max="13835" width="11.75" style="3041" customWidth="1"/>
    <col min="13836" max="13837" width="10.75" style="3041" customWidth="1"/>
    <col min="13838" max="13838" width="10" style="3041" customWidth="1"/>
    <col min="13839" max="13840" width="10.5" style="3041" bestFit="1" customWidth="1"/>
    <col min="13841" max="13841" width="10" style="3041" customWidth="1"/>
    <col min="13842" max="13842" width="10.125" style="3041" customWidth="1"/>
    <col min="13843" max="13843" width="10" style="3041" customWidth="1"/>
    <col min="13844" max="13844" width="26.125" style="3041" customWidth="1"/>
    <col min="13845" max="14080" width="8.875" style="3041"/>
    <col min="14081" max="14081" width="9.5" style="3041" customWidth="1"/>
    <col min="14082" max="14082" width="8.875" style="3041"/>
    <col min="14083" max="14085" width="12.875" style="3041" customWidth="1"/>
    <col min="14086" max="14086" width="47.5" style="3041" customWidth="1"/>
    <col min="14087" max="14087" width="13" style="3041" customWidth="1"/>
    <col min="14088" max="14089" width="8.875" style="3041"/>
    <col min="14090" max="14090" width="5.75" style="3041" customWidth="1"/>
    <col min="14091" max="14091" width="11.75" style="3041" customWidth="1"/>
    <col min="14092" max="14093" width="10.75" style="3041" customWidth="1"/>
    <col min="14094" max="14094" width="10" style="3041" customWidth="1"/>
    <col min="14095" max="14096" width="10.5" style="3041" bestFit="1" customWidth="1"/>
    <col min="14097" max="14097" width="10" style="3041" customWidth="1"/>
    <col min="14098" max="14098" width="10.125" style="3041" customWidth="1"/>
    <col min="14099" max="14099" width="10" style="3041" customWidth="1"/>
    <col min="14100" max="14100" width="26.125" style="3041" customWidth="1"/>
    <col min="14101" max="14336" width="8.875" style="3041"/>
    <col min="14337" max="14337" width="9.5" style="3041" customWidth="1"/>
    <col min="14338" max="14338" width="8.875" style="3041"/>
    <col min="14339" max="14341" width="12.875" style="3041" customWidth="1"/>
    <col min="14342" max="14342" width="47.5" style="3041" customWidth="1"/>
    <col min="14343" max="14343" width="13" style="3041" customWidth="1"/>
    <col min="14344" max="14345" width="8.875" style="3041"/>
    <col min="14346" max="14346" width="5.75" style="3041" customWidth="1"/>
    <col min="14347" max="14347" width="11.75" style="3041" customWidth="1"/>
    <col min="14348" max="14349" width="10.75" style="3041" customWidth="1"/>
    <col min="14350" max="14350" width="10" style="3041" customWidth="1"/>
    <col min="14351" max="14352" width="10.5" style="3041" bestFit="1" customWidth="1"/>
    <col min="14353" max="14353" width="10" style="3041" customWidth="1"/>
    <col min="14354" max="14354" width="10.125" style="3041" customWidth="1"/>
    <col min="14355" max="14355" width="10" style="3041" customWidth="1"/>
    <col min="14356" max="14356" width="26.125" style="3041" customWidth="1"/>
    <col min="14357" max="14592" width="8.875" style="3041"/>
    <col min="14593" max="14593" width="9.5" style="3041" customWidth="1"/>
    <col min="14594" max="14594" width="8.875" style="3041"/>
    <col min="14595" max="14597" width="12.875" style="3041" customWidth="1"/>
    <col min="14598" max="14598" width="47.5" style="3041" customWidth="1"/>
    <col min="14599" max="14599" width="13" style="3041" customWidth="1"/>
    <col min="14600" max="14601" width="8.875" style="3041"/>
    <col min="14602" max="14602" width="5.75" style="3041" customWidth="1"/>
    <col min="14603" max="14603" width="11.75" style="3041" customWidth="1"/>
    <col min="14604" max="14605" width="10.75" style="3041" customWidth="1"/>
    <col min="14606" max="14606" width="10" style="3041" customWidth="1"/>
    <col min="14607" max="14608" width="10.5" style="3041" bestFit="1" customWidth="1"/>
    <col min="14609" max="14609" width="10" style="3041" customWidth="1"/>
    <col min="14610" max="14610" width="10.125" style="3041" customWidth="1"/>
    <col min="14611" max="14611" width="10" style="3041" customWidth="1"/>
    <col min="14612" max="14612" width="26.125" style="3041" customWidth="1"/>
    <col min="14613" max="14848" width="8.875" style="3041"/>
    <col min="14849" max="14849" width="9.5" style="3041" customWidth="1"/>
    <col min="14850" max="14850" width="8.875" style="3041"/>
    <col min="14851" max="14853" width="12.875" style="3041" customWidth="1"/>
    <col min="14854" max="14854" width="47.5" style="3041" customWidth="1"/>
    <col min="14855" max="14855" width="13" style="3041" customWidth="1"/>
    <col min="14856" max="14857" width="8.875" style="3041"/>
    <col min="14858" max="14858" width="5.75" style="3041" customWidth="1"/>
    <col min="14859" max="14859" width="11.75" style="3041" customWidth="1"/>
    <col min="14860" max="14861" width="10.75" style="3041" customWidth="1"/>
    <col min="14862" max="14862" width="10" style="3041" customWidth="1"/>
    <col min="14863" max="14864" width="10.5" style="3041" bestFit="1" customWidth="1"/>
    <col min="14865" max="14865" width="10" style="3041" customWidth="1"/>
    <col min="14866" max="14866" width="10.125" style="3041" customWidth="1"/>
    <col min="14867" max="14867" width="10" style="3041" customWidth="1"/>
    <col min="14868" max="14868" width="26.125" style="3041" customWidth="1"/>
    <col min="14869" max="15104" width="8.875" style="3041"/>
    <col min="15105" max="15105" width="9.5" style="3041" customWidth="1"/>
    <col min="15106" max="15106" width="8.875" style="3041"/>
    <col min="15107" max="15109" width="12.875" style="3041" customWidth="1"/>
    <col min="15110" max="15110" width="47.5" style="3041" customWidth="1"/>
    <col min="15111" max="15111" width="13" style="3041" customWidth="1"/>
    <col min="15112" max="15113" width="8.875" style="3041"/>
    <col min="15114" max="15114" width="5.75" style="3041" customWidth="1"/>
    <col min="15115" max="15115" width="11.75" style="3041" customWidth="1"/>
    <col min="15116" max="15117" width="10.75" style="3041" customWidth="1"/>
    <col min="15118" max="15118" width="10" style="3041" customWidth="1"/>
    <col min="15119" max="15120" width="10.5" style="3041" bestFit="1" customWidth="1"/>
    <col min="15121" max="15121" width="10" style="3041" customWidth="1"/>
    <col min="15122" max="15122" width="10.125" style="3041" customWidth="1"/>
    <col min="15123" max="15123" width="10" style="3041" customWidth="1"/>
    <col min="15124" max="15124" width="26.125" style="3041" customWidth="1"/>
    <col min="15125" max="15360" width="8.875" style="3041"/>
    <col min="15361" max="15361" width="9.5" style="3041" customWidth="1"/>
    <col min="15362" max="15362" width="8.875" style="3041"/>
    <col min="15363" max="15365" width="12.875" style="3041" customWidth="1"/>
    <col min="15366" max="15366" width="47.5" style="3041" customWidth="1"/>
    <col min="15367" max="15367" width="13" style="3041" customWidth="1"/>
    <col min="15368" max="15369" width="8.875" style="3041"/>
    <col min="15370" max="15370" width="5.75" style="3041" customWidth="1"/>
    <col min="15371" max="15371" width="11.75" style="3041" customWidth="1"/>
    <col min="15372" max="15373" width="10.75" style="3041" customWidth="1"/>
    <col min="15374" max="15374" width="10" style="3041" customWidth="1"/>
    <col min="15375" max="15376" width="10.5" style="3041" bestFit="1" customWidth="1"/>
    <col min="15377" max="15377" width="10" style="3041" customWidth="1"/>
    <col min="15378" max="15378" width="10.125" style="3041" customWidth="1"/>
    <col min="15379" max="15379" width="10" style="3041" customWidth="1"/>
    <col min="15380" max="15380" width="26.125" style="3041" customWidth="1"/>
    <col min="15381" max="15616" width="8.875" style="3041"/>
    <col min="15617" max="15617" width="9.5" style="3041" customWidth="1"/>
    <col min="15618" max="15618" width="8.875" style="3041"/>
    <col min="15619" max="15621" width="12.875" style="3041" customWidth="1"/>
    <col min="15622" max="15622" width="47.5" style="3041" customWidth="1"/>
    <col min="15623" max="15623" width="13" style="3041" customWidth="1"/>
    <col min="15624" max="15625" width="8.875" style="3041"/>
    <col min="15626" max="15626" width="5.75" style="3041" customWidth="1"/>
    <col min="15627" max="15627" width="11.75" style="3041" customWidth="1"/>
    <col min="15628" max="15629" width="10.75" style="3041" customWidth="1"/>
    <col min="15630" max="15630" width="10" style="3041" customWidth="1"/>
    <col min="15631" max="15632" width="10.5" style="3041" bestFit="1" customWidth="1"/>
    <col min="15633" max="15633" width="10" style="3041" customWidth="1"/>
    <col min="15634" max="15634" width="10.125" style="3041" customWidth="1"/>
    <col min="15635" max="15635" width="10" style="3041" customWidth="1"/>
    <col min="15636" max="15636" width="26.125" style="3041" customWidth="1"/>
    <col min="15637" max="15872" width="8.875" style="3041"/>
    <col min="15873" max="15873" width="9.5" style="3041" customWidth="1"/>
    <col min="15874" max="15874" width="8.875" style="3041"/>
    <col min="15875" max="15877" width="12.875" style="3041" customWidth="1"/>
    <col min="15878" max="15878" width="47.5" style="3041" customWidth="1"/>
    <col min="15879" max="15879" width="13" style="3041" customWidth="1"/>
    <col min="15880" max="15881" width="8.875" style="3041"/>
    <col min="15882" max="15882" width="5.75" style="3041" customWidth="1"/>
    <col min="15883" max="15883" width="11.75" style="3041" customWidth="1"/>
    <col min="15884" max="15885" width="10.75" style="3041" customWidth="1"/>
    <col min="15886" max="15886" width="10" style="3041" customWidth="1"/>
    <col min="15887" max="15888" width="10.5" style="3041" bestFit="1" customWidth="1"/>
    <col min="15889" max="15889" width="10" style="3041" customWidth="1"/>
    <col min="15890" max="15890" width="10.125" style="3041" customWidth="1"/>
    <col min="15891" max="15891" width="10" style="3041" customWidth="1"/>
    <col min="15892" max="15892" width="26.125" style="3041" customWidth="1"/>
    <col min="15893" max="16128" width="8.875" style="3041"/>
    <col min="16129" max="16129" width="9.5" style="3041" customWidth="1"/>
    <col min="16130" max="16130" width="8.875" style="3041"/>
    <col min="16131" max="16133" width="12.875" style="3041" customWidth="1"/>
    <col min="16134" max="16134" width="47.5" style="3041" customWidth="1"/>
    <col min="16135" max="16135" width="13" style="3041" customWidth="1"/>
    <col min="16136" max="16137" width="8.875" style="3041"/>
    <col min="16138" max="16138" width="5.75" style="3041" customWidth="1"/>
    <col min="16139" max="16139" width="11.75" style="3041" customWidth="1"/>
    <col min="16140" max="16141" width="10.75" style="3041" customWidth="1"/>
    <col min="16142" max="16142" width="10" style="3041" customWidth="1"/>
    <col min="16143" max="16144" width="10.5" style="3041" bestFit="1" customWidth="1"/>
    <col min="16145" max="16145" width="10" style="3041" customWidth="1"/>
    <col min="16146" max="16146" width="10.125" style="3041" customWidth="1"/>
    <col min="16147" max="16147" width="10" style="3041" customWidth="1"/>
    <col min="16148" max="16148" width="26.125" style="3041" customWidth="1"/>
    <col min="16149" max="16384" width="8.875" style="3041"/>
  </cols>
  <sheetData>
    <row r="1" spans="1:22" ht="21" customHeight="1">
      <c r="A1" s="3030" t="s">
        <v>3125</v>
      </c>
      <c r="B1" s="3031"/>
      <c r="C1" s="3043"/>
      <c r="D1" s="3043"/>
      <c r="E1" s="3032"/>
      <c r="F1" s="3033"/>
      <c r="G1" s="3034"/>
      <c r="J1" s="3037" t="s">
        <v>3004</v>
      </c>
      <c r="K1" s="3038"/>
      <c r="L1" s="3038"/>
      <c r="M1" s="3038"/>
      <c r="N1" s="3038"/>
      <c r="O1" s="3038"/>
      <c r="P1" s="3038"/>
      <c r="Q1" s="3038"/>
      <c r="R1" s="3039"/>
      <c r="S1" s="3040"/>
      <c r="T1" s="3040"/>
      <c r="U1" s="3040"/>
    </row>
    <row r="2" spans="1:22" s="3052" customFormat="1" ht="13.15" customHeight="1">
      <c r="A2" s="1539" t="s">
        <v>3005</v>
      </c>
      <c r="B2" s="3042" t="e">
        <f>C40</f>
        <v>#DIV/0!</v>
      </c>
      <c r="C2" s="3043" t="s">
        <v>3006</v>
      </c>
      <c r="D2" s="3043"/>
      <c r="E2" s="3044"/>
      <c r="F2" s="3045"/>
      <c r="G2" s="3046"/>
      <c r="H2" s="3047"/>
      <c r="I2" s="3048"/>
      <c r="J2" s="3410" t="s">
        <v>3007</v>
      </c>
      <c r="K2" s="3411"/>
      <c r="L2" s="3049" t="s">
        <v>3008</v>
      </c>
      <c r="M2" s="3049" t="s">
        <v>3009</v>
      </c>
      <c r="N2" s="3049" t="s">
        <v>3010</v>
      </c>
      <c r="O2" s="3049" t="s">
        <v>3011</v>
      </c>
      <c r="P2" s="3049" t="s">
        <v>3012</v>
      </c>
      <c r="Q2" s="3050" t="s">
        <v>3013</v>
      </c>
      <c r="R2" s="3051" t="s">
        <v>3014</v>
      </c>
      <c r="S2" s="3040"/>
      <c r="T2" s="3040"/>
      <c r="U2" s="3040"/>
      <c r="V2" s="3048"/>
    </row>
    <row r="3" spans="1:22" s="3052" customFormat="1" ht="13.15" customHeight="1">
      <c r="A3" s="3053" t="s">
        <v>3015</v>
      </c>
      <c r="B3" s="3054" t="e">
        <f>ROUND(B2*10000/B4,0)</f>
        <v>#DIV/0!</v>
      </c>
      <c r="C3" s="3043" t="s">
        <v>3016</v>
      </c>
      <c r="D3" s="3043"/>
      <c r="E3" s="3044"/>
      <c r="F3" s="3045"/>
      <c r="G3" s="3046"/>
      <c r="H3" s="3047"/>
      <c r="I3" s="3048"/>
      <c r="J3" s="3412" t="s">
        <v>3017</v>
      </c>
      <c r="K3" s="3413"/>
      <c r="L3" s="3055"/>
      <c r="M3" s="3055"/>
      <c r="N3" s="3055"/>
      <c r="O3" s="3055"/>
      <c r="P3" s="3055"/>
      <c r="Q3" s="3056"/>
      <c r="R3" s="3057">
        <f>SUM(L3:Q3)</f>
        <v>0</v>
      </c>
      <c r="S3" s="3040"/>
      <c r="T3" s="3040"/>
      <c r="U3" s="3040"/>
      <c r="V3" s="3048"/>
    </row>
    <row r="4" spans="1:22" s="3052" customFormat="1" ht="13.15" customHeight="1">
      <c r="A4" s="3058" t="s">
        <v>3018</v>
      </c>
      <c r="B4" s="3059"/>
      <c r="C4" s="3043"/>
      <c r="D4" s="3043"/>
      <c r="E4" s="3044"/>
      <c r="F4" s="3045"/>
      <c r="G4" s="3046"/>
      <c r="H4" s="3047"/>
      <c r="I4" s="3048"/>
      <c r="J4" s="3412" t="s">
        <v>3019</v>
      </c>
      <c r="K4" s="3413"/>
      <c r="L4" s="3060"/>
      <c r="M4" s="3060"/>
      <c r="N4" s="3060"/>
      <c r="O4" s="3060"/>
      <c r="P4" s="3060"/>
      <c r="Q4" s="3061"/>
      <c r="R4" s="3062">
        <f>SUM(L4:Q4)</f>
        <v>0</v>
      </c>
      <c r="S4" s="3040"/>
      <c r="T4" s="3040"/>
      <c r="U4" s="3040"/>
      <c r="V4" s="3048"/>
    </row>
    <row r="5" spans="1:22" s="3052" customFormat="1" ht="13.15" customHeight="1" thickBot="1">
      <c r="A5" s="3063" t="s">
        <v>3020</v>
      </c>
      <c r="B5" s="3064"/>
      <c r="C5" s="3043"/>
      <c r="D5" s="3065"/>
      <c r="E5" s="3045"/>
      <c r="F5" s="3045"/>
      <c r="G5" s="3046"/>
      <c r="H5" s="3047"/>
      <c r="I5" s="3048"/>
      <c r="J5" s="3066" t="s">
        <v>3021</v>
      </c>
      <c r="K5" s="3067"/>
      <c r="L5" s="3067"/>
      <c r="M5" s="3068"/>
      <c r="N5" s="3068"/>
      <c r="O5" s="3068"/>
      <c r="P5" s="3068"/>
      <c r="Q5" s="3068"/>
      <c r="R5" s="3051">
        <f>SUM(R14,R19,R24,R25,R27,R28)</f>
        <v>0</v>
      </c>
      <c r="S5" s="3040"/>
      <c r="T5" s="3040" t="s">
        <v>3022</v>
      </c>
      <c r="U5" s="3040" t="e">
        <f>ROUND(R5*10000/365/R3,1)</f>
        <v>#DIV/0!</v>
      </c>
      <c r="V5" s="3048"/>
    </row>
    <row r="6" spans="1:22" s="3052" customFormat="1" ht="13.15" customHeight="1" thickBot="1">
      <c r="A6" s="3414" t="s">
        <v>3023</v>
      </c>
      <c r="B6" s="3415"/>
      <c r="C6" s="3416"/>
      <c r="D6" s="3069"/>
      <c r="E6" s="3070"/>
      <c r="F6" s="3071"/>
      <c r="G6" s="3072"/>
      <c r="H6" s="3047"/>
      <c r="I6" s="3048"/>
      <c r="J6" s="3417">
        <v>1</v>
      </c>
      <c r="K6" s="3418" t="s">
        <v>3024</v>
      </c>
      <c r="L6" s="3073" t="s">
        <v>3025</v>
      </c>
      <c r="M6" s="3074" t="s">
        <v>3026</v>
      </c>
      <c r="N6" s="3074" t="s">
        <v>3027</v>
      </c>
      <c r="O6" s="3074" t="s">
        <v>3028</v>
      </c>
      <c r="P6" s="3074" t="s">
        <v>3029</v>
      </c>
      <c r="Q6" s="3074" t="s">
        <v>3030</v>
      </c>
      <c r="R6" s="3057" t="s">
        <v>3031</v>
      </c>
      <c r="S6" s="3040"/>
      <c r="T6" s="3040" t="s">
        <v>3032</v>
      </c>
      <c r="U6" s="3040"/>
      <c r="V6" s="3048"/>
    </row>
    <row r="7" spans="1:22" s="3052" customFormat="1" ht="13.15" customHeight="1">
      <c r="A7" s="3075" t="s">
        <v>3033</v>
      </c>
      <c r="B7" s="3076"/>
      <c r="C7" s="3077"/>
      <c r="D7" s="3078">
        <f>SUM(D9,D10,D11,D17,0)</f>
        <v>0</v>
      </c>
      <c r="E7" s="3079" t="e">
        <f>E9+E10+E11+E17</f>
        <v>#DIV/0!</v>
      </c>
      <c r="F7" s="3080"/>
      <c r="G7" s="3081"/>
      <c r="H7" s="3047"/>
      <c r="I7" s="3048"/>
      <c r="J7" s="3417"/>
      <c r="K7" s="3419"/>
      <c r="L7" s="3082" t="s">
        <v>3034</v>
      </c>
      <c r="M7" s="3083"/>
      <c r="N7" s="3059"/>
      <c r="O7" s="3084"/>
      <c r="P7" s="3084"/>
      <c r="Q7" s="3085">
        <v>365</v>
      </c>
      <c r="R7" s="3086">
        <f>ROUND(M7*N7*O7*P7*Q7/10000,0)</f>
        <v>0</v>
      </c>
      <c r="S7" s="3040"/>
      <c r="T7" s="3040" t="s">
        <v>3035</v>
      </c>
      <c r="U7" s="3040"/>
      <c r="V7" s="3048"/>
    </row>
    <row r="8" spans="1:22" s="3052" customFormat="1" ht="13.15" customHeight="1">
      <c r="A8" s="3087" t="s">
        <v>3036</v>
      </c>
      <c r="B8" s="3421" t="s">
        <v>3037</v>
      </c>
      <c r="C8" s="3422"/>
      <c r="D8" s="3088" t="s">
        <v>3038</v>
      </c>
      <c r="E8" s="3089" t="s">
        <v>3039</v>
      </c>
      <c r="F8" s="3090" t="s">
        <v>3040</v>
      </c>
      <c r="G8" s="3091"/>
      <c r="H8" s="3047"/>
      <c r="I8" s="3048"/>
      <c r="J8" s="3417"/>
      <c r="K8" s="3419"/>
      <c r="L8" s="3082" t="s">
        <v>3041</v>
      </c>
      <c r="M8" s="3083"/>
      <c r="N8" s="3059"/>
      <c r="O8" s="3084"/>
      <c r="P8" s="3084"/>
      <c r="Q8" s="3085">
        <v>365</v>
      </c>
      <c r="R8" s="3086">
        <f t="shared" ref="R8:R13" si="0">ROUND(M8*N8*O8*P8*Q8/10000,0)</f>
        <v>0</v>
      </c>
      <c r="S8" s="3040"/>
      <c r="T8" s="3040" t="s">
        <v>3042</v>
      </c>
      <c r="U8" s="3040"/>
      <c r="V8" s="3048"/>
    </row>
    <row r="9" spans="1:22" s="3052" customFormat="1" ht="13.15" customHeight="1">
      <c r="A9" s="3087">
        <v>1</v>
      </c>
      <c r="B9" s="3421" t="s">
        <v>3043</v>
      </c>
      <c r="C9" s="3422"/>
      <c r="D9" s="3088">
        <f>ROUND(D6*E9,0)</f>
        <v>0</v>
      </c>
      <c r="E9" s="3092"/>
      <c r="F9" s="3093" t="s">
        <v>3044</v>
      </c>
      <c r="G9" s="3072"/>
      <c r="H9" s="3047"/>
      <c r="I9" s="3048"/>
      <c r="J9" s="3417"/>
      <c r="K9" s="3419"/>
      <c r="L9" s="3082" t="s">
        <v>3045</v>
      </c>
      <c r="M9" s="3083"/>
      <c r="N9" s="3059"/>
      <c r="O9" s="3084"/>
      <c r="P9" s="3084"/>
      <c r="Q9" s="3085">
        <v>365</v>
      </c>
      <c r="R9" s="3086">
        <f t="shared" si="0"/>
        <v>0</v>
      </c>
      <c r="S9" s="3040"/>
      <c r="T9" s="3040"/>
      <c r="U9" s="3040"/>
      <c r="V9" s="3048"/>
    </row>
    <row r="10" spans="1:22" s="3052" customFormat="1" ht="13.15" customHeight="1">
      <c r="A10" s="3087">
        <v>2</v>
      </c>
      <c r="B10" s="3421" t="s">
        <v>3046</v>
      </c>
      <c r="C10" s="3422"/>
      <c r="D10" s="3088">
        <f>ROUND(D6*E10,0)</f>
        <v>0</v>
      </c>
      <c r="E10" s="3092"/>
      <c r="F10" s="3093" t="s">
        <v>3047</v>
      </c>
      <c r="G10" s="3072"/>
      <c r="H10" s="3047"/>
      <c r="I10" s="3048"/>
      <c r="J10" s="3417"/>
      <c r="K10" s="3419"/>
      <c r="L10" s="3082" t="s">
        <v>3048</v>
      </c>
      <c r="M10" s="3083"/>
      <c r="N10" s="3059"/>
      <c r="O10" s="3084"/>
      <c r="P10" s="3084"/>
      <c r="Q10" s="3085">
        <v>365</v>
      </c>
      <c r="R10" s="3086">
        <f t="shared" si="0"/>
        <v>0</v>
      </c>
      <c r="S10" s="3040"/>
      <c r="T10" s="3040"/>
      <c r="U10" s="3040"/>
      <c r="V10" s="3048"/>
    </row>
    <row r="11" spans="1:22" s="3052" customFormat="1" ht="13.15" customHeight="1">
      <c r="A11" s="3087">
        <v>3</v>
      </c>
      <c r="B11" s="3421" t="s">
        <v>3049</v>
      </c>
      <c r="C11" s="3422"/>
      <c r="D11" s="3088">
        <f>D12+D14+D15+D16</f>
        <v>0</v>
      </c>
      <c r="E11" s="3094" t="e">
        <f>D11/D6</f>
        <v>#DIV/0!</v>
      </c>
      <c r="F11" s="3090"/>
      <c r="G11" s="3091"/>
      <c r="H11" s="3047"/>
      <c r="I11" s="3048"/>
      <c r="J11" s="3417"/>
      <c r="K11" s="3419"/>
      <c r="L11" s="3082" t="s">
        <v>3050</v>
      </c>
      <c r="M11" s="3083"/>
      <c r="N11" s="3059"/>
      <c r="O11" s="3084"/>
      <c r="P11" s="3084"/>
      <c r="Q11" s="3085">
        <v>365</v>
      </c>
      <c r="R11" s="3086">
        <f t="shared" si="0"/>
        <v>0</v>
      </c>
      <c r="S11" s="3040"/>
      <c r="T11" s="3040"/>
      <c r="U11" s="3040"/>
      <c r="V11" s="3048"/>
    </row>
    <row r="12" spans="1:22" s="3052" customFormat="1" ht="13.15" customHeight="1">
      <c r="A12" s="3095" t="s">
        <v>3051</v>
      </c>
      <c r="B12" s="3423" t="s">
        <v>3052</v>
      </c>
      <c r="C12" s="3424"/>
      <c r="D12" s="3096">
        <f>ROUND(D13*1.2%*(1-30%),0)</f>
        <v>0</v>
      </c>
      <c r="E12" s="3097">
        <v>1.2E-2</v>
      </c>
      <c r="F12" s="3090" t="s">
        <v>3053</v>
      </c>
      <c r="G12" s="3091"/>
      <c r="H12" s="3047"/>
      <c r="I12" s="3048"/>
      <c r="J12" s="3417"/>
      <c r="K12" s="3419"/>
      <c r="L12" s="3082" t="s">
        <v>3054</v>
      </c>
      <c r="M12" s="3083"/>
      <c r="N12" s="3059"/>
      <c r="O12" s="3084"/>
      <c r="P12" s="3084"/>
      <c r="Q12" s="3085">
        <v>365</v>
      </c>
      <c r="R12" s="3086">
        <f t="shared" si="0"/>
        <v>0</v>
      </c>
      <c r="S12" s="3040"/>
      <c r="T12" s="3040"/>
      <c r="U12" s="3040"/>
      <c r="V12" s="3048"/>
    </row>
    <row r="13" spans="1:22" s="3052" customFormat="1" ht="13.15" customHeight="1">
      <c r="A13" s="3095"/>
      <c r="B13" s="3098"/>
      <c r="C13" s="3099" t="s">
        <v>3055</v>
      </c>
      <c r="D13" s="3100"/>
      <c r="E13" s="3101"/>
      <c r="F13" s="3090"/>
      <c r="G13" s="3091"/>
      <c r="H13" s="3047"/>
      <c r="I13" s="3048"/>
      <c r="J13" s="3417"/>
      <c r="K13" s="3419"/>
      <c r="L13" s="3082" t="s">
        <v>3056</v>
      </c>
      <c r="M13" s="3083"/>
      <c r="N13" s="3059"/>
      <c r="O13" s="3084"/>
      <c r="P13" s="3084"/>
      <c r="Q13" s="3085">
        <v>365</v>
      </c>
      <c r="R13" s="3086">
        <f t="shared" si="0"/>
        <v>0</v>
      </c>
      <c r="S13" s="3040"/>
      <c r="T13" s="3040"/>
      <c r="U13" s="3040"/>
      <c r="V13" s="3048"/>
    </row>
    <row r="14" spans="1:22" s="3052" customFormat="1" ht="13.15" customHeight="1">
      <c r="A14" s="3095" t="s">
        <v>3057</v>
      </c>
      <c r="B14" s="3423" t="s">
        <v>3058</v>
      </c>
      <c r="C14" s="3424"/>
      <c r="D14" s="3096">
        <f>ROUND(E14*B5/10000,0)</f>
        <v>0</v>
      </c>
      <c r="E14" s="3085"/>
      <c r="F14" s="3090" t="s">
        <v>3059</v>
      </c>
      <c r="G14" s="3091"/>
      <c r="H14" s="3047"/>
      <c r="I14" s="3048"/>
      <c r="J14" s="3417"/>
      <c r="K14" s="3420"/>
      <c r="L14" s="3102" t="s">
        <v>3060</v>
      </c>
      <c r="M14" s="3103">
        <f>SUM(M7:M13)</f>
        <v>0</v>
      </c>
      <c r="N14" s="3103" t="e">
        <f>ROUND((N7*M7+N8*M8+N9*M9+N10*M10+N11*M11+N12*M12+N13*M13)/M14,0)</f>
        <v>#DIV/0!</v>
      </c>
      <c r="O14" s="3104"/>
      <c r="P14" s="3104"/>
      <c r="Q14" s="3105"/>
      <c r="R14" s="3051">
        <f>SUM(R7:R13)</f>
        <v>0</v>
      </c>
      <c r="S14" s="3040"/>
      <c r="T14" s="3040"/>
      <c r="U14" s="3040"/>
      <c r="V14" s="3048"/>
    </row>
    <row r="15" spans="1:22" s="3052" customFormat="1" ht="13.15" customHeight="1">
      <c r="A15" s="3095" t="s">
        <v>3061</v>
      </c>
      <c r="B15" s="3423" t="s">
        <v>3062</v>
      </c>
      <c r="C15" s="3424"/>
      <c r="D15" s="3096">
        <f>ROUND(D6*E15,0)</f>
        <v>0</v>
      </c>
      <c r="E15" s="3097">
        <v>5.5E-2</v>
      </c>
      <c r="F15" s="3090" t="s">
        <v>3063</v>
      </c>
      <c r="G15" s="3072"/>
      <c r="H15" s="3047"/>
      <c r="I15" s="3048"/>
      <c r="J15" s="3417">
        <v>2</v>
      </c>
      <c r="K15" s="3418" t="s">
        <v>3064</v>
      </c>
      <c r="L15" s="3082" t="s">
        <v>3065</v>
      </c>
      <c r="M15" s="3083" t="s">
        <v>3066</v>
      </c>
      <c r="N15" s="3083" t="s">
        <v>3067</v>
      </c>
      <c r="O15" s="3084" t="s">
        <v>3068</v>
      </c>
      <c r="P15" s="3084" t="s">
        <v>3030</v>
      </c>
      <c r="Q15" s="3059" t="s">
        <v>3069</v>
      </c>
      <c r="R15" s="3106" t="s">
        <v>3031</v>
      </c>
      <c r="S15" s="3040"/>
      <c r="T15" s="3040"/>
      <c r="U15" s="3040"/>
      <c r="V15" s="3048"/>
    </row>
    <row r="16" spans="1:22" s="3052" customFormat="1" ht="13.15" customHeight="1">
      <c r="A16" s="3095" t="s">
        <v>3070</v>
      </c>
      <c r="B16" s="3423" t="s">
        <v>3071</v>
      </c>
      <c r="C16" s="3424"/>
      <c r="D16" s="3107">
        <f>D6*E16</f>
        <v>0</v>
      </c>
      <c r="E16" s="3108"/>
      <c r="F16" s="3093" t="s">
        <v>3072</v>
      </c>
      <c r="G16" s="3072"/>
      <c r="H16" s="3047"/>
      <c r="I16" s="3048"/>
      <c r="J16" s="3417"/>
      <c r="K16" s="3419"/>
      <c r="L16" s="3082" t="s">
        <v>3073</v>
      </c>
      <c r="M16" s="3083"/>
      <c r="N16" s="3083"/>
      <c r="O16" s="3084"/>
      <c r="P16" s="3085">
        <v>365</v>
      </c>
      <c r="Q16" s="3059"/>
      <c r="R16" s="3106">
        <f>ROUND(M16*N16*O16*P16/10000,0)</f>
        <v>0</v>
      </c>
      <c r="S16" s="3040"/>
      <c r="T16" s="3040"/>
      <c r="U16" s="3040"/>
      <c r="V16" s="3048"/>
    </row>
    <row r="17" spans="1:22" s="3052" customFormat="1" ht="13.15" customHeight="1" thickBot="1">
      <c r="A17" s="3109">
        <v>4</v>
      </c>
      <c r="B17" s="3425" t="s">
        <v>3074</v>
      </c>
      <c r="C17" s="3426"/>
      <c r="D17" s="3110">
        <f>ROUND(D6*E17,0)</f>
        <v>0</v>
      </c>
      <c r="E17" s="3111"/>
      <c r="F17" s="3112" t="s">
        <v>3075</v>
      </c>
      <c r="G17" s="3072"/>
      <c r="H17" s="3047"/>
      <c r="I17" s="3048"/>
      <c r="J17" s="3417"/>
      <c r="K17" s="3419"/>
      <c r="L17" s="3082" t="s">
        <v>3076</v>
      </c>
      <c r="M17" s="3083"/>
      <c r="N17" s="3083"/>
      <c r="O17" s="3084"/>
      <c r="P17" s="3085">
        <v>365</v>
      </c>
      <c r="Q17" s="3059"/>
      <c r="R17" s="3106">
        <f>ROUND(M17*N17*O17*P17/10000,0)</f>
        <v>0</v>
      </c>
      <c r="S17" s="3040"/>
      <c r="T17" s="3040"/>
      <c r="U17" s="3040"/>
      <c r="V17" s="3048"/>
    </row>
    <row r="18" spans="1:22" s="3052" customFormat="1" ht="13.15" customHeight="1" thickBot="1">
      <c r="A18" s="3075" t="s">
        <v>3077</v>
      </c>
      <c r="B18" s="3076"/>
      <c r="C18" s="3076"/>
      <c r="D18" s="3113">
        <f>ROUND(D6*E18,0)</f>
        <v>0</v>
      </c>
      <c r="E18" s="3114"/>
      <c r="F18" s="3115" t="s">
        <v>3078</v>
      </c>
      <c r="G18" s="3072"/>
      <c r="H18" s="3047"/>
      <c r="I18" s="3048"/>
      <c r="J18" s="3417"/>
      <c r="K18" s="3419"/>
      <c r="L18" s="3082" t="s">
        <v>3079</v>
      </c>
      <c r="M18" s="3083"/>
      <c r="N18" s="3083"/>
      <c r="O18" s="3084"/>
      <c r="P18" s="3085">
        <v>365</v>
      </c>
      <c r="Q18" s="3059"/>
      <c r="R18" s="3106">
        <f>ROUND(M18*N18*O18*P18/10000,0)</f>
        <v>0</v>
      </c>
      <c r="S18" s="3040"/>
      <c r="T18" s="3040"/>
      <c r="U18" s="3040"/>
      <c r="V18" s="3048"/>
    </row>
    <row r="19" spans="1:22" s="3052" customFormat="1" ht="13.15" customHeight="1" thickBot="1">
      <c r="A19" s="3116" t="s">
        <v>3080</v>
      </c>
      <c r="B19" s="3070"/>
      <c r="C19" s="3070"/>
      <c r="D19" s="3070"/>
      <c r="E19" s="3070"/>
      <c r="F19" s="3071"/>
      <c r="G19" s="3091"/>
      <c r="H19" s="3047"/>
      <c r="I19" s="3048"/>
      <c r="J19" s="3417"/>
      <c r="K19" s="3420"/>
      <c r="L19" s="3102" t="s">
        <v>3060</v>
      </c>
      <c r="M19" s="3103"/>
      <c r="N19" s="3103">
        <f>SUM(N16:N18)</f>
        <v>0</v>
      </c>
      <c r="O19" s="3104"/>
      <c r="P19" s="3117" t="s">
        <v>3124</v>
      </c>
      <c r="Q19" s="3084">
        <v>0</v>
      </c>
      <c r="R19" s="3118">
        <f>ROUND(IF(P19="按比例",R14*Q19,SUM(R16:R18)),0)</f>
        <v>0</v>
      </c>
      <c r="S19" s="3040"/>
      <c r="T19" s="3040"/>
      <c r="U19" s="3040"/>
      <c r="V19" s="3048"/>
    </row>
    <row r="20" spans="1:22" s="3052" customFormat="1" ht="13.15" customHeight="1">
      <c r="A20" s="3075"/>
      <c r="B20" s="3076"/>
      <c r="C20" s="3076"/>
      <c r="D20" s="3076"/>
      <c r="E20" s="3076"/>
      <c r="F20" s="3119"/>
      <c r="G20" s="3091"/>
      <c r="H20" s="3047"/>
      <c r="I20" s="3048"/>
      <c r="J20" s="3417">
        <v>3</v>
      </c>
      <c r="K20" s="3418" t="s">
        <v>3081</v>
      </c>
      <c r="L20" s="3082" t="s">
        <v>3082</v>
      </c>
      <c r="M20" s="3083" t="s">
        <v>3083</v>
      </c>
      <c r="N20" s="3120" t="s">
        <v>3084</v>
      </c>
      <c r="O20" s="3084" t="s">
        <v>3085</v>
      </c>
      <c r="P20" s="3085" t="s">
        <v>3086</v>
      </c>
      <c r="Q20" s="3059" t="s">
        <v>3087</v>
      </c>
      <c r="R20" s="3106" t="s">
        <v>3088</v>
      </c>
      <c r="S20" s="3121"/>
      <c r="T20" s="3121"/>
      <c r="U20" s="3121"/>
      <c r="V20" s="3048"/>
    </row>
    <row r="21" spans="1:22" s="3052" customFormat="1" ht="13.15" customHeight="1">
      <c r="A21" s="3075"/>
      <c r="B21" s="3076"/>
      <c r="C21" s="3122" t="s">
        <v>3089</v>
      </c>
      <c r="D21" s="3123" t="s">
        <v>3090</v>
      </c>
      <c r="E21" s="3124" t="s">
        <v>3091</v>
      </c>
      <c r="F21" s="3119"/>
      <c r="G21" s="3091"/>
      <c r="H21" s="3047"/>
      <c r="I21" s="3048"/>
      <c r="J21" s="3417"/>
      <c r="K21" s="3419"/>
      <c r="L21" s="3082" t="s">
        <v>3092</v>
      </c>
      <c r="M21" s="3083"/>
      <c r="N21" s="3083"/>
      <c r="O21" s="3084"/>
      <c r="P21" s="3085">
        <v>365</v>
      </c>
      <c r="Q21" s="3059"/>
      <c r="R21" s="3125">
        <f>ROUND(M21*N21*O21*P21/10000,0)</f>
        <v>0</v>
      </c>
      <c r="S21" s="3121"/>
      <c r="T21" s="3121"/>
      <c r="U21" s="3121"/>
      <c r="V21" s="3048"/>
    </row>
    <row r="22" spans="1:22" s="3052" customFormat="1" ht="13.15" customHeight="1">
      <c r="A22" s="3075"/>
      <c r="B22" s="3076"/>
      <c r="C22" s="3126" t="s">
        <v>3093</v>
      </c>
      <c r="D22" s="3127" t="s">
        <v>3094</v>
      </c>
      <c r="E22" s="3128" t="s">
        <v>3095</v>
      </c>
      <c r="F22" s="3119"/>
      <c r="G22" s="3129"/>
      <c r="H22" s="3047"/>
      <c r="I22" s="3048"/>
      <c r="J22" s="3417"/>
      <c r="K22" s="3419"/>
      <c r="L22" s="3082" t="s">
        <v>3096</v>
      </c>
      <c r="M22" s="3083"/>
      <c r="N22" s="3083"/>
      <c r="O22" s="3084"/>
      <c r="P22" s="3085">
        <v>365</v>
      </c>
      <c r="Q22" s="3059"/>
      <c r="R22" s="3125">
        <f>ROUND(M22*N22*O22*P22/10000,0)</f>
        <v>0</v>
      </c>
      <c r="S22" s="3121"/>
      <c r="T22" s="3121"/>
      <c r="U22" s="3121"/>
      <c r="V22" s="3048"/>
    </row>
    <row r="23" spans="1:22" s="3052" customFormat="1" ht="13.15" customHeight="1">
      <c r="A23" s="3130">
        <v>1</v>
      </c>
      <c r="B23" s="3131" t="s">
        <v>3097</v>
      </c>
      <c r="C23" s="3132">
        <f>D6</f>
        <v>0</v>
      </c>
      <c r="D23" s="3133">
        <f>C23*(1+D24)</f>
        <v>0</v>
      </c>
      <c r="E23" s="3134">
        <f>D23*(1+E24)</f>
        <v>0</v>
      </c>
      <c r="F23" s="3135"/>
      <c r="G23" s="3136"/>
      <c r="H23" s="3047"/>
      <c r="I23" s="3048"/>
      <c r="J23" s="3417"/>
      <c r="K23" s="3419"/>
      <c r="L23" s="3082" t="s">
        <v>3098</v>
      </c>
      <c r="M23" s="3083"/>
      <c r="N23" s="3083"/>
      <c r="O23" s="3084"/>
      <c r="P23" s="3085">
        <v>365</v>
      </c>
      <c r="Q23" s="3059"/>
      <c r="R23" s="3125">
        <f>ROUND(M23*N23*O23*P23/10000,0)</f>
        <v>0</v>
      </c>
      <c r="S23" s="3040"/>
      <c r="T23" s="3040"/>
      <c r="U23" s="3040"/>
      <c r="V23" s="3048"/>
    </row>
    <row r="24" spans="1:22" s="3052" customFormat="1" ht="13.15" customHeight="1">
      <c r="A24" s="3137"/>
      <c r="B24" s="3138" t="s">
        <v>3099</v>
      </c>
      <c r="C24" s="3139"/>
      <c r="D24" s="3140"/>
      <c r="E24" s="3141"/>
      <c r="F24" s="3142"/>
      <c r="G24" s="3136"/>
      <c r="H24" s="3047"/>
      <c r="I24" s="3048"/>
      <c r="J24" s="3417"/>
      <c r="K24" s="3420"/>
      <c r="L24" s="3102" t="s">
        <v>3060</v>
      </c>
      <c r="M24" s="3103">
        <f>SUM(M21:M23)</f>
        <v>0</v>
      </c>
      <c r="N24" s="3103"/>
      <c r="O24" s="3104"/>
      <c r="P24" s="3117" t="s">
        <v>3124</v>
      </c>
      <c r="Q24" s="3084">
        <v>0</v>
      </c>
      <c r="R24" s="3118">
        <f>ROUND(IF(P24="按比例",R14*Q24,SUM(R21:R23)),0)</f>
        <v>0</v>
      </c>
      <c r="S24" s="3040"/>
      <c r="T24" s="3040"/>
      <c r="U24" s="3040"/>
      <c r="V24" s="3048"/>
    </row>
    <row r="25" spans="1:22" s="3149" customFormat="1" ht="13.15" customHeight="1">
      <c r="A25" s="3137"/>
      <c r="B25" s="3138"/>
      <c r="C25" s="3139"/>
      <c r="D25" s="3140"/>
      <c r="E25" s="3141"/>
      <c r="F25" s="3142"/>
      <c r="G25" s="3129"/>
      <c r="H25" s="3047"/>
      <c r="I25" s="3048"/>
      <c r="J25" s="3143">
        <v>4</v>
      </c>
      <c r="K25" s="3144" t="s">
        <v>3100</v>
      </c>
      <c r="L25" s="3145"/>
      <c r="M25" s="3145"/>
      <c r="N25" s="3145"/>
      <c r="O25" s="3145"/>
      <c r="P25" s="3146"/>
      <c r="Q25" s="3147">
        <v>0</v>
      </c>
      <c r="R25" s="3118">
        <f>ROUND(R14*Q25,0)</f>
        <v>0</v>
      </c>
      <c r="S25" s="3040"/>
      <c r="T25" s="3040"/>
      <c r="U25" s="3040"/>
      <c r="V25" s="3148"/>
    </row>
    <row r="26" spans="1:22" s="3149" customFormat="1" ht="13.15" customHeight="1">
      <c r="A26" s="3130">
        <v>2</v>
      </c>
      <c r="B26" s="3131" t="s">
        <v>3101</v>
      </c>
      <c r="C26" s="3132">
        <f>D7</f>
        <v>0</v>
      </c>
      <c r="D26" s="3133">
        <f>D23*D27</f>
        <v>0</v>
      </c>
      <c r="E26" s="3134">
        <f>E23*E27</f>
        <v>0</v>
      </c>
      <c r="F26" s="3135"/>
      <c r="G26" s="3136"/>
      <c r="H26" s="3047"/>
      <c r="I26" s="3048"/>
      <c r="J26" s="3427">
        <v>5</v>
      </c>
      <c r="K26" s="3150" t="s">
        <v>3102</v>
      </c>
      <c r="L26" s="3151"/>
      <c r="M26" s="3152"/>
      <c r="N26" s="3153" t="s">
        <v>3103</v>
      </c>
      <c r="O26" s="3153" t="s">
        <v>3104</v>
      </c>
      <c r="P26" s="3154" t="s">
        <v>3105</v>
      </c>
      <c r="Q26" s="3154" t="s">
        <v>3106</v>
      </c>
      <c r="R26" s="3057" t="s">
        <v>3031</v>
      </c>
      <c r="S26" s="3155"/>
      <c r="T26" s="3155"/>
      <c r="U26" s="3155"/>
      <c r="V26" s="3148"/>
    </row>
    <row r="27" spans="1:22" s="3052" customFormat="1" ht="13.15" customHeight="1">
      <c r="A27" s="3137"/>
      <c r="B27" s="3138" t="s">
        <v>3107</v>
      </c>
      <c r="C27" s="3156" t="e">
        <f>E7</f>
        <v>#DIV/0!</v>
      </c>
      <c r="D27" s="3140"/>
      <c r="E27" s="3141"/>
      <c r="F27" s="3142"/>
      <c r="G27" s="3136"/>
      <c r="H27" s="3157"/>
      <c r="I27" s="3148"/>
      <c r="J27" s="3428"/>
      <c r="K27" s="3158"/>
      <c r="L27" s="3159"/>
      <c r="M27" s="3160"/>
      <c r="N27" s="3161"/>
      <c r="O27" s="3161"/>
      <c r="P27" s="3161"/>
      <c r="Q27" s="3162"/>
      <c r="R27" s="3118">
        <f>ROUND(O27*N27*P27*(1-Q27)/10000,0)</f>
        <v>0</v>
      </c>
      <c r="S27" s="3040"/>
      <c r="T27" s="3040"/>
      <c r="U27" s="3040"/>
      <c r="V27" s="3048"/>
    </row>
    <row r="28" spans="1:22" s="3149" customFormat="1" ht="13.15" customHeight="1" thickBot="1">
      <c r="A28" s="3137"/>
      <c r="B28" s="3138"/>
      <c r="C28" s="3156"/>
      <c r="D28" s="3140"/>
      <c r="E28" s="3141" t="s">
        <v>3108</v>
      </c>
      <c r="F28" s="3142"/>
      <c r="G28" s="3129"/>
      <c r="H28" s="3157"/>
      <c r="I28" s="3148"/>
      <c r="J28" s="3163">
        <v>6</v>
      </c>
      <c r="K28" s="3164" t="s">
        <v>3109</v>
      </c>
      <c r="L28" s="3165" t="s">
        <v>3110</v>
      </c>
      <c r="M28" s="3166"/>
      <c r="N28" s="3165" t="s">
        <v>3111</v>
      </c>
      <c r="O28" s="3167"/>
      <c r="P28" s="3165" t="s">
        <v>3112</v>
      </c>
      <c r="Q28" s="3168">
        <v>1.4999999999999999E-2</v>
      </c>
      <c r="R28" s="3169"/>
      <c r="S28" s="3121"/>
      <c r="T28" s="3121"/>
      <c r="U28" s="3121"/>
      <c r="V28" s="3148"/>
    </row>
    <row r="29" spans="1:22" s="3149" customFormat="1" ht="13.15" customHeight="1">
      <c r="A29" s="3130">
        <v>3</v>
      </c>
      <c r="B29" s="3131" t="s">
        <v>3113</v>
      </c>
      <c r="C29" s="3132">
        <f>C23*C30</f>
        <v>0</v>
      </c>
      <c r="D29" s="3133">
        <f>D23*C30</f>
        <v>0</v>
      </c>
      <c r="E29" s="3134">
        <f>E23*C30</f>
        <v>0</v>
      </c>
      <c r="F29" s="3135"/>
      <c r="G29" s="3136"/>
      <c r="H29" s="3047"/>
      <c r="I29" s="3048"/>
      <c r="J29" s="3121"/>
      <c r="K29" s="3121"/>
      <c r="L29" s="3121"/>
      <c r="M29" s="3121"/>
      <c r="N29" s="3121"/>
      <c r="O29" s="3121"/>
      <c r="P29" s="3121"/>
      <c r="Q29" s="3121"/>
      <c r="R29" s="3121"/>
      <c r="S29" s="3121"/>
      <c r="T29" s="3121"/>
      <c r="U29" s="3121"/>
      <c r="V29" s="3148"/>
    </row>
    <row r="30" spans="1:22" s="3052" customFormat="1" ht="13.15" customHeight="1" thickBot="1">
      <c r="A30" s="3137"/>
      <c r="B30" s="3138" t="s">
        <v>3107</v>
      </c>
      <c r="C30" s="3156">
        <f>E18</f>
        <v>0</v>
      </c>
      <c r="D30" s="3170"/>
      <c r="E30" s="3101"/>
      <c r="F30" s="3142"/>
      <c r="G30" s="3136"/>
      <c r="H30" s="3157"/>
      <c r="I30" s="3148"/>
      <c r="J30" s="3121"/>
      <c r="K30" s="3121"/>
      <c r="L30" s="3121"/>
      <c r="M30" s="3121"/>
      <c r="N30" s="3121"/>
      <c r="O30" s="3121"/>
      <c r="P30" s="3121"/>
      <c r="Q30" s="3121"/>
      <c r="R30" s="3121"/>
      <c r="S30" s="3121"/>
      <c r="T30" s="3121"/>
      <c r="U30" s="3040"/>
      <c r="V30" s="3048"/>
    </row>
    <row r="31" spans="1:22" s="3149" customFormat="1" ht="13.15" customHeight="1">
      <c r="A31" s="3137"/>
      <c r="B31" s="3138"/>
      <c r="C31" s="3171"/>
      <c r="D31" s="3170"/>
      <c r="E31" s="3101"/>
      <c r="F31" s="3142"/>
      <c r="G31" s="3129"/>
      <c r="H31" s="3157"/>
      <c r="I31" s="3148"/>
      <c r="J31" s="3037" t="s">
        <v>3114</v>
      </c>
      <c r="K31" s="3038"/>
      <c r="L31" s="3038"/>
      <c r="M31" s="3038"/>
      <c r="N31" s="3038"/>
      <c r="O31" s="3038"/>
      <c r="P31" s="3038"/>
      <c r="Q31" s="3038"/>
      <c r="R31" s="3039"/>
      <c r="S31" s="3121"/>
      <c r="T31" s="3040"/>
      <c r="U31" s="3040"/>
      <c r="V31" s="3148"/>
    </row>
    <row r="32" spans="1:22" s="3149" customFormat="1" ht="13.15" customHeight="1">
      <c r="A32" s="3130">
        <v>4</v>
      </c>
      <c r="B32" s="3131" t="s">
        <v>3115</v>
      </c>
      <c r="C32" s="3132">
        <f>C23-C26-C29</f>
        <v>0</v>
      </c>
      <c r="D32" s="3133">
        <f>D23-D26-D29</f>
        <v>0</v>
      </c>
      <c r="E32" s="3134">
        <f>E23-E26-E29</f>
        <v>0</v>
      </c>
      <c r="F32" s="3135"/>
      <c r="G32" s="3129"/>
      <c r="H32" s="3047"/>
      <c r="I32" s="3048"/>
      <c r="J32" s="3410" t="s">
        <v>3007</v>
      </c>
      <c r="K32" s="3411"/>
      <c r="L32" s="3049" t="s">
        <v>3008</v>
      </c>
      <c r="M32" s="3049" t="s">
        <v>3009</v>
      </c>
      <c r="N32" s="3049" t="s">
        <v>3010</v>
      </c>
      <c r="O32" s="3049" t="s">
        <v>3011</v>
      </c>
      <c r="P32" s="3049" t="s">
        <v>3012</v>
      </c>
      <c r="Q32" s="3050" t="s">
        <v>3013</v>
      </c>
      <c r="R32" s="3172" t="s">
        <v>3014</v>
      </c>
      <c r="S32" s="3121"/>
      <c r="T32" s="3040"/>
      <c r="U32" s="3040"/>
      <c r="V32" s="3148"/>
    </row>
    <row r="33" spans="1:23" s="3052" customFormat="1" ht="13.15" customHeight="1">
      <c r="A33" s="3130"/>
      <c r="B33" s="3131"/>
      <c r="C33" s="3132"/>
      <c r="D33" s="3173"/>
      <c r="E33" s="3174"/>
      <c r="F33" s="3135"/>
      <c r="G33" s="3129"/>
      <c r="H33" s="3157"/>
      <c r="I33" s="3148"/>
      <c r="J33" s="3412" t="s">
        <v>3017</v>
      </c>
      <c r="K33" s="3413"/>
      <c r="L33" s="3055"/>
      <c r="M33" s="3055"/>
      <c r="N33" s="3055"/>
      <c r="O33" s="3055"/>
      <c r="P33" s="3055"/>
      <c r="Q33" s="3056"/>
      <c r="R33" s="3175">
        <f>SUM(L33:Q33)</f>
        <v>0</v>
      </c>
      <c r="S33" s="3121"/>
      <c r="T33" s="3040"/>
      <c r="U33" s="3040"/>
      <c r="V33" s="3048"/>
    </row>
    <row r="34" spans="1:23" s="3052" customFormat="1" ht="13.15" customHeight="1">
      <c r="A34" s="3130">
        <v>5</v>
      </c>
      <c r="B34" s="3131" t="s">
        <v>3116</v>
      </c>
      <c r="C34" s="3176"/>
      <c r="D34" s="3177"/>
      <c r="E34" s="3178"/>
      <c r="F34" s="3135"/>
      <c r="G34" s="3129"/>
      <c r="H34" s="3157"/>
      <c r="I34" s="3148"/>
      <c r="J34" s="3412" t="s">
        <v>3019</v>
      </c>
      <c r="K34" s="3413"/>
      <c r="L34" s="3060"/>
      <c r="M34" s="3060"/>
      <c r="N34" s="3060"/>
      <c r="O34" s="3060"/>
      <c r="P34" s="3060"/>
      <c r="Q34" s="3061"/>
      <c r="R34" s="3179">
        <f>SUM(L34:Q34)</f>
        <v>0</v>
      </c>
      <c r="S34" s="3121"/>
      <c r="T34" s="3040"/>
      <c r="U34" s="3040" t="e">
        <f>ROUND(R35*10000/365/R33,1)</f>
        <v>#DIV/0!</v>
      </c>
      <c r="V34" s="3048"/>
    </row>
    <row r="35" spans="1:23" s="3052" customFormat="1" ht="13.15" customHeight="1">
      <c r="A35" s="3130">
        <v>6</v>
      </c>
      <c r="B35" s="3131" t="s">
        <v>3117</v>
      </c>
      <c r="C35" s="3180"/>
      <c r="D35" s="3181"/>
      <c r="E35" s="3182"/>
      <c r="F35" s="3135"/>
      <c r="G35" s="3183"/>
      <c r="H35" s="3047"/>
      <c r="I35" s="3148"/>
      <c r="J35" s="3066" t="s">
        <v>3021</v>
      </c>
      <c r="K35" s="3067"/>
      <c r="L35" s="3067"/>
      <c r="M35" s="3068"/>
      <c r="N35" s="3068"/>
      <c r="O35" s="3068"/>
      <c r="P35" s="3068"/>
      <c r="Q35" s="3068"/>
      <c r="R35" s="3184">
        <f>R40+R41+R43</f>
        <v>0</v>
      </c>
      <c r="S35" s="3121"/>
      <c r="T35" s="3040" t="s">
        <v>3022</v>
      </c>
      <c r="U35" s="3040"/>
      <c r="V35" s="3048"/>
    </row>
    <row r="36" spans="1:23" s="3052" customFormat="1" ht="13.15" customHeight="1" thickBot="1">
      <c r="A36" s="3130">
        <v>7</v>
      </c>
      <c r="B36" s="3185" t="s">
        <v>3118</v>
      </c>
      <c r="C36" s="3186"/>
      <c r="D36" s="3187"/>
      <c r="E36" s="3188"/>
      <c r="F36" s="3189">
        <f>C36+D36+E36</f>
        <v>0</v>
      </c>
      <c r="G36" s="3129"/>
      <c r="H36" s="3047"/>
      <c r="I36" s="3048"/>
      <c r="J36" s="3417">
        <v>1</v>
      </c>
      <c r="K36" s="3418" t="s">
        <v>3119</v>
      </c>
      <c r="L36" s="3073"/>
      <c r="M36" s="3074"/>
      <c r="N36" s="3074"/>
      <c r="O36" s="3074"/>
      <c r="P36" s="3074"/>
      <c r="Q36" s="3074"/>
      <c r="R36" s="3057" t="s">
        <v>3031</v>
      </c>
      <c r="S36" s="3121"/>
      <c r="T36" s="3040" t="s">
        <v>3032</v>
      </c>
      <c r="U36" s="3040"/>
      <c r="V36" s="3048"/>
    </row>
    <row r="37" spans="1:23" s="3052" customFormat="1" ht="13.15" customHeight="1">
      <c r="A37" s="3130"/>
      <c r="B37" s="3131"/>
      <c r="C37" s="3131"/>
      <c r="D37" s="3131"/>
      <c r="E37" s="3131"/>
      <c r="F37" s="3135"/>
      <c r="G37" s="3129"/>
      <c r="H37" s="3047"/>
      <c r="I37" s="3048"/>
      <c r="J37" s="3417"/>
      <c r="K37" s="3419"/>
      <c r="L37" s="3082"/>
      <c r="M37" s="3083"/>
      <c r="N37" s="3059"/>
      <c r="O37" s="3084"/>
      <c r="P37" s="3084"/>
      <c r="Q37" s="3085"/>
      <c r="R37" s="3086"/>
      <c r="S37" s="3121"/>
      <c r="T37" s="3040" t="s">
        <v>3035</v>
      </c>
      <c r="U37" s="3040"/>
      <c r="V37" s="3048"/>
    </row>
    <row r="38" spans="1:23" s="3052" customFormat="1" ht="13.15" customHeight="1">
      <c r="A38" s="3130">
        <v>8</v>
      </c>
      <c r="B38" s="3131"/>
      <c r="C38" s="3088" t="e">
        <f>ROUND(C32*(1-((1+C35)/(1+C34))^C36)/(C34-C35),0)</f>
        <v>#DIV/0!</v>
      </c>
      <c r="D38" s="3088">
        <f>IF(D23=0,0,ROUND(D32*(1-((1+D35)/(1+D34))^D36)/(D34-D35),0))</f>
        <v>0</v>
      </c>
      <c r="E38" s="3088">
        <f>IF(E23=0,0,ROUND(E32*(1-((1+E35)/(1+E34))^E36)/(E34-E35),0))</f>
        <v>0</v>
      </c>
      <c r="F38" s="3135"/>
      <c r="G38" s="3129"/>
      <c r="H38" s="3047"/>
      <c r="I38" s="3048"/>
      <c r="J38" s="3417"/>
      <c r="K38" s="3419"/>
      <c r="L38" s="3082"/>
      <c r="M38" s="3083"/>
      <c r="N38" s="3059"/>
      <c r="O38" s="3084"/>
      <c r="P38" s="3084"/>
      <c r="Q38" s="3085"/>
      <c r="R38" s="3086"/>
      <c r="S38" s="3121"/>
      <c r="T38" s="3040" t="s">
        <v>3042</v>
      </c>
      <c r="U38" s="3040"/>
      <c r="V38" s="3048"/>
    </row>
    <row r="39" spans="1:23" s="3052" customFormat="1" ht="13.15" customHeight="1">
      <c r="A39" s="3130">
        <v>9</v>
      </c>
      <c r="B39" s="3131" t="s">
        <v>3120</v>
      </c>
      <c r="C39" s="3096" t="e">
        <f>C38</f>
        <v>#DIV/0!</v>
      </c>
      <c r="D39" s="3131">
        <f>D38/(1+D34)^C36</f>
        <v>0</v>
      </c>
      <c r="E39" s="3131">
        <f>E38/(1+E34)^(C36+D36)</f>
        <v>0</v>
      </c>
      <c r="F39" s="3135"/>
      <c r="G39" s="3190"/>
      <c r="H39" s="3047"/>
      <c r="I39" s="3048"/>
      <c r="J39" s="3417"/>
      <c r="K39" s="3419"/>
      <c r="L39" s="3082"/>
      <c r="M39" s="3083"/>
      <c r="N39" s="3059"/>
      <c r="O39" s="3084"/>
      <c r="P39" s="3084"/>
      <c r="Q39" s="3085"/>
      <c r="R39" s="3086"/>
      <c r="S39" s="3121"/>
      <c r="T39" s="3040"/>
      <c r="U39" s="3040"/>
      <c r="V39" s="3048"/>
    </row>
    <row r="40" spans="1:23" s="3052" customFormat="1" ht="13.15" customHeight="1">
      <c r="A40" s="3191">
        <v>10</v>
      </c>
      <c r="B40" s="3131" t="s">
        <v>3121</v>
      </c>
      <c r="C40" s="3192" t="e">
        <f>C39+D39+E39</f>
        <v>#DIV/0!</v>
      </c>
      <c r="D40" s="3193"/>
      <c r="E40" s="3193"/>
      <c r="F40" s="3194"/>
      <c r="G40" s="3129"/>
      <c r="H40" s="3047"/>
      <c r="I40" s="3048"/>
      <c r="J40" s="3417"/>
      <c r="K40" s="3420"/>
      <c r="L40" s="3102" t="s">
        <v>3060</v>
      </c>
      <c r="M40" s="3103"/>
      <c r="N40" s="3103"/>
      <c r="O40" s="3104"/>
      <c r="P40" s="3104"/>
      <c r="Q40" s="3105"/>
      <c r="R40" s="3051">
        <f>SUM(R37:R39)</f>
        <v>0</v>
      </c>
      <c r="S40" s="3121"/>
      <c r="T40" s="3040"/>
      <c r="U40" s="3040"/>
      <c r="V40" s="3048"/>
    </row>
    <row r="41" spans="1:23" s="3052" customFormat="1" ht="13.15" customHeight="1" thickBot="1">
      <c r="A41" s="3195">
        <v>11</v>
      </c>
      <c r="B41" s="3196" t="s">
        <v>3122</v>
      </c>
      <c r="C41" s="3196" t="e">
        <f>ROUND(C40*10000/B4,0)</f>
        <v>#DIV/0!</v>
      </c>
      <c r="D41" s="3197"/>
      <c r="E41" s="3197"/>
      <c r="F41" s="3198"/>
      <c r="G41" s="3199"/>
      <c r="H41" s="3047"/>
      <c r="I41" s="3048"/>
      <c r="J41" s="3143">
        <v>2</v>
      </c>
      <c r="K41" s="3144" t="s">
        <v>3100</v>
      </c>
      <c r="L41" s="3145"/>
      <c r="M41" s="3145"/>
      <c r="N41" s="3145"/>
      <c r="O41" s="3145"/>
      <c r="P41" s="3146"/>
      <c r="Q41" s="3147"/>
      <c r="R41" s="3118">
        <f>ROUND(R40*Q41,0)</f>
        <v>0</v>
      </c>
      <c r="S41" s="3121"/>
      <c r="T41" s="3040"/>
      <c r="U41" s="3155"/>
      <c r="V41" s="3048"/>
    </row>
    <row r="42" spans="1:23" s="3052" customFormat="1" ht="13.15" customHeight="1">
      <c r="G42" s="3199"/>
      <c r="H42" s="3047"/>
      <c r="I42" s="3048"/>
      <c r="J42" s="3427">
        <v>3</v>
      </c>
      <c r="K42" s="3150" t="s">
        <v>3102</v>
      </c>
      <c r="L42" s="3151"/>
      <c r="M42" s="3152"/>
      <c r="N42" s="3153" t="s">
        <v>3103</v>
      </c>
      <c r="O42" s="3153" t="s">
        <v>3104</v>
      </c>
      <c r="P42" s="3154" t="s">
        <v>3105</v>
      </c>
      <c r="Q42" s="3154" t="s">
        <v>3106</v>
      </c>
      <c r="R42" s="3057" t="s">
        <v>3031</v>
      </c>
      <c r="S42" s="3155"/>
      <c r="T42" s="3155"/>
      <c r="U42" s="3040"/>
      <c r="V42" s="3048"/>
    </row>
    <row r="43" spans="1:23" ht="13.15" customHeight="1">
      <c r="A43" s="3052"/>
      <c r="B43" s="3052"/>
      <c r="C43" s="3052"/>
      <c r="D43" s="3052"/>
      <c r="E43" s="3052"/>
      <c r="F43" s="3052"/>
      <c r="I43" s="3035"/>
      <c r="J43" s="3428"/>
      <c r="K43" s="3158"/>
      <c r="L43" s="3159"/>
      <c r="M43" s="3160"/>
      <c r="N43" s="3083"/>
      <c r="O43" s="3083"/>
      <c r="P43" s="3083"/>
      <c r="Q43" s="3147"/>
      <c r="R43" s="3118">
        <f>ROUND(O43*N43*P43*(1-Q43)/10000,0)</f>
        <v>0</v>
      </c>
      <c r="S43" s="3121"/>
      <c r="T43" s="3040"/>
      <c r="V43" s="3201"/>
      <c r="W43" s="3202"/>
    </row>
    <row r="44" spans="1:23" ht="13.15" customHeight="1" thickBot="1">
      <c r="J44" s="3163">
        <v>6</v>
      </c>
      <c r="K44" s="3164" t="s">
        <v>3109</v>
      </c>
      <c r="L44" s="3203" t="s">
        <v>3110</v>
      </c>
      <c r="M44" s="3166"/>
      <c r="N44" s="3203" t="s">
        <v>3111</v>
      </c>
      <c r="O44" s="3166"/>
      <c r="P44" s="3203" t="s">
        <v>3112</v>
      </c>
      <c r="Q44" s="3168">
        <v>1.4999999999999999E-2</v>
      </c>
      <c r="R44" s="316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1" sqref="E1:F1"/>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2286</v>
      </c>
      <c r="B1" s="2024"/>
      <c r="C1" s="2024"/>
      <c r="D1" s="2024"/>
      <c r="E1" s="2025"/>
      <c r="F1" s="2904"/>
      <c r="G1" s="1644"/>
      <c r="H1" s="1644"/>
      <c r="I1" s="1644"/>
      <c r="J1" s="1644"/>
      <c r="K1" s="1644"/>
      <c r="L1" s="1644"/>
      <c r="M1" s="1644"/>
      <c r="N1" s="1644"/>
      <c r="O1" s="1644"/>
      <c r="P1" s="1644"/>
      <c r="Q1" s="1644"/>
      <c r="R1" s="1644"/>
      <c r="S1" s="1644"/>
    </row>
    <row r="2" spans="1:22" ht="15.75">
      <c r="A2" s="2026" t="s">
        <v>2087</v>
      </c>
      <c r="B2" s="2027">
        <f ca="1">SUMIF(B6:B13,"&lt;&gt;#ref!",B6:B13)</f>
        <v>77882</v>
      </c>
      <c r="C2" s="2028" t="s">
        <v>2279</v>
      </c>
      <c r="D2" s="2029" t="s">
        <v>2280</v>
      </c>
      <c r="E2" s="2801">
        <f>SUM(E6:E13)</f>
        <v>11340.73</v>
      </c>
      <c r="F2" s="2904"/>
      <c r="G2" s="1644"/>
      <c r="H2" s="1644"/>
      <c r="I2" s="1644"/>
      <c r="J2" s="1644"/>
      <c r="K2" s="1644"/>
      <c r="L2" s="1644"/>
      <c r="M2" s="1644"/>
      <c r="N2" s="1644"/>
      <c r="O2" s="1644"/>
      <c r="P2" s="1644"/>
      <c r="Q2" s="1644"/>
      <c r="R2" s="1644"/>
      <c r="S2" s="1644"/>
    </row>
    <row r="3" spans="1:22" ht="15.75">
      <c r="A3" s="2026" t="s">
        <v>1300</v>
      </c>
      <c r="B3" s="2795">
        <f ca="1">ROUND(B2*10000/E2,0)</f>
        <v>68675</v>
      </c>
      <c r="C3" s="2028" t="s">
        <v>2287</v>
      </c>
      <c r="D3" s="2906"/>
      <c r="E3" s="2908"/>
      <c r="F3" s="2904"/>
      <c r="G3" s="1644"/>
      <c r="H3" s="1644"/>
      <c r="I3" s="1644"/>
      <c r="J3" s="1644"/>
      <c r="K3" s="1644"/>
      <c r="L3" s="1644"/>
      <c r="M3" s="1644"/>
      <c r="N3" s="1644"/>
      <c r="O3" s="1644"/>
      <c r="P3" s="1644"/>
      <c r="Q3" s="1644"/>
      <c r="R3" s="1644"/>
      <c r="S3" s="1644"/>
    </row>
    <row r="4" spans="1:22" ht="15.75">
      <c r="A4" s="2909"/>
      <c r="B4" s="2906"/>
      <c r="C4" s="2906"/>
      <c r="D4" s="2906"/>
      <c r="E4" s="2908"/>
      <c r="F4" s="2904"/>
      <c r="G4" s="1644"/>
      <c r="H4" s="1644"/>
      <c r="I4" s="1644"/>
      <c r="J4" s="1644"/>
      <c r="K4" s="1644"/>
      <c r="L4" s="1644"/>
      <c r="M4" s="1644"/>
      <c r="N4" s="1644"/>
      <c r="O4" s="1644"/>
      <c r="P4" s="1644"/>
      <c r="Q4" s="1644"/>
      <c r="R4" s="1644"/>
      <c r="S4" s="1644"/>
    </row>
    <row r="5" spans="1:22" ht="15">
      <c r="A5" s="2797" t="s">
        <v>2281</v>
      </c>
      <c r="B5" s="3429" t="s">
        <v>2282</v>
      </c>
      <c r="C5" s="3430"/>
      <c r="D5" s="2905"/>
      <c r="E5" s="2030" t="s">
        <v>2283</v>
      </c>
      <c r="F5" s="2031" t="s">
        <v>2284</v>
      </c>
      <c r="G5" s="1644"/>
      <c r="H5" s="1644"/>
      <c r="I5" s="1644"/>
      <c r="J5" s="1644"/>
      <c r="K5" s="1644"/>
      <c r="L5" s="1644"/>
      <c r="M5" s="1644"/>
      <c r="N5" s="1644"/>
      <c r="O5" s="1644"/>
      <c r="P5" s="1644"/>
      <c r="Q5" s="1644"/>
      <c r="R5" s="1644"/>
      <c r="S5" s="1644"/>
    </row>
    <row r="6" spans="1:22">
      <c r="A6" s="2798" t="str">
        <f>'数据-取费表'!AN6</f>
        <v>收益法</v>
      </c>
      <c r="B6" s="2796">
        <f ca="1">IF(F6="是",'数据-取费表'!AO6,0)</f>
        <v>77882</v>
      </c>
      <c r="C6" s="2028" t="s">
        <v>2279</v>
      </c>
      <c r="D6" s="2906"/>
      <c r="E6" s="2800">
        <f>IF(OR(A6=0,F6="否"),0,'数据-取费表'!K6+'数据-取费表'!S6)</f>
        <v>11340.73</v>
      </c>
      <c r="F6" s="2032" t="s">
        <v>2285</v>
      </c>
      <c r="G6" s="1644"/>
      <c r="H6" s="1644"/>
      <c r="I6" s="1644"/>
      <c r="J6" s="1644"/>
      <c r="K6" s="1644"/>
      <c r="L6" s="1644"/>
      <c r="M6" s="1644"/>
      <c r="N6" s="1644"/>
      <c r="O6" s="1644"/>
      <c r="P6" s="1644"/>
      <c r="Q6" s="1644"/>
      <c r="R6" s="1644"/>
      <c r="S6" s="1644"/>
    </row>
    <row r="7" spans="1:22">
      <c r="A7" s="2798">
        <f>'数据-取费表'!AN7</f>
        <v>0</v>
      </c>
      <c r="B7" s="2796" t="e">
        <f ca="1">IF(F7="是",'数据-取费表'!AO7,0)</f>
        <v>#REF!</v>
      </c>
      <c r="C7" s="2028" t="s">
        <v>2279</v>
      </c>
      <c r="D7" s="2906"/>
      <c r="E7" s="2800">
        <f>IF(OR(A7=0,F7="否"),0,'数据-取费表'!K7+'数据-取费表'!S7)</f>
        <v>0</v>
      </c>
      <c r="F7" s="2032" t="s">
        <v>2285</v>
      </c>
      <c r="G7" s="1644"/>
      <c r="H7" s="1644"/>
      <c r="I7" s="1644"/>
      <c r="J7" s="1644"/>
      <c r="K7" s="1644"/>
      <c r="L7" s="1644"/>
      <c r="M7" s="1644"/>
      <c r="N7" s="1644"/>
      <c r="O7" s="1644"/>
      <c r="P7" s="1644"/>
      <c r="Q7" s="1644"/>
      <c r="R7" s="1644"/>
      <c r="S7" s="1644"/>
    </row>
    <row r="8" spans="1:22">
      <c r="A8" s="2798">
        <f>'数据-取费表'!AN8</f>
        <v>0</v>
      </c>
      <c r="B8" s="2796" t="e">
        <f ca="1">IF(F8="是",'数据-取费表'!AO8,0)</f>
        <v>#REF!</v>
      </c>
      <c r="C8" s="2028" t="s">
        <v>2279</v>
      </c>
      <c r="D8" s="2906"/>
      <c r="E8" s="2800">
        <f>IF(OR(A8=0,F8="否"),0,'数据-取费表'!K8+'数据-取费表'!S8)</f>
        <v>0</v>
      </c>
      <c r="F8" s="2032" t="s">
        <v>2285</v>
      </c>
      <c r="G8" s="1644"/>
      <c r="H8" s="1644"/>
      <c r="I8" s="1644"/>
      <c r="J8" s="1644"/>
      <c r="K8" s="1644"/>
      <c r="L8" s="1644"/>
      <c r="M8" s="1644"/>
      <c r="N8" s="1644"/>
      <c r="O8" s="1644"/>
      <c r="P8" s="1644"/>
      <c r="Q8" s="1644"/>
      <c r="R8" s="1644"/>
      <c r="S8" s="1644"/>
    </row>
    <row r="9" spans="1:22">
      <c r="A9" s="2798">
        <f>'数据-取费表'!AN9</f>
        <v>0</v>
      </c>
      <c r="B9" s="2796" t="e">
        <f ca="1">IF(F9="是",'数据-取费表'!AO9,0)</f>
        <v>#REF!</v>
      </c>
      <c r="C9" s="2028" t="s">
        <v>2279</v>
      </c>
      <c r="D9" s="2906"/>
      <c r="E9" s="2800">
        <f>IF(OR(A9=0,F9="否"),0,'数据-取费表'!K9+'数据-取费表'!S9)</f>
        <v>0</v>
      </c>
      <c r="F9" s="2032" t="s">
        <v>2285</v>
      </c>
      <c r="G9" s="1644"/>
      <c r="H9" s="1644"/>
      <c r="I9" s="1644"/>
      <c r="J9" s="1644"/>
      <c r="K9" s="1644"/>
      <c r="L9" s="1644"/>
      <c r="M9" s="1644"/>
      <c r="N9" s="1644"/>
      <c r="O9" s="1644"/>
      <c r="P9" s="1644"/>
      <c r="Q9" s="1644"/>
      <c r="R9" s="1644"/>
      <c r="S9" s="1644"/>
    </row>
    <row r="10" spans="1:22">
      <c r="A10" s="2798">
        <f>'数据-取费表'!AN10</f>
        <v>0</v>
      </c>
      <c r="B10" s="2796" t="e">
        <f ca="1">IF(F10="是",'数据-取费表'!AO10,0)</f>
        <v>#REF!</v>
      </c>
      <c r="C10" s="2028" t="s">
        <v>2279</v>
      </c>
      <c r="D10" s="2906"/>
      <c r="E10" s="2800">
        <f>IF(OR(A10=0,F10="否"),0,'数据-取费表'!K10+'数据-取费表'!S10)</f>
        <v>0</v>
      </c>
      <c r="F10" s="2032" t="s">
        <v>2285</v>
      </c>
      <c r="G10" s="1644"/>
      <c r="H10" s="1644"/>
      <c r="I10" s="1644"/>
      <c r="J10" s="1644"/>
      <c r="K10" s="1644"/>
      <c r="L10" s="1644"/>
      <c r="M10" s="1644"/>
      <c r="N10" s="1644"/>
      <c r="O10" s="1644"/>
      <c r="P10" s="1644"/>
      <c r="Q10" s="1644"/>
      <c r="R10" s="1644"/>
      <c r="S10" s="1644"/>
    </row>
    <row r="11" spans="1:22">
      <c r="A11" s="2798">
        <f>'数据-取费表'!AN11</f>
        <v>0</v>
      </c>
      <c r="B11" s="2796" t="e">
        <f ca="1">IF(F11="是",'数据-取费表'!AO11,0)</f>
        <v>#REF!</v>
      </c>
      <c r="C11" s="2028" t="s">
        <v>2279</v>
      </c>
      <c r="D11" s="2906"/>
      <c r="E11" s="2800">
        <f>IF(OR(A11=0,F11="否"),0,'数据-取费表'!K11+'数据-取费表'!S11)</f>
        <v>0</v>
      </c>
      <c r="F11" s="2032" t="s">
        <v>2285</v>
      </c>
      <c r="G11" s="1644"/>
      <c r="H11" s="1644"/>
      <c r="I11" s="1644"/>
      <c r="J11" s="1644"/>
      <c r="K11" s="1644"/>
      <c r="L11" s="1644"/>
      <c r="M11" s="1644"/>
      <c r="N11" s="1644"/>
      <c r="O11" s="1644"/>
      <c r="P11" s="1644"/>
      <c r="Q11" s="1644"/>
      <c r="R11" s="1644"/>
      <c r="S11" s="1644"/>
    </row>
    <row r="12" spans="1:22">
      <c r="A12" s="2798">
        <f>'数据-取费表'!AN12</f>
        <v>0</v>
      </c>
      <c r="B12" s="2796" t="e">
        <f ca="1">IF(F12="是",'数据-取费表'!AO12,0)</f>
        <v>#REF!</v>
      </c>
      <c r="C12" s="2028" t="s">
        <v>2279</v>
      </c>
      <c r="D12" s="2906"/>
      <c r="E12" s="2800">
        <f>IF(OR(A12=0,F12="否"),0,'数据-取费表'!K12+'数据-取费表'!S12)</f>
        <v>0</v>
      </c>
      <c r="F12" s="2032" t="s">
        <v>2285</v>
      </c>
      <c r="G12" s="1644"/>
      <c r="H12" s="1644"/>
      <c r="I12" s="1644"/>
      <c r="J12" s="1644"/>
      <c r="K12" s="1644"/>
      <c r="L12" s="1644"/>
      <c r="M12" s="1644"/>
      <c r="N12" s="1644"/>
      <c r="O12" s="1644"/>
      <c r="P12" s="1644"/>
      <c r="Q12" s="1644"/>
      <c r="R12" s="1644"/>
      <c r="S12" s="1644"/>
    </row>
    <row r="13" spans="1:22" ht="15" thickBot="1">
      <c r="A13" s="2799">
        <f>'数据-取费表'!AN13</f>
        <v>0</v>
      </c>
      <c r="B13" s="2796" t="e">
        <f ca="1">IF(F13="是",'数据-取费表'!AO13,0)</f>
        <v>#REF!</v>
      </c>
      <c r="C13" s="2033" t="s">
        <v>2279</v>
      </c>
      <c r="D13" s="2907"/>
      <c r="E13" s="2800">
        <f>IF(OR(A13=0,F13="否"),0,'数据-取费表'!K13+'数据-取费表'!S13)</f>
        <v>0</v>
      </c>
      <c r="F13" s="2032" t="s">
        <v>2285</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E1" sqref="E1:F1"/>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2289</v>
      </c>
      <c r="C1" s="1378" t="s">
        <v>2290</v>
      </c>
      <c r="D1" s="1365"/>
      <c r="E1" s="2514"/>
      <c r="F1" s="2035" t="s">
        <v>2291</v>
      </c>
      <c r="G1" s="1375" t="s">
        <v>2292</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2293</v>
      </c>
      <c r="F2" s="2039"/>
      <c r="G2" s="1038"/>
      <c r="H2" s="1038"/>
      <c r="I2" s="1038"/>
      <c r="J2" s="1038"/>
      <c r="K2" s="2040"/>
      <c r="L2" s="2910"/>
      <c r="M2" s="2911"/>
      <c r="N2" s="2911"/>
      <c r="O2" s="2911"/>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2294</v>
      </c>
      <c r="D3" s="359">
        <f>IF(D1="",'数据-汇总表'!E3,SUMIF('数据-汇总表'!$C19:$C33,D1,'数据-汇总表'!$E19:$E33))</f>
        <v>11340.73</v>
      </c>
      <c r="E3" s="1038"/>
      <c r="F3" s="2044"/>
      <c r="G3" s="1038"/>
      <c r="H3" s="1038"/>
      <c r="I3" s="1038"/>
      <c r="J3" s="1038"/>
      <c r="K3" s="2040"/>
      <c r="L3" s="2910"/>
      <c r="M3" s="2911"/>
      <c r="N3" s="2911"/>
      <c r="O3" s="2911"/>
      <c r="P3" s="2041"/>
      <c r="Q3" s="2042"/>
      <c r="R3" s="2042"/>
      <c r="S3" s="2042"/>
      <c r="T3" s="2042"/>
      <c r="U3" s="2042"/>
      <c r="V3" s="2042"/>
      <c r="W3" s="2042"/>
      <c r="X3" s="2042"/>
      <c r="Y3" s="2042"/>
      <c r="Z3" s="2042"/>
      <c r="AA3" s="2042"/>
      <c r="AB3" s="2042"/>
      <c r="AC3" s="1192"/>
    </row>
    <row r="4" spans="1:29" ht="15">
      <c r="A4" s="361" t="s">
        <v>2295</v>
      </c>
      <c r="B4" s="362"/>
      <c r="C4" s="3449" t="s">
        <v>2296</v>
      </c>
      <c r="D4" s="3450"/>
      <c r="E4" s="3451" t="s">
        <v>2297</v>
      </c>
      <c r="F4" s="3452"/>
      <c r="G4" s="3449" t="s">
        <v>2298</v>
      </c>
      <c r="H4" s="3450"/>
      <c r="I4" s="3449" t="s">
        <v>2299</v>
      </c>
      <c r="J4" s="3450"/>
      <c r="K4" s="2045" t="s">
        <v>2300</v>
      </c>
      <c r="L4" s="2912"/>
      <c r="M4" s="2913"/>
      <c r="N4" s="2913"/>
      <c r="O4" s="2913"/>
      <c r="P4" s="3453" t="s">
        <v>2301</v>
      </c>
      <c r="Q4" s="3454"/>
      <c r="R4" s="3436" t="s">
        <v>2297</v>
      </c>
      <c r="S4" s="3437"/>
      <c r="T4" s="3436" t="s">
        <v>2298</v>
      </c>
      <c r="U4" s="3437"/>
      <c r="V4" s="3461" t="s">
        <v>2299</v>
      </c>
      <c r="W4" s="3461"/>
      <c r="X4" s="1509"/>
      <c r="Y4" s="3436" t="s">
        <v>2301</v>
      </c>
      <c r="Z4" s="3437"/>
      <c r="AA4" s="3431" t="s">
        <v>2297</v>
      </c>
      <c r="AB4" s="3431" t="s">
        <v>2298</v>
      </c>
      <c r="AC4" s="3431" t="s">
        <v>2299</v>
      </c>
    </row>
    <row r="5" spans="1:29" ht="15">
      <c r="A5" s="364"/>
      <c r="B5" s="365"/>
      <c r="C5" s="3442" t="s">
        <v>2302</v>
      </c>
      <c r="D5" s="3443"/>
      <c r="E5" s="3440" t="s">
        <v>2303</v>
      </c>
      <c r="F5" s="3441"/>
      <c r="G5" s="3442" t="s">
        <v>2304</v>
      </c>
      <c r="H5" s="3443"/>
      <c r="I5" s="3442" t="s">
        <v>2305</v>
      </c>
      <c r="J5" s="3443"/>
      <c r="K5" s="2046"/>
      <c r="L5" s="2912"/>
      <c r="M5" s="2913"/>
      <c r="N5" s="2913"/>
      <c r="O5" s="2913"/>
      <c r="P5" s="3455"/>
      <c r="Q5" s="3456"/>
      <c r="R5" s="3438"/>
      <c r="S5" s="3439"/>
      <c r="T5" s="3438"/>
      <c r="U5" s="3439"/>
      <c r="V5" s="3461"/>
      <c r="W5" s="3461"/>
      <c r="X5" s="1509"/>
      <c r="Y5" s="3438"/>
      <c r="Z5" s="3439"/>
      <c r="AA5" s="3432"/>
      <c r="AB5" s="3432"/>
      <c r="AC5" s="3432"/>
    </row>
    <row r="6" spans="1:29" ht="15.75" thickBot="1">
      <c r="A6" s="366"/>
      <c r="B6" s="367"/>
      <c r="C6" s="3444" t="s">
        <v>2306</v>
      </c>
      <c r="D6" s="3445"/>
      <c r="E6" s="3446" t="s">
        <v>2306</v>
      </c>
      <c r="F6" s="3447"/>
      <c r="G6" s="3444" t="s">
        <v>2306</v>
      </c>
      <c r="H6" s="3445"/>
      <c r="I6" s="3444" t="s">
        <v>2306</v>
      </c>
      <c r="J6" s="3445"/>
      <c r="K6" s="2046" t="s">
        <v>2307</v>
      </c>
      <c r="L6" s="2912"/>
      <c r="M6" s="2913"/>
      <c r="N6" s="2913"/>
      <c r="O6" s="2913"/>
      <c r="P6" s="3457"/>
      <c r="Q6" s="3458"/>
      <c r="R6" s="3438"/>
      <c r="S6" s="3439"/>
      <c r="T6" s="3459"/>
      <c r="U6" s="3460"/>
      <c r="V6" s="3461"/>
      <c r="W6" s="3461"/>
      <c r="X6" s="1509"/>
      <c r="Y6" s="3459"/>
      <c r="Z6" s="3460"/>
      <c r="AA6" s="3433"/>
      <c r="AB6" s="3433"/>
      <c r="AC6" s="3433"/>
    </row>
    <row r="7" spans="1:29" s="113" customFormat="1" ht="15.75" thickBot="1">
      <c r="A7" s="368" t="s">
        <v>2308</v>
      </c>
      <c r="B7" s="369"/>
      <c r="C7" s="370">
        <f>'数据-取费表'!B2</f>
        <v>44641</v>
      </c>
      <c r="D7" s="371">
        <v>100</v>
      </c>
      <c r="E7" s="372"/>
      <c r="F7" s="373">
        <f>SUMIF(58:58,YEAR(E7)&amp;"-"&amp;MONTH(E7),59:59)</f>
        <v>0</v>
      </c>
      <c r="G7" s="372"/>
      <c r="H7" s="371">
        <f>SUMIF(58:58,YEAR(G7)&amp;"-"&amp;MONTH(G7),59:59)</f>
        <v>0</v>
      </c>
      <c r="I7" s="372"/>
      <c r="J7" s="371">
        <f>SUMIF(58:58,YEAR(I7)&amp;"-"&amp;MONTH(I7),59:59)</f>
        <v>0</v>
      </c>
      <c r="K7" s="2047"/>
      <c r="L7" s="2914"/>
      <c r="M7" s="2915"/>
      <c r="N7" s="2915"/>
      <c r="O7" s="2915"/>
      <c r="P7" s="3434" t="s">
        <v>2309</v>
      </c>
      <c r="Q7" s="3462"/>
      <c r="R7" s="710" t="s">
        <v>23</v>
      </c>
      <c r="S7" s="711">
        <f t="shared" ref="S7:S15" si="0">F7</f>
        <v>0</v>
      </c>
      <c r="T7" s="710" t="s">
        <v>23</v>
      </c>
      <c r="U7" s="711">
        <f t="shared" ref="U7:U15" si="1">H7</f>
        <v>0</v>
      </c>
      <c r="V7" s="710" t="s">
        <v>23</v>
      </c>
      <c r="W7" s="711">
        <f t="shared" ref="W7:W15" si="2">J7</f>
        <v>0</v>
      </c>
      <c r="X7" s="712"/>
      <c r="Y7" s="3434" t="s">
        <v>2309</v>
      </c>
      <c r="Z7" s="3435"/>
      <c r="AA7" s="713" t="e">
        <f>D7/F7</f>
        <v>#DIV/0!</v>
      </c>
      <c r="AB7" s="713" t="e">
        <f>D7/H7</f>
        <v>#DIV/0!</v>
      </c>
      <c r="AC7" s="713" t="e">
        <f>D7/J7</f>
        <v>#DIV/0!</v>
      </c>
    </row>
    <row r="8" spans="1:29" s="113" customFormat="1" ht="15.75" thickBot="1">
      <c r="A8" s="368" t="s">
        <v>2310</v>
      </c>
      <c r="B8" s="369"/>
      <c r="C8" s="374" t="s">
        <v>2311</v>
      </c>
      <c r="D8" s="371">
        <v>100</v>
      </c>
      <c r="E8" s="2048"/>
      <c r="F8" s="373">
        <f>SUMIF(61:61,E8,62:62)-SUMIF(61:61,C8,62:62)+100</f>
        <v>0</v>
      </c>
      <c r="G8" s="374"/>
      <c r="H8" s="371">
        <f>SUMIF(61:61,G8,62:62)-SUMIF(61:61,C8,62:62)+100</f>
        <v>0</v>
      </c>
      <c r="I8" s="2048"/>
      <c r="J8" s="371">
        <f>SUMIF(61:61,I8,62:62)-SUMIF(61:61,C8,62:62)+100</f>
        <v>0</v>
      </c>
      <c r="K8" s="2047"/>
      <c r="L8" s="2914"/>
      <c r="M8" s="2915"/>
      <c r="N8" s="2915"/>
      <c r="O8" s="2915"/>
      <c r="P8" s="3434" t="s">
        <v>2312</v>
      </c>
      <c r="Q8" s="3435"/>
      <c r="R8" s="710" t="s">
        <v>23</v>
      </c>
      <c r="S8" s="711">
        <f t="shared" si="0"/>
        <v>0</v>
      </c>
      <c r="T8" s="710" t="s">
        <v>23</v>
      </c>
      <c r="U8" s="711">
        <f t="shared" si="1"/>
        <v>0</v>
      </c>
      <c r="V8" s="710" t="s">
        <v>23</v>
      </c>
      <c r="W8" s="711">
        <f t="shared" si="2"/>
        <v>0</v>
      </c>
      <c r="X8" s="712"/>
      <c r="Y8" s="3434" t="s">
        <v>2312</v>
      </c>
      <c r="Z8" s="3435"/>
      <c r="AA8" s="713" t="e">
        <f t="shared" ref="AA8:AA19" si="3">D8/F8</f>
        <v>#DIV/0!</v>
      </c>
      <c r="AB8" s="713" t="e">
        <f t="shared" ref="AB8:AB19" si="4">D8/H8</f>
        <v>#DIV/0!</v>
      </c>
      <c r="AC8" s="713" t="e">
        <f t="shared" ref="AC8:AC19" si="5">D8/J8</f>
        <v>#DIV/0!</v>
      </c>
    </row>
    <row r="9" spans="1:29" s="113" customFormat="1">
      <c r="A9" s="375" t="s">
        <v>2313</v>
      </c>
      <c r="B9" s="67" t="s">
        <v>2314</v>
      </c>
      <c r="C9" s="376"/>
      <c r="D9" s="131">
        <v>100</v>
      </c>
      <c r="E9" s="377"/>
      <c r="F9" s="378">
        <f>SUMIF(63:63,E9,64:64)-SUMIF(63:63,C9,64:64)+100</f>
        <v>100</v>
      </c>
      <c r="G9" s="379"/>
      <c r="H9" s="131">
        <f>SUMIF(63:63,G9,64:64)-SUMIF(63:63,C9,64:64)+100</f>
        <v>100</v>
      </c>
      <c r="I9" s="379"/>
      <c r="J9" s="131">
        <f>SUMIF(63:63,I9,64:64)-SUMIF(63:63,C9,64:64)+100</f>
        <v>100</v>
      </c>
      <c r="K9" s="2047"/>
      <c r="L9" s="2914"/>
      <c r="M9" s="2915"/>
      <c r="N9" s="2915"/>
      <c r="O9" s="2915"/>
      <c r="P9" s="3448"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385"/>
      <c r="L10" s="2916"/>
      <c r="M10" s="2917"/>
      <c r="N10" s="2917"/>
      <c r="O10" s="2917"/>
      <c r="P10" s="3448"/>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8"/>
      <c r="M11" s="2913"/>
      <c r="N11" s="2913"/>
      <c r="O11" s="2913"/>
      <c r="P11" s="3448"/>
      <c r="Q11" s="1497" t="str">
        <f t="shared" si="6"/>
        <v>容积率</v>
      </c>
      <c r="R11" s="710" t="s">
        <v>21</v>
      </c>
      <c r="S11" s="711" t="e">
        <f t="shared" si="0"/>
        <v>#N/A</v>
      </c>
      <c r="T11" s="710" t="s">
        <v>21</v>
      </c>
      <c r="U11" s="711" t="e">
        <f t="shared" si="1"/>
        <v>#N/A</v>
      </c>
      <c r="V11" s="710" t="s">
        <v>21</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4"/>
      <c r="M12" s="2915"/>
      <c r="N12" s="2915"/>
      <c r="O12" s="2915"/>
      <c r="P12" s="3448"/>
      <c r="Q12" s="1497">
        <f t="shared" si="6"/>
        <v>111</v>
      </c>
      <c r="R12" s="710" t="s">
        <v>21</v>
      </c>
      <c r="S12" s="711">
        <f t="shared" si="0"/>
        <v>100</v>
      </c>
      <c r="T12" s="710" t="s">
        <v>21</v>
      </c>
      <c r="U12" s="711">
        <f t="shared" si="1"/>
        <v>100</v>
      </c>
      <c r="V12" s="710" t="s">
        <v>21</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19"/>
      <c r="M13" s="2913"/>
      <c r="N13" s="2913"/>
      <c r="O13" s="2913"/>
      <c r="P13" s="3448"/>
      <c r="Q13" s="1497">
        <f t="shared" si="6"/>
        <v>111</v>
      </c>
      <c r="R13" s="710" t="s">
        <v>21</v>
      </c>
      <c r="S13" s="711">
        <f t="shared" si="0"/>
        <v>100</v>
      </c>
      <c r="T13" s="710" t="s">
        <v>21</v>
      </c>
      <c r="U13" s="711">
        <f t="shared" si="1"/>
        <v>100</v>
      </c>
      <c r="V13" s="710" t="s">
        <v>21</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19"/>
      <c r="M14" s="2913"/>
      <c r="N14" s="2913"/>
      <c r="O14" s="2913"/>
      <c r="P14" s="3448"/>
      <c r="Q14" s="1497">
        <f t="shared" si="6"/>
        <v>111</v>
      </c>
      <c r="R14" s="710" t="s">
        <v>21</v>
      </c>
      <c r="S14" s="711">
        <f t="shared" si="0"/>
        <v>100</v>
      </c>
      <c r="T14" s="710" t="s">
        <v>21</v>
      </c>
      <c r="U14" s="711">
        <f t="shared" si="1"/>
        <v>100</v>
      </c>
      <c r="V14" s="710" t="s">
        <v>21</v>
      </c>
      <c r="W14" s="711">
        <f t="shared" si="2"/>
        <v>100</v>
      </c>
      <c r="X14" s="712"/>
      <c r="Y14" s="3378"/>
      <c r="Z14" s="55">
        <f t="shared" si="7"/>
        <v>111</v>
      </c>
      <c r="AA14" s="713">
        <f t="shared" si="3"/>
        <v>1</v>
      </c>
      <c r="AB14" s="713">
        <f t="shared" si="4"/>
        <v>1</v>
      </c>
      <c r="AC14" s="713">
        <f t="shared" si="5"/>
        <v>1</v>
      </c>
    </row>
    <row r="15" spans="1:29" ht="99.75">
      <c r="A15" s="399" t="s">
        <v>2319</v>
      </c>
      <c r="B15" s="65" t="s">
        <v>1882</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19"/>
      <c r="M15" s="2913"/>
      <c r="N15" s="2913"/>
      <c r="O15" s="2913"/>
      <c r="P15" s="3475" t="s">
        <v>2320</v>
      </c>
      <c r="Q15" s="1506" t="str">
        <f t="shared" si="6"/>
        <v>居住社区成熟度</v>
      </c>
      <c r="R15" s="714" t="s">
        <v>21</v>
      </c>
      <c r="S15" s="715">
        <f t="shared" si="0"/>
        <v>100</v>
      </c>
      <c r="T15" s="714" t="s">
        <v>21</v>
      </c>
      <c r="U15" s="715">
        <f t="shared" si="1"/>
        <v>100</v>
      </c>
      <c r="V15" s="714" t="s">
        <v>21</v>
      </c>
      <c r="W15" s="715">
        <f t="shared" si="2"/>
        <v>100</v>
      </c>
      <c r="X15" s="1509"/>
      <c r="Y15" s="3468" t="s">
        <v>2320</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19"/>
      <c r="M16" s="2913"/>
      <c r="N16" s="2913"/>
      <c r="O16" s="2913"/>
      <c r="P16" s="3476"/>
      <c r="Q16" s="1506"/>
      <c r="R16" s="714"/>
      <c r="S16" s="715"/>
      <c r="T16" s="714"/>
      <c r="U16" s="715"/>
      <c r="V16" s="714"/>
      <c r="W16" s="715"/>
      <c r="X16" s="1509"/>
      <c r="Y16" s="3469"/>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19"/>
      <c r="M17" s="2913"/>
      <c r="N17" s="2913"/>
      <c r="O17" s="2913"/>
      <c r="P17" s="3476"/>
      <c r="Q17" s="1506" t="str">
        <f>B17</f>
        <v>交通便捷度</v>
      </c>
      <c r="R17" s="714" t="s">
        <v>21</v>
      </c>
      <c r="S17" s="715">
        <f>F17</f>
        <v>100</v>
      </c>
      <c r="T17" s="714" t="s">
        <v>21</v>
      </c>
      <c r="U17" s="715">
        <f>H17</f>
        <v>100</v>
      </c>
      <c r="V17" s="714" t="s">
        <v>21</v>
      </c>
      <c r="W17" s="715">
        <f>J17</f>
        <v>100</v>
      </c>
      <c r="X17" s="1509"/>
      <c r="Y17" s="3469"/>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19"/>
      <c r="M18" s="2913"/>
      <c r="N18" s="2913"/>
      <c r="O18" s="2913"/>
      <c r="P18" s="3476"/>
      <c r="Q18" s="1506"/>
      <c r="R18" s="714"/>
      <c r="S18" s="715"/>
      <c r="T18" s="714"/>
      <c r="U18" s="715"/>
      <c r="V18" s="714"/>
      <c r="W18" s="715"/>
      <c r="X18" s="1509"/>
      <c r="Y18" s="3469"/>
      <c r="Z18" s="1510"/>
      <c r="AA18" s="1507">
        <v>1</v>
      </c>
      <c r="AB18" s="1507">
        <v>1</v>
      </c>
      <c r="AC18" s="1507">
        <v>1</v>
      </c>
    </row>
    <row r="19" spans="1:29" ht="42.75">
      <c r="A19" s="387"/>
      <c r="B19" s="410" t="s">
        <v>1883</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19"/>
      <c r="M19" s="2913"/>
      <c r="N19" s="2913"/>
      <c r="O19" s="2913"/>
      <c r="P19" s="3476"/>
      <c r="Q19" s="1506" t="str">
        <f>B19</f>
        <v>公共配套设施</v>
      </c>
      <c r="R19" s="714" t="s">
        <v>21</v>
      </c>
      <c r="S19" s="715">
        <f>F19</f>
        <v>100</v>
      </c>
      <c r="T19" s="714" t="s">
        <v>21</v>
      </c>
      <c r="U19" s="715">
        <f>H19</f>
        <v>100</v>
      </c>
      <c r="V19" s="714" t="s">
        <v>21</v>
      </c>
      <c r="W19" s="715">
        <f>J19</f>
        <v>100</v>
      </c>
      <c r="X19" s="1509"/>
      <c r="Y19" s="3469"/>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19"/>
      <c r="M20" s="2913"/>
      <c r="N20" s="2913"/>
      <c r="O20" s="2913"/>
      <c r="P20" s="3476"/>
      <c r="Q20" s="1506"/>
      <c r="R20" s="714"/>
      <c r="S20" s="715"/>
      <c r="T20" s="714"/>
      <c r="U20" s="715"/>
      <c r="V20" s="714"/>
      <c r="W20" s="715"/>
      <c r="X20" s="1509"/>
      <c r="Y20" s="3469"/>
      <c r="Z20" s="1510"/>
      <c r="AA20" s="1507">
        <v>1</v>
      </c>
      <c r="AB20" s="1507">
        <v>1</v>
      </c>
      <c r="AC20" s="1507">
        <v>1</v>
      </c>
    </row>
    <row r="21" spans="1:29" ht="28.5">
      <c r="A21" s="387"/>
      <c r="B21" s="1265" t="s">
        <v>1885</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19"/>
      <c r="M21" s="2913"/>
      <c r="N21" s="2913"/>
      <c r="O21" s="2913"/>
      <c r="P21" s="3476"/>
      <c r="Q21" s="1506" t="str">
        <f>B21</f>
        <v>基础设施水平</v>
      </c>
      <c r="R21" s="714" t="s">
        <v>17</v>
      </c>
      <c r="S21" s="715">
        <f>F21</f>
        <v>100</v>
      </c>
      <c r="T21" s="714" t="s">
        <v>17</v>
      </c>
      <c r="U21" s="715">
        <f>H21</f>
        <v>100</v>
      </c>
      <c r="V21" s="714" t="s">
        <v>17</v>
      </c>
      <c r="W21" s="715">
        <f>J21</f>
        <v>100</v>
      </c>
      <c r="X21" s="1509"/>
      <c r="Y21" s="346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19"/>
      <c r="M22" s="2913"/>
      <c r="N22" s="2913"/>
      <c r="O22" s="2913"/>
      <c r="P22" s="3476"/>
      <c r="Q22" s="1506"/>
      <c r="R22" s="714"/>
      <c r="S22" s="715"/>
      <c r="T22" s="714"/>
      <c r="U22" s="715"/>
      <c r="V22" s="714"/>
      <c r="W22" s="715"/>
      <c r="X22" s="1509"/>
      <c r="Y22" s="3469"/>
      <c r="Z22" s="1510"/>
      <c r="AA22" s="1507">
        <v>1</v>
      </c>
      <c r="AB22" s="1507">
        <v>1</v>
      </c>
      <c r="AC22" s="1507">
        <v>1</v>
      </c>
    </row>
    <row r="23" spans="1:29" ht="57">
      <c r="A23" s="387"/>
      <c r="B23" s="410" t="s">
        <v>1886</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19"/>
      <c r="M23" s="2913"/>
      <c r="N23" s="2913"/>
      <c r="O23" s="2913"/>
      <c r="P23" s="3476"/>
      <c r="Q23" s="1506" t="str">
        <f>B23</f>
        <v>自然及人文环境</v>
      </c>
      <c r="R23" s="714" t="s">
        <v>21</v>
      </c>
      <c r="S23" s="715">
        <f>F23</f>
        <v>100</v>
      </c>
      <c r="T23" s="714" t="s">
        <v>21</v>
      </c>
      <c r="U23" s="715">
        <f>H23</f>
        <v>100</v>
      </c>
      <c r="V23" s="714" t="s">
        <v>21</v>
      </c>
      <c r="W23" s="715">
        <f>J23</f>
        <v>100</v>
      </c>
      <c r="X23" s="1509"/>
      <c r="Y23" s="3469"/>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19"/>
      <c r="M24" s="2913"/>
      <c r="N24" s="2913"/>
      <c r="O24" s="2913"/>
      <c r="P24" s="3476"/>
      <c r="Q24" s="1506"/>
      <c r="R24" s="714"/>
      <c r="S24" s="715"/>
      <c r="T24" s="714"/>
      <c r="U24" s="715"/>
      <c r="V24" s="714"/>
      <c r="W24" s="715"/>
      <c r="X24" s="1509"/>
      <c r="Y24" s="3469"/>
      <c r="Z24" s="1510"/>
      <c r="AA24" s="1507">
        <v>1</v>
      </c>
      <c r="AB24" s="1507">
        <v>1</v>
      </c>
      <c r="AC24" s="1507">
        <v>1</v>
      </c>
    </row>
    <row r="25" spans="1:29" ht="15">
      <c r="A25" s="387"/>
      <c r="B25" s="381" t="s">
        <v>2321</v>
      </c>
      <c r="C25" s="419"/>
      <c r="D25" s="394">
        <v>100</v>
      </c>
      <c r="E25" s="2062"/>
      <c r="F25" s="394">
        <f>SUMIF(86:86,E25,87:87)-SUMIF(86:86,C25,87:87)+100</f>
        <v>100</v>
      </c>
      <c r="G25" s="2063"/>
      <c r="H25" s="394">
        <f>SUMIF(86:86,G25,87:87)-SUMIF(86:86,C25,87:87)+100</f>
        <v>100</v>
      </c>
      <c r="I25" s="2063"/>
      <c r="J25" s="394">
        <f>SUMIF(86:86,I25,87:87)-SUMIF(86:86,C25,87:87)+100</f>
        <v>100</v>
      </c>
      <c r="K25" s="385"/>
      <c r="L25" s="2919"/>
      <c r="M25" s="2913"/>
      <c r="N25" s="2913"/>
      <c r="O25" s="2913"/>
      <c r="P25" s="3476"/>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69"/>
      <c r="Z25" s="1510" t="str">
        <f>Q25</f>
        <v>楼层-1</v>
      </c>
      <c r="AA25" s="1507">
        <f t="shared" ref="AA25:AA46" si="15">D25/F25</f>
        <v>1</v>
      </c>
      <c r="AB25" s="1507">
        <f t="shared" ref="AB25:AB46" si="16">D25/H25</f>
        <v>1</v>
      </c>
      <c r="AC25" s="1507">
        <f t="shared" ref="AC25:AC46" si="17">D25/J25</f>
        <v>1</v>
      </c>
    </row>
    <row r="26" spans="1:29" ht="15">
      <c r="A26" s="387"/>
      <c r="B26" s="381" t="s">
        <v>2322</v>
      </c>
      <c r="C26" s="419"/>
      <c r="D26" s="394">
        <v>100</v>
      </c>
      <c r="E26" s="2062"/>
      <c r="F26" s="394">
        <f>SUMIF(88:88,E26,89:89)-SUMIF(88:88,C26,89:89)+100</f>
        <v>100</v>
      </c>
      <c r="G26" s="2063"/>
      <c r="H26" s="394">
        <f>SUMIF(88:88,G26,89:89)-SUMIF(88:88,C26,89:89)+100</f>
        <v>100</v>
      </c>
      <c r="I26" s="2063"/>
      <c r="J26" s="394">
        <f>SUMIF(88:88,I26,89:89)-SUMIF(88:88,C26,89:89)+100</f>
        <v>100</v>
      </c>
      <c r="K26" s="385"/>
      <c r="L26" s="2919"/>
      <c r="M26" s="2913"/>
      <c r="N26" s="2913"/>
      <c r="O26" s="2913"/>
      <c r="P26" s="3476"/>
      <c r="Q26" s="1506" t="str">
        <f t="shared" si="11"/>
        <v>朝向</v>
      </c>
      <c r="R26" s="714" t="s">
        <v>21</v>
      </c>
      <c r="S26" s="715">
        <f t="shared" si="12"/>
        <v>100</v>
      </c>
      <c r="T26" s="714" t="s">
        <v>21</v>
      </c>
      <c r="U26" s="715">
        <f t="shared" si="13"/>
        <v>100</v>
      </c>
      <c r="V26" s="714" t="s">
        <v>21</v>
      </c>
      <c r="W26" s="715">
        <f t="shared" si="14"/>
        <v>100</v>
      </c>
      <c r="X26" s="1509"/>
      <c r="Y26" s="3469"/>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4"/>
      <c r="M27" s="2915"/>
      <c r="N27" s="2915"/>
      <c r="O27" s="2915"/>
      <c r="P27" s="3476"/>
      <c r="Q27" s="1497">
        <f t="shared" si="11"/>
        <v>111</v>
      </c>
      <c r="R27" s="710" t="s">
        <v>21</v>
      </c>
      <c r="S27" s="711">
        <f t="shared" si="12"/>
        <v>100</v>
      </c>
      <c r="T27" s="710" t="s">
        <v>21</v>
      </c>
      <c r="U27" s="711">
        <f t="shared" si="13"/>
        <v>100</v>
      </c>
      <c r="V27" s="710" t="s">
        <v>21</v>
      </c>
      <c r="W27" s="711">
        <f t="shared" si="14"/>
        <v>100</v>
      </c>
      <c r="X27" s="712"/>
      <c r="Y27" s="3469"/>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19"/>
      <c r="M28" s="2913"/>
      <c r="N28" s="2913"/>
      <c r="O28" s="2913"/>
      <c r="P28" s="3476"/>
      <c r="Q28" s="1506">
        <f t="shared" si="11"/>
        <v>111</v>
      </c>
      <c r="R28" s="714" t="s">
        <v>21</v>
      </c>
      <c r="S28" s="715">
        <f t="shared" si="12"/>
        <v>100</v>
      </c>
      <c r="T28" s="714" t="s">
        <v>21</v>
      </c>
      <c r="U28" s="715">
        <f t="shared" si="13"/>
        <v>100</v>
      </c>
      <c r="V28" s="714" t="s">
        <v>21</v>
      </c>
      <c r="W28" s="715">
        <f t="shared" si="14"/>
        <v>100</v>
      </c>
      <c r="X28" s="1509"/>
      <c r="Y28" s="3469"/>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19"/>
      <c r="M29" s="2913"/>
      <c r="N29" s="2913"/>
      <c r="O29" s="2913"/>
      <c r="P29" s="3476"/>
      <c r="Q29" s="1506">
        <f t="shared" si="11"/>
        <v>111</v>
      </c>
      <c r="R29" s="714" t="s">
        <v>21</v>
      </c>
      <c r="S29" s="715">
        <f t="shared" si="12"/>
        <v>100</v>
      </c>
      <c r="T29" s="714" t="s">
        <v>21</v>
      </c>
      <c r="U29" s="715">
        <f t="shared" si="13"/>
        <v>100</v>
      </c>
      <c r="V29" s="714" t="s">
        <v>21</v>
      </c>
      <c r="W29" s="715">
        <f t="shared" si="14"/>
        <v>100</v>
      </c>
      <c r="X29" s="1509"/>
      <c r="Y29" s="3469"/>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19"/>
      <c r="M30" s="2913"/>
      <c r="N30" s="2913"/>
      <c r="O30" s="2913"/>
      <c r="P30" s="3476"/>
      <c r="Q30" s="1506">
        <f t="shared" si="11"/>
        <v>111</v>
      </c>
      <c r="R30" s="714" t="s">
        <v>21</v>
      </c>
      <c r="S30" s="715">
        <f t="shared" si="12"/>
        <v>100</v>
      </c>
      <c r="T30" s="714" t="s">
        <v>21</v>
      </c>
      <c r="U30" s="715">
        <f t="shared" si="13"/>
        <v>100</v>
      </c>
      <c r="V30" s="714" t="s">
        <v>21</v>
      </c>
      <c r="W30" s="715">
        <f t="shared" si="14"/>
        <v>100</v>
      </c>
      <c r="X30" s="1509"/>
      <c r="Y30" s="3469"/>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19"/>
      <c r="M31" s="2913"/>
      <c r="N31" s="2913"/>
      <c r="O31" s="2913"/>
      <c r="P31" s="3476"/>
      <c r="Q31" s="1506">
        <f t="shared" si="11"/>
        <v>111</v>
      </c>
      <c r="R31" s="714" t="s">
        <v>21</v>
      </c>
      <c r="S31" s="715">
        <f t="shared" si="12"/>
        <v>100</v>
      </c>
      <c r="T31" s="714" t="s">
        <v>21</v>
      </c>
      <c r="U31" s="715">
        <f t="shared" si="13"/>
        <v>100</v>
      </c>
      <c r="V31" s="714" t="s">
        <v>21</v>
      </c>
      <c r="W31" s="715">
        <f t="shared" si="14"/>
        <v>100</v>
      </c>
      <c r="X31" s="1509"/>
      <c r="Y31" s="3469"/>
      <c r="Z31" s="1510">
        <f t="shared" si="18"/>
        <v>111</v>
      </c>
      <c r="AA31" s="1507">
        <f t="shared" si="15"/>
        <v>1</v>
      </c>
      <c r="AB31" s="1507">
        <f t="shared" si="16"/>
        <v>1</v>
      </c>
      <c r="AC31" s="1507">
        <f t="shared" si="17"/>
        <v>1</v>
      </c>
    </row>
    <row r="32" spans="1:29" ht="15">
      <c r="A32" s="399" t="s">
        <v>2323</v>
      </c>
      <c r="B32" s="67" t="s">
        <v>2324</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19"/>
      <c r="M32" s="2913"/>
      <c r="N32" s="2913"/>
      <c r="O32" s="2913"/>
      <c r="P32" s="3470" t="s">
        <v>2325</v>
      </c>
      <c r="Q32" s="1506" t="str">
        <f t="shared" si="11"/>
        <v>建筑类型</v>
      </c>
      <c r="R32" s="714" t="s">
        <v>21</v>
      </c>
      <c r="S32" s="715">
        <f t="shared" si="12"/>
        <v>100</v>
      </c>
      <c r="T32" s="714" t="s">
        <v>21</v>
      </c>
      <c r="U32" s="715">
        <f t="shared" si="13"/>
        <v>100</v>
      </c>
      <c r="V32" s="714" t="s">
        <v>21</v>
      </c>
      <c r="W32" s="715">
        <f t="shared" si="14"/>
        <v>100</v>
      </c>
      <c r="X32" s="1509"/>
      <c r="Y32" s="3473" t="s">
        <v>2325</v>
      </c>
      <c r="Z32" s="1510" t="str">
        <f t="shared" si="18"/>
        <v>建筑类型</v>
      </c>
      <c r="AA32" s="1507">
        <f t="shared" si="15"/>
        <v>1</v>
      </c>
      <c r="AB32" s="1507">
        <f t="shared" si="16"/>
        <v>1</v>
      </c>
      <c r="AC32" s="1507">
        <f t="shared" si="17"/>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18"/>
      <c r="M33" s="2920"/>
      <c r="N33" s="2920"/>
      <c r="O33" s="2920"/>
      <c r="P33" s="3471"/>
      <c r="Q33" s="716" t="str">
        <f t="shared" si="11"/>
        <v>项目建筑规模</v>
      </c>
      <c r="R33" s="717" t="s">
        <v>21</v>
      </c>
      <c r="S33" s="718" t="e">
        <f t="shared" si="12"/>
        <v>#N/A</v>
      </c>
      <c r="T33" s="717" t="s">
        <v>21</v>
      </c>
      <c r="U33" s="718" t="e">
        <f t="shared" si="13"/>
        <v>#N/A</v>
      </c>
      <c r="V33" s="717" t="s">
        <v>21</v>
      </c>
      <c r="W33" s="718" t="e">
        <f t="shared" si="14"/>
        <v>#N/A</v>
      </c>
      <c r="X33" s="719"/>
      <c r="Y33" s="3473"/>
      <c r="Z33" s="720" t="str">
        <f t="shared" si="18"/>
        <v>项目建筑规模</v>
      </c>
      <c r="AA33" s="1507" t="e">
        <f t="shared" si="15"/>
        <v>#N/A</v>
      </c>
      <c r="AB33" s="1507" t="e">
        <f t="shared" si="16"/>
        <v>#N/A</v>
      </c>
      <c r="AC33" s="1507" t="e">
        <f t="shared" si="17"/>
        <v>#N/A</v>
      </c>
    </row>
    <row r="34" spans="1:29" ht="15">
      <c r="A34" s="431"/>
      <c r="B34" s="381" t="s">
        <v>2327</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19"/>
      <c r="M34" s="2913"/>
      <c r="N34" s="2913"/>
      <c r="O34" s="2913"/>
      <c r="P34" s="3471"/>
      <c r="Q34" s="1506" t="str">
        <f t="shared" si="11"/>
        <v>建筑结构</v>
      </c>
      <c r="R34" s="714" t="s">
        <v>21</v>
      </c>
      <c r="S34" s="715">
        <f t="shared" si="12"/>
        <v>100</v>
      </c>
      <c r="T34" s="714" t="s">
        <v>21</v>
      </c>
      <c r="U34" s="715">
        <f t="shared" si="13"/>
        <v>100</v>
      </c>
      <c r="V34" s="714" t="s">
        <v>21</v>
      </c>
      <c r="W34" s="715">
        <f t="shared" si="14"/>
        <v>100</v>
      </c>
      <c r="X34" s="1509"/>
      <c r="Y34" s="3473"/>
      <c r="Z34" s="1510" t="str">
        <f t="shared" si="18"/>
        <v>建筑结构</v>
      </c>
      <c r="AA34" s="1507">
        <f t="shared" si="15"/>
        <v>1</v>
      </c>
      <c r="AB34" s="1507">
        <f t="shared" si="16"/>
        <v>1</v>
      </c>
      <c r="AC34" s="1507">
        <f t="shared" si="17"/>
        <v>1</v>
      </c>
    </row>
    <row r="35" spans="1:29" ht="15">
      <c r="A35" s="431"/>
      <c r="B35" s="381" t="s">
        <v>2328</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19"/>
      <c r="M35" s="2913"/>
      <c r="N35" s="2913"/>
      <c r="O35" s="2913"/>
      <c r="P35" s="3471"/>
      <c r="Q35" s="1506" t="str">
        <f t="shared" si="11"/>
        <v>建筑品质</v>
      </c>
      <c r="R35" s="714" t="s">
        <v>21</v>
      </c>
      <c r="S35" s="715">
        <f t="shared" si="12"/>
        <v>100</v>
      </c>
      <c r="T35" s="714" t="s">
        <v>21</v>
      </c>
      <c r="U35" s="715">
        <f t="shared" si="13"/>
        <v>100</v>
      </c>
      <c r="V35" s="714" t="s">
        <v>21</v>
      </c>
      <c r="W35" s="715">
        <f t="shared" si="14"/>
        <v>100</v>
      </c>
      <c r="X35" s="1509"/>
      <c r="Y35" s="3473"/>
      <c r="Z35" s="1510" t="str">
        <f t="shared" si="18"/>
        <v>建筑品质</v>
      </c>
      <c r="AA35" s="1507">
        <f t="shared" si="15"/>
        <v>1</v>
      </c>
      <c r="AB35" s="1507">
        <f t="shared" si="16"/>
        <v>1</v>
      </c>
      <c r="AC35" s="1507">
        <f t="shared" si="17"/>
        <v>1</v>
      </c>
    </row>
    <row r="36" spans="1:29" ht="15">
      <c r="A36" s="431"/>
      <c r="B36" s="381" t="s">
        <v>2329</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19"/>
      <c r="M36" s="2913"/>
      <c r="N36" s="2913"/>
      <c r="O36" s="2913"/>
      <c r="P36" s="3471"/>
      <c r="Q36" s="1506" t="str">
        <f t="shared" si="11"/>
        <v>公共部分装修</v>
      </c>
      <c r="R36" s="714" t="s">
        <v>21</v>
      </c>
      <c r="S36" s="715">
        <f t="shared" si="12"/>
        <v>100</v>
      </c>
      <c r="T36" s="714" t="s">
        <v>21</v>
      </c>
      <c r="U36" s="715">
        <f t="shared" si="13"/>
        <v>100</v>
      </c>
      <c r="V36" s="714" t="s">
        <v>21</v>
      </c>
      <c r="W36" s="715">
        <f t="shared" si="14"/>
        <v>100</v>
      </c>
      <c r="X36" s="1509"/>
      <c r="Y36" s="3473"/>
      <c r="Z36" s="1510" t="str">
        <f t="shared" si="18"/>
        <v>公共部分装修</v>
      </c>
      <c r="AA36" s="1507">
        <f t="shared" si="15"/>
        <v>1</v>
      </c>
      <c r="AB36" s="1507">
        <f t="shared" si="16"/>
        <v>1</v>
      </c>
      <c r="AC36" s="1507">
        <f t="shared" si="17"/>
        <v>1</v>
      </c>
    </row>
    <row r="37" spans="1:29" s="113" customFormat="1" ht="15">
      <c r="A37" s="432"/>
      <c r="B37" s="381" t="s">
        <v>2330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4"/>
      <c r="M37" s="2915"/>
      <c r="N37" s="2915"/>
      <c r="O37" s="2915"/>
      <c r="P37" s="3471"/>
      <c r="Q37" s="1497" t="str">
        <f t="shared" si="11"/>
        <v>成新度</v>
      </c>
      <c r="R37" s="710" t="s">
        <v>21</v>
      </c>
      <c r="S37" s="711" t="e">
        <f t="shared" si="12"/>
        <v>#N/A</v>
      </c>
      <c r="T37" s="710" t="s">
        <v>21</v>
      </c>
      <c r="U37" s="711" t="e">
        <f t="shared" si="13"/>
        <v>#N/A</v>
      </c>
      <c r="V37" s="710" t="s">
        <v>21</v>
      </c>
      <c r="W37" s="711" t="e">
        <f t="shared" si="14"/>
        <v>#N/A</v>
      </c>
      <c r="X37" s="712"/>
      <c r="Y37" s="3473"/>
      <c r="Z37" s="55" t="str">
        <f t="shared" si="18"/>
        <v>成新度</v>
      </c>
      <c r="AA37" s="713" t="e">
        <f t="shared" si="15"/>
        <v>#N/A</v>
      </c>
      <c r="AB37" s="713" t="e">
        <f t="shared" si="16"/>
        <v>#N/A</v>
      </c>
      <c r="AC37" s="713" t="e">
        <f t="shared" si="17"/>
        <v>#N/A</v>
      </c>
    </row>
    <row r="38" spans="1:29" ht="15">
      <c r="A38" s="431"/>
      <c r="B38" s="381" t="s">
        <v>2331</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19"/>
      <c r="M38" s="2913"/>
      <c r="N38" s="2913"/>
      <c r="O38" s="2913"/>
      <c r="P38" s="3471" t="s">
        <v>2325</v>
      </c>
      <c r="Q38" s="1506" t="str">
        <f t="shared" si="11"/>
        <v>物业管理</v>
      </c>
      <c r="R38" s="714" t="s">
        <v>21</v>
      </c>
      <c r="S38" s="715">
        <f t="shared" si="12"/>
        <v>100</v>
      </c>
      <c r="T38" s="714" t="s">
        <v>21</v>
      </c>
      <c r="U38" s="715">
        <f t="shared" si="13"/>
        <v>100</v>
      </c>
      <c r="V38" s="714" t="s">
        <v>21</v>
      </c>
      <c r="W38" s="715">
        <f t="shared" si="14"/>
        <v>100</v>
      </c>
      <c r="X38" s="1509"/>
      <c r="Y38" s="3473" t="s">
        <v>2325</v>
      </c>
      <c r="Z38" s="1510" t="str">
        <f t="shared" si="18"/>
        <v>物业管理</v>
      </c>
      <c r="AA38" s="1507">
        <f t="shared" si="15"/>
        <v>1</v>
      </c>
      <c r="AB38" s="1507">
        <f t="shared" si="16"/>
        <v>1</v>
      </c>
      <c r="AC38" s="1507">
        <f t="shared" si="17"/>
        <v>1</v>
      </c>
    </row>
    <row r="39" spans="1:29" ht="15">
      <c r="A39" s="431"/>
      <c r="B39" s="381" t="s">
        <v>2332</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19"/>
      <c r="M39" s="2913"/>
      <c r="N39" s="2913"/>
      <c r="O39" s="2913"/>
      <c r="P39" s="3471"/>
      <c r="Q39" s="1506" t="str">
        <f t="shared" si="11"/>
        <v>市政基础设施</v>
      </c>
      <c r="R39" s="714" t="s">
        <v>21</v>
      </c>
      <c r="S39" s="715">
        <f t="shared" si="12"/>
        <v>100</v>
      </c>
      <c r="T39" s="714" t="s">
        <v>21</v>
      </c>
      <c r="U39" s="715">
        <f t="shared" si="13"/>
        <v>100</v>
      </c>
      <c r="V39" s="714" t="s">
        <v>21</v>
      </c>
      <c r="W39" s="715">
        <f t="shared" si="14"/>
        <v>100</v>
      </c>
      <c r="X39" s="1509"/>
      <c r="Y39" s="3473"/>
      <c r="Z39" s="1510" t="str">
        <f t="shared" si="18"/>
        <v>市政基础设施</v>
      </c>
      <c r="AA39" s="1507">
        <f t="shared" si="15"/>
        <v>1</v>
      </c>
      <c r="AB39" s="1507">
        <f t="shared" si="16"/>
        <v>1</v>
      </c>
      <c r="AC39" s="1507">
        <f t="shared" si="17"/>
        <v>1</v>
      </c>
    </row>
    <row r="40" spans="1:29" ht="15">
      <c r="A40" s="431"/>
      <c r="B40" s="381" t="s">
        <v>2333</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19"/>
      <c r="M40" s="2913"/>
      <c r="N40" s="2913"/>
      <c r="O40" s="2913"/>
      <c r="P40" s="3471"/>
      <c r="Q40" s="1506" t="str">
        <f t="shared" si="11"/>
        <v>房型</v>
      </c>
      <c r="R40" s="714" t="s">
        <v>21</v>
      </c>
      <c r="S40" s="715">
        <f t="shared" si="12"/>
        <v>100</v>
      </c>
      <c r="T40" s="714" t="s">
        <v>21</v>
      </c>
      <c r="U40" s="715">
        <f t="shared" si="13"/>
        <v>100</v>
      </c>
      <c r="V40" s="714" t="s">
        <v>21</v>
      </c>
      <c r="W40" s="715">
        <f t="shared" si="14"/>
        <v>100</v>
      </c>
      <c r="X40" s="1509"/>
      <c r="Y40" s="3473"/>
      <c r="Z40" s="1510" t="str">
        <f t="shared" si="18"/>
        <v>房型</v>
      </c>
      <c r="AA40" s="1507">
        <f t="shared" si="15"/>
        <v>1</v>
      </c>
      <c r="AB40" s="1507">
        <f t="shared" si="16"/>
        <v>1</v>
      </c>
      <c r="AC40" s="1507">
        <f t="shared" si="17"/>
        <v>1</v>
      </c>
    </row>
    <row r="41" spans="1:29" s="430" customFormat="1" ht="28.5">
      <c r="A41" s="427"/>
      <c r="B41" s="381" t="s">
        <v>2334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18"/>
      <c r="M41" s="2920"/>
      <c r="N41" s="2920"/>
      <c r="O41" s="2920"/>
      <c r="P41" s="3471"/>
      <c r="Q41" s="716" t="str">
        <f t="shared" si="11"/>
        <v>单套/主力户型建筑面积</v>
      </c>
      <c r="R41" s="717" t="s">
        <v>21</v>
      </c>
      <c r="S41" s="718">
        <f t="shared" si="12"/>
        <v>100</v>
      </c>
      <c r="T41" s="717" t="s">
        <v>21</v>
      </c>
      <c r="U41" s="718">
        <f t="shared" si="13"/>
        <v>100</v>
      </c>
      <c r="V41" s="717" t="s">
        <v>21</v>
      </c>
      <c r="W41" s="718">
        <f t="shared" si="14"/>
        <v>100</v>
      </c>
      <c r="X41" s="719"/>
      <c r="Y41" s="3473"/>
      <c r="Z41" s="720" t="str">
        <f t="shared" si="18"/>
        <v>单套/主力户型建筑面积</v>
      </c>
      <c r="AA41" s="1507">
        <f t="shared" si="15"/>
        <v>1</v>
      </c>
      <c r="AB41" s="1507">
        <f t="shared" si="16"/>
        <v>1</v>
      </c>
      <c r="AC41" s="1507">
        <f t="shared" si="17"/>
        <v>1</v>
      </c>
    </row>
    <row r="42" spans="1:29" ht="15">
      <c r="A42" s="431"/>
      <c r="B42" s="381" t="s">
        <v>2335</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19"/>
      <c r="M42" s="2913"/>
      <c r="N42" s="2913"/>
      <c r="O42" s="2913"/>
      <c r="P42" s="3471"/>
      <c r="Q42" s="1506" t="str">
        <f t="shared" si="11"/>
        <v>内部装修</v>
      </c>
      <c r="R42" s="714" t="s">
        <v>21</v>
      </c>
      <c r="S42" s="715">
        <f t="shared" si="12"/>
        <v>100</v>
      </c>
      <c r="T42" s="714" t="s">
        <v>21</v>
      </c>
      <c r="U42" s="715">
        <f t="shared" si="13"/>
        <v>100</v>
      </c>
      <c r="V42" s="714" t="s">
        <v>21</v>
      </c>
      <c r="W42" s="715">
        <f t="shared" si="14"/>
        <v>100</v>
      </c>
      <c r="X42" s="1509"/>
      <c r="Y42" s="3473"/>
      <c r="Z42" s="1510" t="str">
        <f t="shared" si="18"/>
        <v>内部装修</v>
      </c>
      <c r="AA42" s="1507">
        <f t="shared" si="15"/>
        <v>1</v>
      </c>
      <c r="AB42" s="1507">
        <f t="shared" si="16"/>
        <v>1</v>
      </c>
      <c r="AC42" s="1507">
        <f t="shared" si="17"/>
        <v>1</v>
      </c>
    </row>
    <row r="43" spans="1:29" ht="15">
      <c r="A43" s="431"/>
      <c r="B43" s="381" t="s">
        <v>2336</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19"/>
      <c r="M43" s="2913"/>
      <c r="N43" s="2913"/>
      <c r="O43" s="2913"/>
      <c r="P43" s="3471"/>
      <c r="Q43" s="1506" t="str">
        <f t="shared" si="11"/>
        <v>内部装修维护情况</v>
      </c>
      <c r="R43" s="714" t="s">
        <v>21</v>
      </c>
      <c r="S43" s="715">
        <f t="shared" si="12"/>
        <v>100</v>
      </c>
      <c r="T43" s="714" t="s">
        <v>21</v>
      </c>
      <c r="U43" s="715">
        <f t="shared" si="13"/>
        <v>100</v>
      </c>
      <c r="V43" s="714" t="s">
        <v>21</v>
      </c>
      <c r="W43" s="715">
        <f t="shared" si="14"/>
        <v>100</v>
      </c>
      <c r="X43" s="1509"/>
      <c r="Y43" s="3473"/>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4"/>
      <c r="M44" s="2915"/>
      <c r="N44" s="2915"/>
      <c r="O44" s="2915"/>
      <c r="P44" s="3471"/>
      <c r="Q44" s="1497">
        <f t="shared" si="11"/>
        <v>111</v>
      </c>
      <c r="R44" s="710" t="s">
        <v>21</v>
      </c>
      <c r="S44" s="711">
        <f t="shared" si="12"/>
        <v>100</v>
      </c>
      <c r="T44" s="710" t="s">
        <v>21</v>
      </c>
      <c r="U44" s="711">
        <f t="shared" si="13"/>
        <v>100</v>
      </c>
      <c r="V44" s="710" t="s">
        <v>21</v>
      </c>
      <c r="W44" s="711">
        <f t="shared" si="14"/>
        <v>100</v>
      </c>
      <c r="X44" s="712"/>
      <c r="Y44" s="3473"/>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19"/>
      <c r="M45" s="2913"/>
      <c r="N45" s="2913"/>
      <c r="O45" s="2913"/>
      <c r="P45" s="3471"/>
      <c r="Q45" s="1506">
        <f t="shared" si="11"/>
        <v>111</v>
      </c>
      <c r="R45" s="714" t="s">
        <v>21</v>
      </c>
      <c r="S45" s="715">
        <f t="shared" si="12"/>
        <v>100</v>
      </c>
      <c r="T45" s="714" t="s">
        <v>21</v>
      </c>
      <c r="U45" s="715">
        <f t="shared" si="13"/>
        <v>100</v>
      </c>
      <c r="V45" s="714" t="s">
        <v>21</v>
      </c>
      <c r="W45" s="715">
        <f t="shared" si="14"/>
        <v>100</v>
      </c>
      <c r="X45" s="1509"/>
      <c r="Y45" s="3473"/>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19"/>
      <c r="M46" s="2913"/>
      <c r="N46" s="2913"/>
      <c r="O46" s="2913"/>
      <c r="P46" s="3472"/>
      <c r="Q46" s="1506">
        <f t="shared" si="11"/>
        <v>111</v>
      </c>
      <c r="R46" s="714" t="s">
        <v>20</v>
      </c>
      <c r="S46" s="715">
        <f t="shared" si="12"/>
        <v>100</v>
      </c>
      <c r="T46" s="714" t="s">
        <v>20</v>
      </c>
      <c r="U46" s="715">
        <f t="shared" si="13"/>
        <v>100</v>
      </c>
      <c r="V46" s="714" t="s">
        <v>20</v>
      </c>
      <c r="W46" s="715">
        <f t="shared" si="14"/>
        <v>100</v>
      </c>
      <c r="X46" s="1509"/>
      <c r="Y46" s="3474"/>
      <c r="Z46" s="1510">
        <f t="shared" si="18"/>
        <v>111</v>
      </c>
      <c r="AA46" s="1507">
        <f t="shared" si="15"/>
        <v>1</v>
      </c>
      <c r="AB46" s="1507">
        <f t="shared" si="16"/>
        <v>1</v>
      </c>
      <c r="AC46" s="1507">
        <f t="shared" si="17"/>
        <v>1</v>
      </c>
    </row>
    <row r="47" spans="1:29" ht="15">
      <c r="A47" s="438" t="s">
        <v>2337</v>
      </c>
      <c r="B47" s="439"/>
      <c r="C47" s="1288" t="s">
        <v>19</v>
      </c>
      <c r="D47" s="1289"/>
      <c r="E47" s="1290"/>
      <c r="F47" s="1291"/>
      <c r="G47" s="1292"/>
      <c r="H47" s="1293"/>
      <c r="I47" s="1290"/>
      <c r="J47" s="1293"/>
      <c r="K47" s="2070"/>
      <c r="L47" s="2921"/>
      <c r="M47" s="2922"/>
      <c r="N47" s="2913"/>
      <c r="O47" s="2922"/>
      <c r="P47" s="3466" t="str">
        <f>A47</f>
        <v>成交单价（元/平方米）</v>
      </c>
      <c r="Q47" s="3466"/>
      <c r="R47" s="3467">
        <f>E47</f>
        <v>0</v>
      </c>
      <c r="S47" s="3467"/>
      <c r="T47" s="3467">
        <f>G47</f>
        <v>0</v>
      </c>
      <c r="U47" s="3467"/>
      <c r="V47" s="3467">
        <f>I47</f>
        <v>0</v>
      </c>
      <c r="W47" s="3467"/>
      <c r="X47" s="699"/>
      <c r="Y47" s="721"/>
      <c r="Z47" s="699"/>
      <c r="AA47" s="699"/>
      <c r="AB47" s="699"/>
      <c r="AC47" s="699"/>
    </row>
    <row r="48" spans="1:29" ht="15.75" thickBot="1">
      <c r="A48" s="445" t="s">
        <v>2338</v>
      </c>
      <c r="B48" s="446"/>
      <c r="C48" s="1294" t="e">
        <f>R49</f>
        <v>#DIV/0!</v>
      </c>
      <c r="D48" s="2508" t="s">
        <v>2820</v>
      </c>
      <c r="E48" s="1295" t="e">
        <f>R48</f>
        <v>#DIV/0!</v>
      </c>
      <c r="F48" s="2509"/>
      <c r="G48" s="1294" t="e">
        <f>T48</f>
        <v>#DIV/0!</v>
      </c>
      <c r="H48" s="2509"/>
      <c r="I48" s="1295" t="e">
        <f>V48</f>
        <v>#DIV/0!</v>
      </c>
      <c r="J48" s="2509"/>
      <c r="K48" s="2510">
        <f>F48+H48+J48</f>
        <v>0</v>
      </c>
      <c r="L48" s="2921"/>
      <c r="M48" s="2922"/>
      <c r="N48" s="2922"/>
      <c r="O48" s="2922"/>
      <c r="P48" s="3466" t="str">
        <f>A48</f>
        <v>比较价值（元/平方米）</v>
      </c>
      <c r="Q48" s="3466"/>
      <c r="R48" s="3467" t="e">
        <f>IF(F1="售价",ROUND(PRODUCT(R47,AA7:AA46),0),ROUND(PRODUCT(R47,AA7:AA46),1))</f>
        <v>#DIV/0!</v>
      </c>
      <c r="S48" s="3467"/>
      <c r="T48" s="3467" t="e">
        <f>IF(F1="售价",ROUND(PRODUCT(T47,AB7:AB46),0),ROUND(PRODUCT(T47,AB7:AB46),1))</f>
        <v>#DIV/0!</v>
      </c>
      <c r="U48" s="3467"/>
      <c r="V48" s="3467" t="e">
        <f>IF(F1="售价",ROUND(PRODUCT(V47,AC7:AC46),0),ROUND(PRODUCT(V47,AC7:AC46),1))</f>
        <v>#DIV/0!</v>
      </c>
      <c r="W48" s="3467"/>
      <c r="X48" s="699"/>
      <c r="Y48" s="699"/>
      <c r="Z48" s="699"/>
      <c r="AA48" s="699"/>
      <c r="AB48" s="699"/>
      <c r="AC48" s="699"/>
    </row>
    <row r="49" spans="1:29" ht="15.75" thickBot="1">
      <c r="A49" s="449" t="s">
        <v>2339</v>
      </c>
      <c r="B49" s="450"/>
      <c r="C49" s="1296" t="e">
        <f>R49</f>
        <v>#DIV/0!</v>
      </c>
      <c r="D49" s="1297"/>
      <c r="E49" s="1297"/>
      <c r="F49" s="1297"/>
      <c r="G49" s="1297"/>
      <c r="H49" s="1297"/>
      <c r="I49" s="1297"/>
      <c r="J49" s="1297"/>
      <c r="K49" s="2071"/>
      <c r="L49" s="2921"/>
      <c r="M49" s="2922"/>
      <c r="N49" s="2922"/>
      <c r="O49" s="2922"/>
      <c r="P49" s="3463" t="str">
        <f>A49</f>
        <v>估价对象XX用房的比较价值（楼面单价，元/平方米）</v>
      </c>
      <c r="Q49" s="3464"/>
      <c r="R49" s="3465" t="e">
        <f>IF(F1="售价",ROUND(IF(D48="简单平均",AVERAGE(R48:V48),R48*F48+T48*H48+V48*J48),0),ROUND(IF(D48="简单平均",AVERAGE(R48:V48),R48*F48+T48*H48+V48*J48),1))</f>
        <v>#DIV/0!</v>
      </c>
      <c r="S49" s="3465"/>
      <c r="T49" s="3465"/>
      <c r="U49" s="3465"/>
      <c r="V49" s="3465"/>
      <c r="W49" s="3465"/>
      <c r="X49" s="699"/>
      <c r="Y49" s="699"/>
      <c r="Z49" s="699"/>
      <c r="AA49" s="699"/>
      <c r="AB49" s="699"/>
      <c r="AC49" s="699"/>
    </row>
    <row r="50" spans="1:29">
      <c r="A50" s="2922"/>
      <c r="B50" s="2922"/>
      <c r="C50" s="2922"/>
      <c r="D50" s="2922"/>
      <c r="E50" s="2922"/>
      <c r="F50" s="2922"/>
      <c r="G50" s="2926"/>
      <c r="H50" s="2922"/>
      <c r="I50" s="2922"/>
      <c r="J50" s="2922"/>
      <c r="K50" s="2927"/>
      <c r="L50" s="2923"/>
      <c r="M50" s="2922"/>
      <c r="N50" s="2922"/>
      <c r="O50" s="2922"/>
    </row>
    <row r="51" spans="1:29">
      <c r="A51" s="2922"/>
      <c r="B51" s="2922"/>
      <c r="C51" s="2922"/>
      <c r="D51" s="2922"/>
      <c r="E51" s="2922"/>
      <c r="F51" s="2922"/>
      <c r="G51" s="2922"/>
      <c r="H51" s="2922"/>
      <c r="I51" s="2922"/>
      <c r="J51" s="2922"/>
      <c r="K51" s="2927"/>
      <c r="L51" s="2923"/>
      <c r="M51" s="2922"/>
      <c r="N51" s="2922"/>
      <c r="O51" s="2922"/>
    </row>
    <row r="52" spans="1:29" ht="13.5" customHeight="1">
      <c r="A52" s="2922"/>
      <c r="B52" s="2922"/>
      <c r="C52" s="454" t="s">
        <v>2340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7"/>
      <c r="L52" s="2923"/>
      <c r="M52" s="2922"/>
      <c r="N52" s="2922"/>
      <c r="O52" s="2922"/>
    </row>
    <row r="53" spans="1:29" ht="13.5" customHeight="1">
      <c r="A53" s="2922"/>
      <c r="B53" s="2922"/>
      <c r="C53" s="454" t="s">
        <v>2341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7"/>
      <c r="L53" s="2923"/>
      <c r="M53" s="2922"/>
      <c r="N53" s="2922"/>
      <c r="O53" s="2922"/>
    </row>
    <row r="54" spans="1:29" s="459" customFormat="1" ht="13.5" customHeight="1">
      <c r="A54" s="2925"/>
      <c r="B54" s="2925"/>
      <c r="C54" s="454" t="s">
        <v>2342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0"/>
      <c r="L54" s="2924"/>
      <c r="M54" s="2925"/>
      <c r="N54" s="2925"/>
      <c r="O54" s="2925"/>
      <c r="P54" s="2073"/>
    </row>
    <row r="55" spans="1:29" s="459" customFormat="1">
      <c r="A55" s="2925"/>
      <c r="B55" s="2928"/>
      <c r="C55" s="2929"/>
      <c r="D55" s="2925"/>
      <c r="E55" s="2925"/>
      <c r="F55" s="2925"/>
      <c r="G55" s="2925"/>
      <c r="H55" s="2925"/>
      <c r="I55" s="2925"/>
      <c r="J55" s="2925"/>
      <c r="K55" s="2930"/>
      <c r="L55" s="2924"/>
      <c r="M55" s="2925"/>
      <c r="N55" s="2925"/>
      <c r="O55" s="2925"/>
      <c r="P55" s="2073"/>
    </row>
    <row r="56" spans="1:29">
      <c r="A56" s="2922"/>
      <c r="B56" s="2928"/>
      <c r="C56" s="2929"/>
      <c r="D56" s="2922"/>
      <c r="E56" s="2922"/>
      <c r="F56" s="2922"/>
      <c r="G56" s="2922"/>
      <c r="H56" s="2922"/>
      <c r="I56" s="2922"/>
      <c r="J56" s="2922"/>
      <c r="K56" s="2927"/>
      <c r="L56" s="2923"/>
      <c r="M56" s="2922"/>
      <c r="N56" s="2922"/>
      <c r="O56" s="2922"/>
    </row>
    <row r="57" spans="1:29" ht="21.75" thickBot="1">
      <c r="A57" s="703" t="s">
        <v>2343</v>
      </c>
      <c r="B57" s="699"/>
      <c r="C57" s="704"/>
      <c r="D57" s="704"/>
      <c r="E57" s="704"/>
      <c r="F57" s="705"/>
      <c r="G57" s="705"/>
      <c r="H57" s="704"/>
      <c r="I57" s="704"/>
      <c r="J57" s="704"/>
      <c r="K57" s="1072"/>
      <c r="L57" s="1073"/>
      <c r="M57" s="1071"/>
      <c r="N57" s="1071"/>
      <c r="O57" s="1071"/>
      <c r="P57" s="2074"/>
      <c r="Q57" s="461"/>
    </row>
    <row r="58" spans="1:29" s="465" customFormat="1" ht="15">
      <c r="A58" s="462" t="s">
        <v>2344</v>
      </c>
      <c r="B58" s="463"/>
      <c r="C58" s="1320" t="str">
        <f>YEAR(C7)&amp;"-"&amp;MONTH(C7)</f>
        <v>2022-3</v>
      </c>
      <c r="D58" s="1319">
        <f>EDATE(C58,-1)</f>
        <v>44593</v>
      </c>
      <c r="E58" s="1319">
        <f>EDATE(D58,-1)</f>
        <v>44562</v>
      </c>
      <c r="F58" s="1319">
        <f t="shared" ref="F58:O58" si="19">EDATE(E58,-1)</f>
        <v>44531</v>
      </c>
      <c r="G58" s="1319">
        <f t="shared" si="19"/>
        <v>44501</v>
      </c>
      <c r="H58" s="1319">
        <f t="shared" si="19"/>
        <v>44470</v>
      </c>
      <c r="I58" s="1319">
        <f t="shared" si="19"/>
        <v>44440</v>
      </c>
      <c r="J58" s="1319">
        <f t="shared" si="19"/>
        <v>44409</v>
      </c>
      <c r="K58" s="1319">
        <f t="shared" si="19"/>
        <v>44378</v>
      </c>
      <c r="L58" s="1319">
        <f t="shared" si="19"/>
        <v>44348</v>
      </c>
      <c r="M58" s="1319">
        <f t="shared" si="19"/>
        <v>44317</v>
      </c>
      <c r="N58" s="1319">
        <f t="shared" si="19"/>
        <v>44287</v>
      </c>
      <c r="O58" s="1319">
        <f t="shared" si="19"/>
        <v>44256</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2345</v>
      </c>
      <c r="B60" s="473"/>
      <c r="C60" s="474"/>
      <c r="D60" s="475"/>
      <c r="E60" s="475"/>
      <c r="F60" s="475"/>
      <c r="G60" s="475"/>
      <c r="H60" s="475"/>
      <c r="I60" s="475"/>
      <c r="J60" s="475"/>
      <c r="K60" s="475"/>
      <c r="L60" s="475"/>
      <c r="M60" s="476"/>
      <c r="N60" s="475"/>
      <c r="O60" s="476"/>
      <c r="P60" s="2076"/>
      <c r="Q60" s="461"/>
    </row>
    <row r="61" spans="1:29" s="113" customFormat="1" ht="15">
      <c r="A61" s="478" t="s">
        <v>2346</v>
      </c>
      <c r="B61" s="467"/>
      <c r="C61" s="479" t="s">
        <v>2347</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2348</v>
      </c>
      <c r="B63" s="485" t="s">
        <v>2314</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2317</v>
      </c>
      <c r="C65" s="496" t="s">
        <v>2349</v>
      </c>
      <c r="D65" s="496" t="s">
        <v>2350</v>
      </c>
      <c r="E65" s="496" t="s">
        <v>2351</v>
      </c>
      <c r="F65" s="496" t="s">
        <v>2352</v>
      </c>
      <c r="G65" s="496" t="s">
        <v>2353</v>
      </c>
      <c r="H65" s="496" t="s">
        <v>2354</v>
      </c>
      <c r="I65" s="496" t="s">
        <v>2355</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2319</v>
      </c>
      <c r="B76" s="485" t="s">
        <v>2356</v>
      </c>
      <c r="C76" s="530" t="s">
        <v>2357</v>
      </c>
      <c r="D76" s="530" t="s">
        <v>2358</v>
      </c>
      <c r="E76" s="530" t="s">
        <v>2359</v>
      </c>
      <c r="F76" s="530" t="s">
        <v>2360</v>
      </c>
      <c r="G76" s="530" t="s">
        <v>2361</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2362</v>
      </c>
      <c r="C78" s="535" t="s">
        <v>2357</v>
      </c>
      <c r="D78" s="535" t="s">
        <v>2358</v>
      </c>
      <c r="E78" s="535" t="s">
        <v>2359</v>
      </c>
      <c r="F78" s="535" t="s">
        <v>2360</v>
      </c>
      <c r="G78" s="535" t="s">
        <v>2361</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2363</v>
      </c>
      <c r="C80" s="535" t="s">
        <v>2357</v>
      </c>
      <c r="D80" s="535" t="s">
        <v>2358</v>
      </c>
      <c r="E80" s="535" t="s">
        <v>2359</v>
      </c>
      <c r="F80" s="535" t="s">
        <v>2360</v>
      </c>
      <c r="G80" s="535" t="s">
        <v>2361</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1885</v>
      </c>
      <c r="C82" s="496" t="s">
        <v>2364</v>
      </c>
      <c r="D82" s="496" t="s">
        <v>2365</v>
      </c>
      <c r="E82" s="496" t="s">
        <v>2366</v>
      </c>
      <c r="F82" s="496" t="s">
        <v>2367</v>
      </c>
      <c r="G82" s="496" t="s">
        <v>2368</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2369</v>
      </c>
      <c r="C84" s="535" t="s">
        <v>2357</v>
      </c>
      <c r="D84" s="535" t="s">
        <v>2358</v>
      </c>
      <c r="E84" s="535" t="s">
        <v>2359</v>
      </c>
      <c r="F84" s="535" t="s">
        <v>2360</v>
      </c>
      <c r="G84" s="535" t="s">
        <v>2361</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2370</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2371</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2323</v>
      </c>
      <c r="B100" s="485" t="s">
        <v>2372</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2374</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2375</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2376</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2377</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2378</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2379</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2334</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2380</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2381</v>
      </c>
      <c r="C124" s="535" t="s">
        <v>2357</v>
      </c>
      <c r="D124" s="535" t="s">
        <v>2358</v>
      </c>
      <c r="E124" s="535" t="s">
        <v>2359</v>
      </c>
      <c r="F124" s="535" t="s">
        <v>2360</v>
      </c>
      <c r="G124" s="535" t="s">
        <v>2361</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2382</v>
      </c>
    </row>
    <row r="137" spans="1:17" ht="15">
      <c r="B137" s="2086" t="s">
        <v>2383</v>
      </c>
      <c r="C137" s="2087"/>
      <c r="D137" s="2087"/>
      <c r="E137" s="2087"/>
      <c r="F137" s="2087"/>
      <c r="G137" s="2088"/>
      <c r="H137" s="2089"/>
      <c r="I137" s="2090" t="s">
        <v>2384</v>
      </c>
      <c r="J137" s="2087"/>
      <c r="K137" s="2091"/>
    </row>
    <row r="138" spans="1:17" ht="15">
      <c r="B138" s="2092"/>
      <c r="C138" s="142" t="s">
        <v>2385</v>
      </c>
      <c r="D138" s="142" t="s">
        <v>2386</v>
      </c>
      <c r="E138" s="2093" t="s">
        <v>2387</v>
      </c>
      <c r="F138" s="2094" t="s">
        <v>2388</v>
      </c>
      <c r="G138" s="142" t="s">
        <v>2386</v>
      </c>
      <c r="H138" s="143" t="s">
        <v>2387</v>
      </c>
      <c r="I138" s="2095"/>
      <c r="J138" s="142" t="s">
        <v>2389</v>
      </c>
      <c r="K138" s="143" t="s">
        <v>2390</v>
      </c>
    </row>
    <row r="139" spans="1:17" ht="15">
      <c r="B139" s="998">
        <v>6</v>
      </c>
      <c r="C139" s="999">
        <v>96</v>
      </c>
      <c r="D139" s="2096" t="s">
        <v>2391</v>
      </c>
      <c r="E139" s="1000">
        <v>100</v>
      </c>
      <c r="F139" s="1001">
        <v>102.5</v>
      </c>
      <c r="G139" s="2096" t="s">
        <v>2391</v>
      </c>
      <c r="H139" s="1002">
        <v>105</v>
      </c>
      <c r="I139" s="2097" t="s">
        <v>2392</v>
      </c>
      <c r="J139" s="999">
        <v>20</v>
      </c>
      <c r="K139" s="1003">
        <f>C145/(J139-2)</f>
        <v>4.0555555555555553E-3</v>
      </c>
    </row>
    <row r="140" spans="1:17" ht="15">
      <c r="B140" s="1004">
        <v>5</v>
      </c>
      <c r="C140" s="1005">
        <v>100</v>
      </c>
      <c r="D140" s="1005"/>
      <c r="E140" s="1006"/>
      <c r="F140" s="1007">
        <v>102</v>
      </c>
      <c r="G140" s="1005"/>
      <c r="H140" s="1008"/>
      <c r="I140" s="2098" t="s">
        <v>2393</v>
      </c>
      <c r="J140" s="277">
        <f>ROUNDUP((J139-1)/2,0)</f>
        <v>10</v>
      </c>
      <c r="K140" s="1009">
        <v>100</v>
      </c>
    </row>
    <row r="141" spans="1:17" ht="15">
      <c r="B141" s="1004">
        <v>4</v>
      </c>
      <c r="C141" s="1005">
        <v>102</v>
      </c>
      <c r="D141" s="1005"/>
      <c r="E141" s="1006"/>
      <c r="F141" s="1007">
        <v>101.5</v>
      </c>
      <c r="G141" s="1005"/>
      <c r="H141" s="1008"/>
      <c r="I141" s="2098" t="s">
        <v>2394</v>
      </c>
      <c r="J141" s="277">
        <v>1</v>
      </c>
      <c r="K141" s="1010">
        <f>ROUND(100+(J141-J140)*K139*100,1)</f>
        <v>96.4</v>
      </c>
    </row>
    <row r="142" spans="1:17" ht="15">
      <c r="B142" s="1004">
        <v>3</v>
      </c>
      <c r="C142" s="1005">
        <v>103</v>
      </c>
      <c r="D142" s="1005"/>
      <c r="E142" s="1006"/>
      <c r="F142" s="1007">
        <v>101</v>
      </c>
      <c r="G142" s="1005"/>
      <c r="H142" s="1008"/>
      <c r="I142" s="2098" t="s">
        <v>2395</v>
      </c>
      <c r="J142" s="277">
        <f>J139</f>
        <v>20</v>
      </c>
      <c r="K142" s="1011">
        <v>95</v>
      </c>
    </row>
    <row r="143" spans="1:17" ht="15">
      <c r="B143" s="1004">
        <v>2</v>
      </c>
      <c r="C143" s="1005">
        <v>100</v>
      </c>
      <c r="D143" s="1005"/>
      <c r="E143" s="1006"/>
      <c r="F143" s="1007">
        <v>100.5</v>
      </c>
      <c r="G143" s="1005"/>
      <c r="H143" s="1008"/>
      <c r="I143" s="2098" t="s">
        <v>2396</v>
      </c>
      <c r="J143" s="1005">
        <v>15</v>
      </c>
      <c r="K143" s="1010">
        <f>ROUND(100+(J143-J140)*K139*100,1)</f>
        <v>102</v>
      </c>
    </row>
    <row r="144" spans="1:17" ht="15">
      <c r="B144" s="1004">
        <v>1</v>
      </c>
      <c r="C144" s="1005">
        <v>98</v>
      </c>
      <c r="D144" s="2099" t="s">
        <v>2397</v>
      </c>
      <c r="E144" s="1006">
        <v>102</v>
      </c>
      <c r="F144" s="1012">
        <v>100</v>
      </c>
      <c r="G144" s="2099" t="s">
        <v>2397</v>
      </c>
      <c r="H144" s="1008">
        <v>105</v>
      </c>
      <c r="I144" s="2098" t="s">
        <v>2396</v>
      </c>
      <c r="J144" s="1005">
        <v>18</v>
      </c>
      <c r="K144" s="1010">
        <f>ROUND(100+(J144-J140)*K139*100,1)</f>
        <v>103.2</v>
      </c>
    </row>
    <row r="145" spans="2:11" ht="15.75" thickBot="1">
      <c r="B145" s="2100" t="s">
        <v>2398</v>
      </c>
      <c r="C145" s="1013">
        <f>ROUND(MAX(C139:C144)/MIN(C139:C144)-1,3)</f>
        <v>7.2999999999999995E-2</v>
      </c>
      <c r="D145" s="1014"/>
      <c r="E145" s="1014"/>
      <c r="F145" s="2101" t="s">
        <v>2399</v>
      </c>
      <c r="G145" s="2102"/>
      <c r="H145" s="2103"/>
      <c r="I145" s="2104" t="s">
        <v>2396</v>
      </c>
      <c r="J145" s="1015">
        <v>8</v>
      </c>
      <c r="K145" s="1016">
        <f>ROUND(100+(J145-J140)*K139*100,1)</f>
        <v>99.2</v>
      </c>
    </row>
    <row r="147" spans="2:11">
      <c r="B147" s="2085" t="s">
        <v>2400</v>
      </c>
    </row>
    <row r="148" spans="2:11">
      <c r="B148" s="2085" t="s">
        <v>2401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2402</v>
      </c>
      <c r="C1" s="1378" t="s">
        <v>2290</v>
      </c>
      <c r="D1" s="1365"/>
      <c r="E1" s="2513"/>
      <c r="F1" s="2035"/>
      <c r="G1" s="1375" t="s">
        <v>2403</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2087</v>
      </c>
      <c r="B2" s="1298" t="e">
        <f ca="1">IF(C2="——",ROUND(C49*D3/10000,0),ROUND(C49*D3/10000,0)-D2)</f>
        <v>#DIV/0!</v>
      </c>
      <c r="C2" s="2037"/>
      <c r="D2" s="1247" t="e">
        <f ca="1">SUMIF(INDIRECT("'"&amp;F2&amp;"'"&amp;"!A:A"),"承租人权益价值",INDIRECT("'"&amp;F2&amp;"'"&amp;"!c:c"))</f>
        <v>#REF!</v>
      </c>
      <c r="E2" s="2038" t="s">
        <v>2088</v>
      </c>
      <c r="F2" s="2039"/>
      <c r="G2" s="1039"/>
      <c r="H2" s="1039"/>
      <c r="I2" s="1039"/>
      <c r="J2" s="1039"/>
      <c r="K2" s="1039"/>
      <c r="L2" s="2931"/>
      <c r="M2" s="2932"/>
      <c r="N2" s="2932"/>
      <c r="O2" s="2932"/>
      <c r="P2" s="2108"/>
      <c r="Q2" s="1043"/>
      <c r="R2" s="1043"/>
      <c r="S2" s="1043"/>
      <c r="T2" s="1043"/>
      <c r="U2" s="1043"/>
      <c r="V2" s="1043"/>
      <c r="W2" s="1043"/>
      <c r="X2" s="1043"/>
      <c r="Y2" s="1043"/>
      <c r="Z2" s="1043"/>
      <c r="AA2" s="1043"/>
      <c r="AB2" s="1043"/>
      <c r="AC2" s="2109"/>
    </row>
    <row r="3" spans="1:29" s="358" customFormat="1" ht="28.5" customHeight="1" thickBot="1">
      <c r="A3" s="209" t="s">
        <v>2089</v>
      </c>
      <c r="B3" s="566" t="e">
        <f ca="1">IF(C2="——",C49,ROUND(B2*10000/D3,0))</f>
        <v>#DIV/0!</v>
      </c>
      <c r="C3" s="360" t="s">
        <v>2404</v>
      </c>
      <c r="D3" s="359">
        <f>IF(D1="",'数据-汇总表'!E3,SUMIF('数据-汇总表'!$C19:$C33,D1,'数据-汇总表'!$E19:$E33))</f>
        <v>11340.73</v>
      </c>
      <c r="E3" s="2110"/>
      <c r="F3" s="1040"/>
      <c r="G3" s="1039"/>
      <c r="H3" s="1039"/>
      <c r="I3" s="1039"/>
      <c r="J3" s="1039"/>
      <c r="K3" s="1041"/>
      <c r="L3" s="2931"/>
      <c r="M3" s="2932"/>
      <c r="N3" s="2932"/>
      <c r="O3" s="2932"/>
      <c r="P3" s="2108"/>
      <c r="Q3" s="1043"/>
      <c r="R3" s="1043"/>
      <c r="S3" s="1043"/>
      <c r="T3" s="1043"/>
      <c r="U3" s="1043"/>
      <c r="V3" s="1043"/>
      <c r="W3" s="1043"/>
      <c r="X3" s="1043"/>
      <c r="Y3" s="1043"/>
      <c r="Z3" s="1043"/>
      <c r="AA3" s="1043"/>
      <c r="AB3" s="1043"/>
      <c r="AC3" s="2110"/>
    </row>
    <row r="4" spans="1:29" ht="15">
      <c r="A4" s="361" t="s">
        <v>2405</v>
      </c>
      <c r="B4" s="362"/>
      <c r="C4" s="3449" t="s">
        <v>2406</v>
      </c>
      <c r="D4" s="3450"/>
      <c r="E4" s="3451" t="s">
        <v>2407</v>
      </c>
      <c r="F4" s="3452"/>
      <c r="G4" s="3449" t="s">
        <v>2408</v>
      </c>
      <c r="H4" s="3450"/>
      <c r="I4" s="3449" t="s">
        <v>2409</v>
      </c>
      <c r="J4" s="3450"/>
      <c r="K4" s="567" t="s">
        <v>2410</v>
      </c>
      <c r="L4" s="2912"/>
      <c r="M4" s="2913"/>
      <c r="N4" s="2913"/>
      <c r="O4" s="2913"/>
      <c r="P4" s="3453" t="s">
        <v>2411</v>
      </c>
      <c r="Q4" s="3454"/>
      <c r="R4" s="3436" t="s">
        <v>2407</v>
      </c>
      <c r="S4" s="3437"/>
      <c r="T4" s="3436" t="s">
        <v>2408</v>
      </c>
      <c r="U4" s="3437"/>
      <c r="V4" s="3461" t="s">
        <v>2409</v>
      </c>
      <c r="W4" s="3461"/>
      <c r="X4" s="1509"/>
      <c r="Y4" s="3436" t="s">
        <v>2411</v>
      </c>
      <c r="Z4" s="3437"/>
      <c r="AA4" s="3431" t="s">
        <v>2407</v>
      </c>
      <c r="AB4" s="3461" t="s">
        <v>2408</v>
      </c>
      <c r="AC4" s="3431" t="s">
        <v>2409</v>
      </c>
    </row>
    <row r="5" spans="1:29" ht="15">
      <c r="A5" s="364"/>
      <c r="B5" s="365"/>
      <c r="C5" s="3442" t="s">
        <v>2302</v>
      </c>
      <c r="D5" s="3443"/>
      <c r="E5" s="3440" t="s">
        <v>2303</v>
      </c>
      <c r="F5" s="3441"/>
      <c r="G5" s="3442" t="s">
        <v>2304</v>
      </c>
      <c r="H5" s="3443"/>
      <c r="I5" s="3442" t="s">
        <v>2305</v>
      </c>
      <c r="J5" s="3443"/>
      <c r="K5" s="567"/>
      <c r="L5" s="2912"/>
      <c r="M5" s="2913"/>
      <c r="N5" s="2913"/>
      <c r="O5" s="2913"/>
      <c r="P5" s="3455"/>
      <c r="Q5" s="3456"/>
      <c r="R5" s="3438"/>
      <c r="S5" s="3439"/>
      <c r="T5" s="3438"/>
      <c r="U5" s="3439"/>
      <c r="V5" s="3461"/>
      <c r="W5" s="3461"/>
      <c r="X5" s="1509"/>
      <c r="Y5" s="3438"/>
      <c r="Z5" s="3439"/>
      <c r="AA5" s="3432"/>
      <c r="AB5" s="3461"/>
      <c r="AC5" s="3432"/>
    </row>
    <row r="6" spans="1:29" ht="15.75" thickBot="1">
      <c r="A6" s="366"/>
      <c r="B6" s="367"/>
      <c r="C6" s="3444" t="s">
        <v>2306</v>
      </c>
      <c r="D6" s="3445"/>
      <c r="E6" s="3446" t="s">
        <v>2306</v>
      </c>
      <c r="F6" s="3447"/>
      <c r="G6" s="3444" t="s">
        <v>2306</v>
      </c>
      <c r="H6" s="3445"/>
      <c r="I6" s="3444" t="s">
        <v>2306</v>
      </c>
      <c r="J6" s="3445"/>
      <c r="K6" s="567" t="s">
        <v>2307</v>
      </c>
      <c r="L6" s="2912"/>
      <c r="M6" s="2913"/>
      <c r="N6" s="2913"/>
      <c r="O6" s="2913"/>
      <c r="P6" s="3457"/>
      <c r="Q6" s="3458"/>
      <c r="R6" s="3438"/>
      <c r="S6" s="3439"/>
      <c r="T6" s="3459"/>
      <c r="U6" s="3460"/>
      <c r="V6" s="3461"/>
      <c r="W6" s="3461"/>
      <c r="X6" s="1509"/>
      <c r="Y6" s="3459"/>
      <c r="Z6" s="3460"/>
      <c r="AA6" s="3433"/>
      <c r="AB6" s="3461"/>
      <c r="AC6" s="3433"/>
    </row>
    <row r="7" spans="1:29" s="113" customFormat="1" ht="15.75" thickBot="1">
      <c r="A7" s="368" t="s">
        <v>2308</v>
      </c>
      <c r="B7" s="369"/>
      <c r="C7" s="370">
        <f>'数据-取费表'!B2</f>
        <v>44641</v>
      </c>
      <c r="D7" s="371">
        <v>100</v>
      </c>
      <c r="E7" s="372"/>
      <c r="F7" s="373">
        <f>SUMIF(58:58,YEAR(E7)&amp;"-"&amp;MONTH(E7),59:59)</f>
        <v>0</v>
      </c>
      <c r="G7" s="372"/>
      <c r="H7" s="371">
        <f>SUMIF(58:58,YEAR(G7)&amp;"-"&amp;MONTH(G7),59:59)</f>
        <v>0</v>
      </c>
      <c r="I7" s="372"/>
      <c r="J7" s="371">
        <f>SUMIF(58:58,YEAR(I7)&amp;"-"&amp;MONTH(I7),59:59)</f>
        <v>0</v>
      </c>
      <c r="K7" s="568"/>
      <c r="L7" s="2914"/>
      <c r="M7" s="2915"/>
      <c r="N7" s="2915"/>
      <c r="O7" s="2915"/>
      <c r="P7" s="3434" t="s">
        <v>2309</v>
      </c>
      <c r="Q7" s="3462"/>
      <c r="R7" s="710" t="s">
        <v>17</v>
      </c>
      <c r="S7" s="711">
        <f t="shared" ref="S7:S15" si="0">F7</f>
        <v>0</v>
      </c>
      <c r="T7" s="710" t="s">
        <v>17</v>
      </c>
      <c r="U7" s="711">
        <f t="shared" ref="U7:U15" si="1">H7</f>
        <v>0</v>
      </c>
      <c r="V7" s="710" t="s">
        <v>17</v>
      </c>
      <c r="W7" s="711">
        <f t="shared" ref="W7:W15" si="2">J7</f>
        <v>0</v>
      </c>
      <c r="X7" s="712"/>
      <c r="Y7" s="3434" t="s">
        <v>2309</v>
      </c>
      <c r="Z7" s="3435"/>
      <c r="AA7" s="713" t="e">
        <f>D7/F7</f>
        <v>#DIV/0!</v>
      </c>
      <c r="AB7" s="713" t="e">
        <f>D7/H7</f>
        <v>#DIV/0!</v>
      </c>
      <c r="AC7" s="713" t="e">
        <f>D7/J7</f>
        <v>#DIV/0!</v>
      </c>
    </row>
    <row r="8" spans="1:29" s="113" customFormat="1" ht="15.75" thickBot="1">
      <c r="A8" s="368" t="s">
        <v>2310</v>
      </c>
      <c r="B8" s="369"/>
      <c r="C8" s="374" t="s">
        <v>2412</v>
      </c>
      <c r="D8" s="371">
        <v>100</v>
      </c>
      <c r="E8" s="374"/>
      <c r="F8" s="373">
        <f>SUMIF(61:61,E8,62:62)-SUMIF(61:61,C8,62:62)+100</f>
        <v>0</v>
      </c>
      <c r="G8" s="374"/>
      <c r="H8" s="371">
        <f>SUMIF(61:61,G8,62:62)-SUMIF(61:61,C8,62:62)+100</f>
        <v>0</v>
      </c>
      <c r="I8" s="374"/>
      <c r="J8" s="371">
        <f>SUMIF(61:61,I8,62:62)-SUMIF(61:61,C8,62:62)+100</f>
        <v>0</v>
      </c>
      <c r="K8" s="568"/>
      <c r="L8" s="2914"/>
      <c r="M8" s="2915"/>
      <c r="N8" s="2915"/>
      <c r="O8" s="2915"/>
      <c r="P8" s="3434" t="s">
        <v>2312</v>
      </c>
      <c r="Q8" s="3435"/>
      <c r="R8" s="710" t="s">
        <v>17</v>
      </c>
      <c r="S8" s="711">
        <f t="shared" si="0"/>
        <v>0</v>
      </c>
      <c r="T8" s="710" t="s">
        <v>17</v>
      </c>
      <c r="U8" s="711">
        <f t="shared" si="1"/>
        <v>0</v>
      </c>
      <c r="V8" s="710" t="s">
        <v>17</v>
      </c>
      <c r="W8" s="711">
        <f t="shared" si="2"/>
        <v>0</v>
      </c>
      <c r="X8" s="712"/>
      <c r="Y8" s="3434" t="s">
        <v>2312</v>
      </c>
      <c r="Z8" s="3435"/>
      <c r="AA8" s="713" t="e">
        <f t="shared" ref="AA8:AA46" si="3">D8/F8</f>
        <v>#DIV/0!</v>
      </c>
      <c r="AB8" s="713" t="e">
        <f t="shared" ref="AB8:AB46" si="4">D8/H8</f>
        <v>#DIV/0!</v>
      </c>
      <c r="AC8" s="713" t="e">
        <f t="shared" ref="AC8:AC46" si="5">D8/J8</f>
        <v>#DIV/0!</v>
      </c>
    </row>
    <row r="9" spans="1:29" s="113" customFormat="1">
      <c r="A9" s="375" t="s">
        <v>2313</v>
      </c>
      <c r="B9" s="67" t="s">
        <v>2314</v>
      </c>
      <c r="C9" s="376"/>
      <c r="D9" s="131">
        <v>100</v>
      </c>
      <c r="E9" s="377"/>
      <c r="F9" s="378">
        <f>SUMIF(63:63,E9,64:64)-SUMIF(63:63,C9,64:64)+100</f>
        <v>100</v>
      </c>
      <c r="G9" s="377"/>
      <c r="H9" s="131">
        <f>SUMIF(63:63,G9,64:64)-SUMIF(63:63,C9,64:64)+100</f>
        <v>100</v>
      </c>
      <c r="I9" s="377"/>
      <c r="J9" s="131">
        <f>SUMIF(63:63,I9,64:64)-SUMIF(63:63,C9,64:64)+100</f>
        <v>100</v>
      </c>
      <c r="K9" s="568"/>
      <c r="L9" s="2914"/>
      <c r="M9" s="2915"/>
      <c r="N9" s="2915"/>
      <c r="O9" s="2915"/>
      <c r="P9" s="3448"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569"/>
      <c r="L10" s="2916"/>
      <c r="M10" s="2917"/>
      <c r="N10" s="2917"/>
      <c r="O10" s="2917"/>
      <c r="P10" s="3448"/>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8"/>
      <c r="M11" s="2913"/>
      <c r="N11" s="2913"/>
      <c r="O11" s="2913"/>
      <c r="P11" s="3448"/>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4"/>
      <c r="M12" s="2915"/>
      <c r="N12" s="2915"/>
      <c r="O12" s="2915"/>
      <c r="P12" s="3448"/>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19"/>
      <c r="M13" s="2913"/>
      <c r="N13" s="2913"/>
      <c r="O13" s="2913"/>
      <c r="P13" s="3448"/>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19"/>
      <c r="M14" s="2913"/>
      <c r="N14" s="2913"/>
      <c r="O14" s="2913"/>
      <c r="P14" s="3448"/>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71.25">
      <c r="A15" s="399" t="s">
        <v>2319</v>
      </c>
      <c r="B15" s="65" t="s">
        <v>2413</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19"/>
      <c r="M15" s="2913"/>
      <c r="N15" s="2913"/>
      <c r="O15" s="2913"/>
      <c r="P15" s="3475" t="s">
        <v>2320</v>
      </c>
      <c r="Q15" s="1506" t="str">
        <f t="shared" si="6"/>
        <v>商业繁华度</v>
      </c>
      <c r="R15" s="714" t="s">
        <v>17</v>
      </c>
      <c r="S15" s="715">
        <f t="shared" si="0"/>
        <v>100</v>
      </c>
      <c r="T15" s="714" t="s">
        <v>17</v>
      </c>
      <c r="U15" s="715">
        <f t="shared" si="1"/>
        <v>100</v>
      </c>
      <c r="V15" s="714" t="s">
        <v>17</v>
      </c>
      <c r="W15" s="715">
        <f t="shared" si="2"/>
        <v>100</v>
      </c>
      <c r="X15" s="1509"/>
      <c r="Y15" s="3468" t="s">
        <v>2320</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19"/>
      <c r="M16" s="2913"/>
      <c r="N16" s="2913"/>
      <c r="O16" s="2913"/>
      <c r="P16" s="3476"/>
      <c r="Q16" s="1506"/>
      <c r="R16" s="714"/>
      <c r="S16" s="715"/>
      <c r="T16" s="714"/>
      <c r="U16" s="715"/>
      <c r="V16" s="714"/>
      <c r="W16" s="715"/>
      <c r="X16" s="1509"/>
      <c r="Y16" s="3469"/>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19"/>
      <c r="M17" s="2913"/>
      <c r="N17" s="2913"/>
      <c r="O17" s="2913"/>
      <c r="P17" s="3476"/>
      <c r="Q17" s="1506" t="str">
        <f>B17</f>
        <v>交通便捷度</v>
      </c>
      <c r="R17" s="714" t="s">
        <v>17</v>
      </c>
      <c r="S17" s="715">
        <f>F17</f>
        <v>100</v>
      </c>
      <c r="T17" s="714" t="s">
        <v>17</v>
      </c>
      <c r="U17" s="715">
        <f>H17</f>
        <v>100</v>
      </c>
      <c r="V17" s="714" t="s">
        <v>17</v>
      </c>
      <c r="W17" s="715">
        <f>J17</f>
        <v>100</v>
      </c>
      <c r="X17" s="1509"/>
      <c r="Y17" s="3469"/>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19"/>
      <c r="M18" s="2913"/>
      <c r="N18" s="2913"/>
      <c r="O18" s="2913"/>
      <c r="P18" s="3476"/>
      <c r="Q18" s="1506"/>
      <c r="R18" s="714"/>
      <c r="S18" s="715"/>
      <c r="T18" s="714"/>
      <c r="U18" s="715"/>
      <c r="V18" s="714"/>
      <c r="W18" s="715"/>
      <c r="X18" s="1509"/>
      <c r="Y18" s="3469"/>
      <c r="Z18" s="1510"/>
      <c r="AA18" s="1507">
        <v>1</v>
      </c>
      <c r="AB18" s="1507">
        <v>1</v>
      </c>
      <c r="AC18" s="1507">
        <v>1</v>
      </c>
    </row>
    <row r="19" spans="1:29" ht="42.75">
      <c r="A19" s="387"/>
      <c r="B19" s="410" t="s">
        <v>2414</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19"/>
      <c r="M19" s="2913"/>
      <c r="N19" s="2913"/>
      <c r="O19" s="2913"/>
      <c r="P19" s="3476"/>
      <c r="Q19" s="1506" t="str">
        <f>B19</f>
        <v>公共配套设施</v>
      </c>
      <c r="R19" s="714" t="s">
        <v>17</v>
      </c>
      <c r="S19" s="715">
        <f>F19</f>
        <v>100</v>
      </c>
      <c r="T19" s="714" t="s">
        <v>17</v>
      </c>
      <c r="U19" s="715">
        <f>H19</f>
        <v>100</v>
      </c>
      <c r="V19" s="714" t="s">
        <v>17</v>
      </c>
      <c r="W19" s="715">
        <f>J19</f>
        <v>100</v>
      </c>
      <c r="X19" s="1509"/>
      <c r="Y19" s="3469"/>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19"/>
      <c r="M20" s="2913"/>
      <c r="N20" s="2913"/>
      <c r="O20" s="2913"/>
      <c r="P20" s="3476"/>
      <c r="Q20" s="1506"/>
      <c r="R20" s="714"/>
      <c r="S20" s="715"/>
      <c r="T20" s="714"/>
      <c r="U20" s="715"/>
      <c r="V20" s="714"/>
      <c r="W20" s="715"/>
      <c r="X20" s="1509"/>
      <c r="Y20" s="3469"/>
      <c r="Z20" s="1510"/>
      <c r="AA20" s="1507">
        <v>1</v>
      </c>
      <c r="AB20" s="1507">
        <v>1</v>
      </c>
      <c r="AC20" s="1507">
        <v>1</v>
      </c>
    </row>
    <row r="21" spans="1:29" ht="28.5">
      <c r="A21" s="387"/>
      <c r="B21" s="1265" t="s">
        <v>2415</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19"/>
      <c r="M21" s="2913"/>
      <c r="N21" s="2913"/>
      <c r="O21" s="2913"/>
      <c r="P21" s="3476"/>
      <c r="Q21" s="1506" t="str">
        <f>B21</f>
        <v>基础设施水平</v>
      </c>
      <c r="R21" s="714" t="s">
        <v>17</v>
      </c>
      <c r="S21" s="715">
        <f>F21</f>
        <v>100</v>
      </c>
      <c r="T21" s="714" t="s">
        <v>17</v>
      </c>
      <c r="U21" s="715">
        <f>H21</f>
        <v>100</v>
      </c>
      <c r="V21" s="714" t="s">
        <v>17</v>
      </c>
      <c r="W21" s="715">
        <f>J21</f>
        <v>100</v>
      </c>
      <c r="X21" s="1509"/>
      <c r="Y21" s="346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19"/>
      <c r="M22" s="2913"/>
      <c r="N22" s="2913"/>
      <c r="O22" s="2913"/>
      <c r="P22" s="3476"/>
      <c r="Q22" s="1506"/>
      <c r="R22" s="714"/>
      <c r="S22" s="715"/>
      <c r="T22" s="714"/>
      <c r="U22" s="715"/>
      <c r="V22" s="714"/>
      <c r="W22" s="715"/>
      <c r="X22" s="1509"/>
      <c r="Y22" s="3469"/>
      <c r="Z22" s="1510"/>
      <c r="AA22" s="1507">
        <v>1</v>
      </c>
      <c r="AB22" s="1507">
        <v>1</v>
      </c>
      <c r="AC22" s="1507">
        <v>1</v>
      </c>
    </row>
    <row r="23" spans="1:29" ht="57">
      <c r="A23" s="387"/>
      <c r="B23" s="410" t="s">
        <v>1886</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19"/>
      <c r="M23" s="2913"/>
      <c r="N23" s="2913"/>
      <c r="O23" s="2913"/>
      <c r="P23" s="3476"/>
      <c r="Q23" s="1506" t="str">
        <f>B23</f>
        <v>自然及人文环境</v>
      </c>
      <c r="R23" s="714" t="s">
        <v>17</v>
      </c>
      <c r="S23" s="715">
        <f>F23</f>
        <v>100</v>
      </c>
      <c r="T23" s="714" t="s">
        <v>17</v>
      </c>
      <c r="U23" s="715">
        <f>H23</f>
        <v>100</v>
      </c>
      <c r="V23" s="714" t="s">
        <v>17</v>
      </c>
      <c r="W23" s="715">
        <f>J23</f>
        <v>100</v>
      </c>
      <c r="X23" s="1509"/>
      <c r="Y23" s="3469"/>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19"/>
      <c r="M24" s="2913"/>
      <c r="N24" s="2913"/>
      <c r="O24" s="2913"/>
      <c r="P24" s="3476"/>
      <c r="Q24" s="1506"/>
      <c r="R24" s="714"/>
      <c r="S24" s="715"/>
      <c r="T24" s="714"/>
      <c r="U24" s="715"/>
      <c r="V24" s="714"/>
      <c r="W24" s="715"/>
      <c r="X24" s="1509"/>
      <c r="Y24" s="3469"/>
      <c r="Z24" s="1510"/>
      <c r="AA24" s="1507">
        <v>1</v>
      </c>
      <c r="AB24" s="1507">
        <v>1</v>
      </c>
      <c r="AC24" s="1507">
        <v>1</v>
      </c>
    </row>
    <row r="25" spans="1:29" ht="15">
      <c r="A25" s="387"/>
      <c r="B25" s="381" t="s">
        <v>2416</v>
      </c>
      <c r="C25" s="573"/>
      <c r="D25" s="394">
        <v>100</v>
      </c>
      <c r="E25" s="573"/>
      <c r="F25" s="420">
        <f>SUMIF(86:86,E25,87:87)-SUMIF(86:86,C25,87:87)+100</f>
        <v>100</v>
      </c>
      <c r="G25" s="573"/>
      <c r="H25" s="394">
        <f>SUMIF(86:86,G25,87:87)-SUMIF(86:86,C25,87:87)+100</f>
        <v>100</v>
      </c>
      <c r="I25" s="573"/>
      <c r="J25" s="394">
        <f>SUMIF(86:86,I25,87:87)-SUMIF(86:86,C25,87:87)+100</f>
        <v>100</v>
      </c>
      <c r="K25" s="569"/>
      <c r="L25" s="2919"/>
      <c r="M25" s="2913"/>
      <c r="N25" s="2913"/>
      <c r="O25" s="2913"/>
      <c r="P25" s="3476"/>
      <c r="Q25" s="1506" t="str">
        <f t="shared" ref="Q25:Q46" si="11">B25</f>
        <v>临街状况</v>
      </c>
      <c r="R25" s="714" t="s">
        <v>17</v>
      </c>
      <c r="S25" s="715">
        <f>F25</f>
        <v>100</v>
      </c>
      <c r="T25" s="714" t="s">
        <v>17</v>
      </c>
      <c r="U25" s="715">
        <f>H25</f>
        <v>100</v>
      </c>
      <c r="V25" s="714" t="s">
        <v>17</v>
      </c>
      <c r="W25" s="715">
        <f>J25</f>
        <v>100</v>
      </c>
      <c r="X25" s="1509"/>
      <c r="Y25" s="3469"/>
      <c r="Z25" s="1510" t="str">
        <f>Q25</f>
        <v>临街状况</v>
      </c>
      <c r="AA25" s="1507">
        <f t="shared" si="3"/>
        <v>1</v>
      </c>
      <c r="AB25" s="1507">
        <f t="shared" si="4"/>
        <v>1</v>
      </c>
      <c r="AC25" s="1507">
        <f t="shared" si="5"/>
        <v>1</v>
      </c>
    </row>
    <row r="26" spans="1:29" ht="15">
      <c r="A26" s="387"/>
      <c r="B26" s="1267" t="s">
        <v>2417</v>
      </c>
      <c r="C26" s="393"/>
      <c r="D26" s="394">
        <v>100</v>
      </c>
      <c r="E26" s="393"/>
      <c r="F26" s="420">
        <f>SUMIF(88:88,E26,89:89)-SUMIF(88:88,C26,89:89)+100</f>
        <v>100</v>
      </c>
      <c r="G26" s="393"/>
      <c r="H26" s="394">
        <f>SUMIF(88:88,G26,89:89)-SUMIF(88:88,C26,89:89)+100</f>
        <v>100</v>
      </c>
      <c r="I26" s="393"/>
      <c r="J26" s="394">
        <f>SUMIF(88:88,I26,89:89)-SUMIF(88:88,C26,89:89)+100</f>
        <v>100</v>
      </c>
      <c r="K26" s="570"/>
      <c r="L26" s="2919"/>
      <c r="M26" s="2913"/>
      <c r="N26" s="2913"/>
      <c r="O26" s="2913"/>
      <c r="P26" s="3476"/>
      <c r="Q26" s="1506" t="str">
        <f t="shared" si="11"/>
        <v>平面位置/可视性</v>
      </c>
      <c r="R26" s="714" t="s">
        <v>17</v>
      </c>
      <c r="S26" s="715">
        <f>F26</f>
        <v>100</v>
      </c>
      <c r="T26" s="714" t="s">
        <v>17</v>
      </c>
      <c r="U26" s="715">
        <f>H26</f>
        <v>100</v>
      </c>
      <c r="V26" s="714" t="s">
        <v>17</v>
      </c>
      <c r="W26" s="715">
        <f>J26</f>
        <v>100</v>
      </c>
      <c r="X26" s="1509"/>
      <c r="Y26" s="3469"/>
      <c r="Z26" s="1510" t="str">
        <f>Q26</f>
        <v>平面位置/可视性</v>
      </c>
      <c r="AA26" s="1507">
        <f t="shared" si="3"/>
        <v>1</v>
      </c>
      <c r="AB26" s="1507">
        <f t="shared" si="4"/>
        <v>1</v>
      </c>
      <c r="AC26" s="1507">
        <f t="shared" si="5"/>
        <v>1</v>
      </c>
    </row>
    <row r="27" spans="1:29" s="113" customFormat="1" ht="15">
      <c r="A27" s="390"/>
      <c r="B27" s="410" t="s">
        <v>2418</v>
      </c>
      <c r="C27" s="2112"/>
      <c r="D27" s="421">
        <v>100</v>
      </c>
      <c r="E27" s="2112"/>
      <c r="F27" s="423">
        <f>SUMIF(90:90,E27,91:91)-SUMIF(90:90,C27,91:91)+100</f>
        <v>100</v>
      </c>
      <c r="G27" s="2112"/>
      <c r="H27" s="421">
        <f>SUMIF(90:90,G27,91:91)-SUMIF(90:90,C27,91:91)+100</f>
        <v>100</v>
      </c>
      <c r="I27" s="2112"/>
      <c r="J27" s="421">
        <f>SUMIF(90:90,I27,91:91)-SUMIF(90:90,C27,91:91)+100</f>
        <v>100</v>
      </c>
      <c r="K27" s="569"/>
      <c r="L27" s="2914"/>
      <c r="M27" s="2915"/>
      <c r="N27" s="2915"/>
      <c r="O27" s="2915"/>
      <c r="P27" s="3476"/>
      <c r="Q27" s="1497" t="str">
        <f t="shared" si="11"/>
        <v>人流量</v>
      </c>
      <c r="R27" s="710" t="s">
        <v>17</v>
      </c>
      <c r="S27" s="711">
        <f>F27</f>
        <v>100</v>
      </c>
      <c r="T27" s="710" t="s">
        <v>17</v>
      </c>
      <c r="U27" s="711">
        <f>H27</f>
        <v>100</v>
      </c>
      <c r="V27" s="710" t="s">
        <v>17</v>
      </c>
      <c r="W27" s="711">
        <f>J27</f>
        <v>100</v>
      </c>
      <c r="X27" s="712"/>
      <c r="Y27" s="3469"/>
      <c r="Z27" s="55" t="str">
        <f>Q27</f>
        <v>人流量</v>
      </c>
      <c r="AA27" s="1507">
        <f>D27/F27</f>
        <v>1</v>
      </c>
      <c r="AB27" s="1507">
        <f>D27/H27</f>
        <v>1</v>
      </c>
      <c r="AC27" s="1507">
        <f>D27/J27</f>
        <v>1</v>
      </c>
    </row>
    <row r="28" spans="1:29" ht="15">
      <c r="A28" s="387"/>
      <c r="B28" s="381" t="s">
        <v>2419</v>
      </c>
      <c r="C28" s="573"/>
      <c r="D28" s="394">
        <v>100</v>
      </c>
      <c r="E28" s="573"/>
      <c r="F28" s="420">
        <f>SUMIF(92:92,E28,93:93)-SUMIF(92:92,C28,93:93)+100</f>
        <v>100</v>
      </c>
      <c r="G28" s="573"/>
      <c r="H28" s="394">
        <f>SUMIF(92:92,G28,93:93)-SUMIF(92:92,C28,93:93)+100</f>
        <v>100</v>
      </c>
      <c r="I28" s="573"/>
      <c r="J28" s="394">
        <f>SUMIF(92:92,I28,93:93)-SUMIF(92:92,C28,93:93)+100</f>
        <v>100</v>
      </c>
      <c r="K28" s="570"/>
      <c r="L28" s="2919"/>
      <c r="M28" s="2913"/>
      <c r="N28" s="2913"/>
      <c r="O28" s="2913"/>
      <c r="P28" s="3476"/>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69"/>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19"/>
      <c r="M29" s="2913"/>
      <c r="N29" s="2913"/>
      <c r="O29" s="2913"/>
      <c r="P29" s="3476"/>
      <c r="Q29" s="1506">
        <f t="shared" si="11"/>
        <v>111</v>
      </c>
      <c r="R29" s="714" t="s">
        <v>17</v>
      </c>
      <c r="S29" s="715">
        <f t="shared" si="12"/>
        <v>100</v>
      </c>
      <c r="T29" s="714" t="s">
        <v>17</v>
      </c>
      <c r="U29" s="715">
        <f t="shared" si="13"/>
        <v>100</v>
      </c>
      <c r="V29" s="714" t="s">
        <v>17</v>
      </c>
      <c r="W29" s="715">
        <f t="shared" si="14"/>
        <v>100</v>
      </c>
      <c r="X29" s="1509"/>
      <c r="Y29" s="3469"/>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19"/>
      <c r="M30" s="2913"/>
      <c r="N30" s="2913"/>
      <c r="O30" s="2913"/>
      <c r="P30" s="3476"/>
      <c r="Q30" s="1506">
        <f t="shared" si="11"/>
        <v>111</v>
      </c>
      <c r="R30" s="714" t="s">
        <v>17</v>
      </c>
      <c r="S30" s="715">
        <f t="shared" si="12"/>
        <v>100</v>
      </c>
      <c r="T30" s="714" t="s">
        <v>17</v>
      </c>
      <c r="U30" s="715">
        <f t="shared" si="13"/>
        <v>100</v>
      </c>
      <c r="V30" s="714" t="s">
        <v>17</v>
      </c>
      <c r="W30" s="715">
        <f t="shared" si="14"/>
        <v>100</v>
      </c>
      <c r="X30" s="1509"/>
      <c r="Y30" s="3469"/>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19"/>
      <c r="M31" s="2913"/>
      <c r="N31" s="2913"/>
      <c r="O31" s="2913"/>
      <c r="P31" s="3476"/>
      <c r="Q31" s="1506">
        <f t="shared" si="11"/>
        <v>111</v>
      </c>
      <c r="R31" s="714" t="s">
        <v>17</v>
      </c>
      <c r="S31" s="715">
        <f t="shared" si="12"/>
        <v>100</v>
      </c>
      <c r="T31" s="714" t="s">
        <v>17</v>
      </c>
      <c r="U31" s="715">
        <f t="shared" si="13"/>
        <v>100</v>
      </c>
      <c r="V31" s="714" t="s">
        <v>17</v>
      </c>
      <c r="W31" s="715">
        <f t="shared" si="14"/>
        <v>100</v>
      </c>
      <c r="X31" s="1509"/>
      <c r="Y31" s="3469"/>
      <c r="Z31" s="1510">
        <f t="shared" si="15"/>
        <v>111</v>
      </c>
      <c r="AA31" s="1507">
        <f t="shared" si="3"/>
        <v>1</v>
      </c>
      <c r="AB31" s="1507">
        <f t="shared" si="4"/>
        <v>1</v>
      </c>
      <c r="AC31" s="1507">
        <f t="shared" si="5"/>
        <v>1</v>
      </c>
    </row>
    <row r="32" spans="1:29" ht="15">
      <c r="A32" s="399" t="s">
        <v>2323</v>
      </c>
      <c r="B32" s="67" t="s">
        <v>2420</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19"/>
      <c r="M32" s="2913"/>
      <c r="N32" s="2913"/>
      <c r="O32" s="2913"/>
      <c r="P32" s="3470" t="s">
        <v>2325</v>
      </c>
      <c r="Q32" s="1506" t="str">
        <f t="shared" si="11"/>
        <v>商业类型</v>
      </c>
      <c r="R32" s="714" t="s">
        <v>17</v>
      </c>
      <c r="S32" s="715">
        <f t="shared" si="12"/>
        <v>100</v>
      </c>
      <c r="T32" s="714" t="s">
        <v>17</v>
      </c>
      <c r="U32" s="715">
        <f t="shared" si="13"/>
        <v>100</v>
      </c>
      <c r="V32" s="714" t="s">
        <v>17</v>
      </c>
      <c r="W32" s="715">
        <f t="shared" si="14"/>
        <v>100</v>
      </c>
      <c r="X32" s="1509"/>
      <c r="Y32" s="3473" t="s">
        <v>2325</v>
      </c>
      <c r="Z32" s="1510" t="str">
        <f t="shared" si="15"/>
        <v>商业类型</v>
      </c>
      <c r="AA32" s="1507">
        <f t="shared" si="3"/>
        <v>1</v>
      </c>
      <c r="AB32" s="1507">
        <f t="shared" si="4"/>
        <v>1</v>
      </c>
      <c r="AC32" s="1507">
        <f t="shared" si="5"/>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8"/>
      <c r="M33" s="2920"/>
      <c r="N33" s="2920"/>
      <c r="O33" s="2920"/>
      <c r="P33" s="3471"/>
      <c r="Q33" s="716" t="str">
        <f t="shared" si="11"/>
        <v>项目建筑规模</v>
      </c>
      <c r="R33" s="717" t="s">
        <v>17</v>
      </c>
      <c r="S33" s="718" t="e">
        <f t="shared" si="12"/>
        <v>#N/A</v>
      </c>
      <c r="T33" s="717" t="s">
        <v>17</v>
      </c>
      <c r="U33" s="718" t="e">
        <f t="shared" si="13"/>
        <v>#N/A</v>
      </c>
      <c r="V33" s="717" t="s">
        <v>17</v>
      </c>
      <c r="W33" s="718" t="e">
        <f t="shared" si="14"/>
        <v>#N/A</v>
      </c>
      <c r="X33" s="719"/>
      <c r="Y33" s="3473"/>
      <c r="Z33" s="720" t="str">
        <f t="shared" si="15"/>
        <v>项目建筑规模</v>
      </c>
      <c r="AA33" s="1507" t="e">
        <f t="shared" si="3"/>
        <v>#N/A</v>
      </c>
      <c r="AB33" s="1507" t="e">
        <f t="shared" si="4"/>
        <v>#N/A</v>
      </c>
      <c r="AC33" s="1507" t="e">
        <f t="shared" si="5"/>
        <v>#N/A</v>
      </c>
    </row>
    <row r="34" spans="1:29" ht="15">
      <c r="A34" s="431"/>
      <c r="B34" s="381" t="s">
        <v>2327</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19"/>
      <c r="M34" s="2913"/>
      <c r="N34" s="2913"/>
      <c r="O34" s="2913"/>
      <c r="P34" s="3471"/>
      <c r="Q34" s="1506" t="str">
        <f t="shared" si="11"/>
        <v>建筑结构</v>
      </c>
      <c r="R34" s="714" t="s">
        <v>17</v>
      </c>
      <c r="S34" s="715">
        <f t="shared" si="12"/>
        <v>100</v>
      </c>
      <c r="T34" s="714" t="s">
        <v>17</v>
      </c>
      <c r="U34" s="715">
        <f t="shared" si="13"/>
        <v>100</v>
      </c>
      <c r="V34" s="714" t="s">
        <v>17</v>
      </c>
      <c r="W34" s="715">
        <f t="shared" si="14"/>
        <v>100</v>
      </c>
      <c r="X34" s="1509"/>
      <c r="Y34" s="3473"/>
      <c r="Z34" s="1510" t="str">
        <f t="shared" si="15"/>
        <v>建筑结构</v>
      </c>
      <c r="AA34" s="1507">
        <f t="shared" si="3"/>
        <v>1</v>
      </c>
      <c r="AB34" s="1507">
        <f t="shared" si="4"/>
        <v>1</v>
      </c>
      <c r="AC34" s="1507">
        <f t="shared" si="5"/>
        <v>1</v>
      </c>
    </row>
    <row r="35" spans="1:29" ht="15">
      <c r="A35" s="431"/>
      <c r="B35" s="381" t="s">
        <v>2421</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19"/>
      <c r="M35" s="2913"/>
      <c r="N35" s="2913"/>
      <c r="O35" s="2913"/>
      <c r="P35" s="3471"/>
      <c r="Q35" s="1506" t="str">
        <f t="shared" si="11"/>
        <v>公共部分装修</v>
      </c>
      <c r="R35" s="714" t="s">
        <v>17</v>
      </c>
      <c r="S35" s="715">
        <f t="shared" si="12"/>
        <v>100</v>
      </c>
      <c r="T35" s="714" t="s">
        <v>17</v>
      </c>
      <c r="U35" s="715">
        <f t="shared" si="13"/>
        <v>100</v>
      </c>
      <c r="V35" s="714" t="s">
        <v>17</v>
      </c>
      <c r="W35" s="715">
        <f t="shared" si="14"/>
        <v>100</v>
      </c>
      <c r="X35" s="1509"/>
      <c r="Y35" s="3473"/>
      <c r="Z35" s="1510" t="str">
        <f t="shared" si="15"/>
        <v>公共部分装修</v>
      </c>
      <c r="AA35" s="1507">
        <f t="shared" si="3"/>
        <v>1</v>
      </c>
      <c r="AB35" s="1507">
        <f t="shared" si="4"/>
        <v>1</v>
      </c>
      <c r="AC35" s="1507">
        <f t="shared" si="5"/>
        <v>1</v>
      </c>
    </row>
    <row r="36" spans="1:29" ht="15">
      <c r="A36" s="431"/>
      <c r="B36" s="381" t="s">
        <v>2422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19"/>
      <c r="M36" s="2913"/>
      <c r="N36" s="2913"/>
      <c r="O36" s="2913"/>
      <c r="P36" s="3471"/>
      <c r="Q36" s="1506" t="str">
        <f t="shared" si="11"/>
        <v>成新度</v>
      </c>
      <c r="R36" s="714" t="s">
        <v>17</v>
      </c>
      <c r="S36" s="715" t="e">
        <f t="shared" si="12"/>
        <v>#N/A</v>
      </c>
      <c r="T36" s="714" t="s">
        <v>17</v>
      </c>
      <c r="U36" s="715" t="e">
        <f t="shared" si="13"/>
        <v>#N/A</v>
      </c>
      <c r="V36" s="714" t="s">
        <v>17</v>
      </c>
      <c r="W36" s="715" t="e">
        <f t="shared" si="14"/>
        <v>#N/A</v>
      </c>
      <c r="X36" s="1509"/>
      <c r="Y36" s="3473"/>
      <c r="Z36" s="1510" t="str">
        <f t="shared" si="15"/>
        <v>成新度</v>
      </c>
      <c r="AA36" s="1507" t="e">
        <f t="shared" si="3"/>
        <v>#N/A</v>
      </c>
      <c r="AB36" s="1507" t="e">
        <f t="shared" si="4"/>
        <v>#N/A</v>
      </c>
      <c r="AC36" s="1507" t="e">
        <f t="shared" si="5"/>
        <v>#N/A</v>
      </c>
    </row>
    <row r="37" spans="1:29" s="113" customFormat="1" ht="15">
      <c r="A37" s="432"/>
      <c r="B37" s="381" t="s">
        <v>2423</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4"/>
      <c r="M37" s="2915"/>
      <c r="N37" s="2915"/>
      <c r="O37" s="2915"/>
      <c r="P37" s="3471"/>
      <c r="Q37" s="1497" t="str">
        <f t="shared" si="11"/>
        <v>市政基础设施</v>
      </c>
      <c r="R37" s="710" t="s">
        <v>17</v>
      </c>
      <c r="S37" s="711">
        <f t="shared" si="12"/>
        <v>100</v>
      </c>
      <c r="T37" s="710" t="s">
        <v>17</v>
      </c>
      <c r="U37" s="711">
        <f t="shared" si="13"/>
        <v>100</v>
      </c>
      <c r="V37" s="710" t="s">
        <v>17</v>
      </c>
      <c r="W37" s="711">
        <f t="shared" si="14"/>
        <v>100</v>
      </c>
      <c r="X37" s="712"/>
      <c r="Y37" s="3473"/>
      <c r="Z37" s="55" t="str">
        <f t="shared" si="15"/>
        <v>市政基础设施</v>
      </c>
      <c r="AA37" s="713">
        <f t="shared" si="3"/>
        <v>1</v>
      </c>
      <c r="AB37" s="713">
        <f t="shared" si="4"/>
        <v>1</v>
      </c>
      <c r="AC37" s="713">
        <f t="shared" si="5"/>
        <v>1</v>
      </c>
    </row>
    <row r="38" spans="1:29" ht="15">
      <c r="A38" s="431"/>
      <c r="B38" s="381" t="s">
        <v>2424</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19"/>
      <c r="M38" s="2913"/>
      <c r="N38" s="2913"/>
      <c r="O38" s="2913"/>
      <c r="P38" s="3471" t="s">
        <v>2325</v>
      </c>
      <c r="Q38" s="1506" t="str">
        <f t="shared" si="11"/>
        <v>业态</v>
      </c>
      <c r="R38" s="714" t="s">
        <v>17</v>
      </c>
      <c r="S38" s="715">
        <f t="shared" si="12"/>
        <v>100</v>
      </c>
      <c r="T38" s="714" t="s">
        <v>17</v>
      </c>
      <c r="U38" s="715">
        <f t="shared" si="13"/>
        <v>100</v>
      </c>
      <c r="V38" s="714" t="s">
        <v>17</v>
      </c>
      <c r="W38" s="715">
        <f t="shared" si="14"/>
        <v>100</v>
      </c>
      <c r="X38" s="1509"/>
      <c r="Y38" s="3473" t="s">
        <v>2325</v>
      </c>
      <c r="Z38" s="1510" t="str">
        <f t="shared" si="15"/>
        <v>业态</v>
      </c>
      <c r="AA38" s="1507">
        <f t="shared" si="3"/>
        <v>1</v>
      </c>
      <c r="AB38" s="1507">
        <f t="shared" si="4"/>
        <v>1</v>
      </c>
      <c r="AC38" s="1507">
        <f t="shared" si="5"/>
        <v>1</v>
      </c>
    </row>
    <row r="39" spans="1:29" ht="15">
      <c r="A39" s="431"/>
      <c r="B39" s="381" t="s">
        <v>2425</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19"/>
      <c r="M39" s="2913"/>
      <c r="N39" s="2913"/>
      <c r="O39" s="2913"/>
      <c r="P39" s="3471"/>
      <c r="Q39" s="1506" t="str">
        <f t="shared" si="11"/>
        <v>层高</v>
      </c>
      <c r="R39" s="714" t="s">
        <v>17</v>
      </c>
      <c r="S39" s="715">
        <f t="shared" si="12"/>
        <v>100</v>
      </c>
      <c r="T39" s="714" t="s">
        <v>17</v>
      </c>
      <c r="U39" s="715">
        <f t="shared" si="13"/>
        <v>100</v>
      </c>
      <c r="V39" s="714" t="s">
        <v>17</v>
      </c>
      <c r="W39" s="715">
        <f t="shared" si="14"/>
        <v>100</v>
      </c>
      <c r="X39" s="1509"/>
      <c r="Y39" s="3473"/>
      <c r="Z39" s="1510" t="str">
        <f t="shared" si="15"/>
        <v>层高</v>
      </c>
      <c r="AA39" s="1507">
        <f t="shared" si="3"/>
        <v>1</v>
      </c>
      <c r="AB39" s="1507">
        <f t="shared" si="4"/>
        <v>1</v>
      </c>
      <c r="AC39" s="1507">
        <f t="shared" si="5"/>
        <v>1</v>
      </c>
    </row>
    <row r="40" spans="1:29" ht="15">
      <c r="A40" s="431"/>
      <c r="B40" s="381" t="s">
        <v>2426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19"/>
      <c r="M40" s="2913"/>
      <c r="N40" s="2913"/>
      <c r="O40" s="2913"/>
      <c r="P40" s="3471"/>
      <c r="Q40" s="1506" t="str">
        <f t="shared" si="11"/>
        <v>单套建筑面积</v>
      </c>
      <c r="R40" s="714" t="s">
        <v>17</v>
      </c>
      <c r="S40" s="715">
        <f t="shared" si="12"/>
        <v>100</v>
      </c>
      <c r="T40" s="714" t="s">
        <v>17</v>
      </c>
      <c r="U40" s="715">
        <f t="shared" si="13"/>
        <v>100</v>
      </c>
      <c r="V40" s="714" t="s">
        <v>17</v>
      </c>
      <c r="W40" s="715">
        <f t="shared" si="14"/>
        <v>100</v>
      </c>
      <c r="X40" s="1509"/>
      <c r="Y40" s="3473"/>
      <c r="Z40" s="1510" t="str">
        <f t="shared" si="15"/>
        <v>单套建筑面积</v>
      </c>
      <c r="AA40" s="1507">
        <f t="shared" si="3"/>
        <v>1</v>
      </c>
      <c r="AB40" s="1507">
        <f t="shared" si="4"/>
        <v>1</v>
      </c>
      <c r="AC40" s="1507">
        <f t="shared" si="5"/>
        <v>1</v>
      </c>
    </row>
    <row r="41" spans="1:29" s="430" customFormat="1" ht="15">
      <c r="A41" s="427"/>
      <c r="B41" s="1508" t="s">
        <v>2427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8"/>
      <c r="M41" s="2920"/>
      <c r="N41" s="2920"/>
      <c r="O41" s="2920"/>
      <c r="P41" s="3471"/>
      <c r="Q41" s="716" t="str">
        <f t="shared" si="11"/>
        <v>进深比</v>
      </c>
      <c r="R41" s="717" t="s">
        <v>17</v>
      </c>
      <c r="S41" s="718">
        <f t="shared" si="12"/>
        <v>100</v>
      </c>
      <c r="T41" s="717" t="s">
        <v>17</v>
      </c>
      <c r="U41" s="718">
        <f t="shared" si="13"/>
        <v>100</v>
      </c>
      <c r="V41" s="717" t="s">
        <v>17</v>
      </c>
      <c r="W41" s="718">
        <f t="shared" si="14"/>
        <v>100</v>
      </c>
      <c r="X41" s="719"/>
      <c r="Y41" s="3473"/>
      <c r="Z41" s="720" t="str">
        <f t="shared" si="15"/>
        <v>进深比</v>
      </c>
      <c r="AA41" s="1507">
        <f t="shared" si="3"/>
        <v>1</v>
      </c>
      <c r="AB41" s="1507">
        <f t="shared" si="4"/>
        <v>1</v>
      </c>
      <c r="AC41" s="1507">
        <f t="shared" si="5"/>
        <v>1</v>
      </c>
    </row>
    <row r="42" spans="1:29" ht="15">
      <c r="A42" s="431"/>
      <c r="B42" s="381" t="s">
        <v>2428</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19"/>
      <c r="M42" s="2913"/>
      <c r="N42" s="2913"/>
      <c r="O42" s="2913"/>
      <c r="P42" s="3471"/>
      <c r="Q42" s="1506" t="str">
        <f t="shared" si="11"/>
        <v>内部装修</v>
      </c>
      <c r="R42" s="714" t="s">
        <v>17</v>
      </c>
      <c r="S42" s="715">
        <f t="shared" si="12"/>
        <v>100</v>
      </c>
      <c r="T42" s="714" t="s">
        <v>17</v>
      </c>
      <c r="U42" s="715">
        <f t="shared" si="13"/>
        <v>100</v>
      </c>
      <c r="V42" s="714" t="s">
        <v>17</v>
      </c>
      <c r="W42" s="715">
        <f t="shared" si="14"/>
        <v>100</v>
      </c>
      <c r="X42" s="1509"/>
      <c r="Y42" s="3473"/>
      <c r="Z42" s="1510" t="str">
        <f t="shared" si="15"/>
        <v>内部装修</v>
      </c>
      <c r="AA42" s="1507">
        <f t="shared" si="3"/>
        <v>1</v>
      </c>
      <c r="AB42" s="1507">
        <f t="shared" si="4"/>
        <v>1</v>
      </c>
      <c r="AC42" s="1507">
        <f t="shared" si="5"/>
        <v>1</v>
      </c>
    </row>
    <row r="43" spans="1:29" ht="15">
      <c r="A43" s="431"/>
      <c r="B43" s="381" t="s">
        <v>2336</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19"/>
      <c r="M43" s="2913"/>
      <c r="N43" s="2913"/>
      <c r="O43" s="2913"/>
      <c r="P43" s="3471"/>
      <c r="Q43" s="1506" t="str">
        <f t="shared" si="11"/>
        <v>内部装修维护情况</v>
      </c>
      <c r="R43" s="714" t="s">
        <v>17</v>
      </c>
      <c r="S43" s="715">
        <f t="shared" si="12"/>
        <v>100</v>
      </c>
      <c r="T43" s="714" t="s">
        <v>17</v>
      </c>
      <c r="U43" s="715">
        <f t="shared" si="13"/>
        <v>100</v>
      </c>
      <c r="V43" s="714" t="s">
        <v>17</v>
      </c>
      <c r="W43" s="715">
        <f t="shared" si="14"/>
        <v>100</v>
      </c>
      <c r="X43" s="1509"/>
      <c r="Y43" s="3473"/>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4"/>
      <c r="M44" s="2915"/>
      <c r="N44" s="2915"/>
      <c r="O44" s="2915"/>
      <c r="P44" s="3471"/>
      <c r="Q44" s="1497">
        <f t="shared" si="11"/>
        <v>111</v>
      </c>
      <c r="R44" s="710" t="s">
        <v>17</v>
      </c>
      <c r="S44" s="711">
        <f t="shared" si="12"/>
        <v>100</v>
      </c>
      <c r="T44" s="710" t="s">
        <v>17</v>
      </c>
      <c r="U44" s="711">
        <f t="shared" si="13"/>
        <v>100</v>
      </c>
      <c r="V44" s="710" t="s">
        <v>17</v>
      </c>
      <c r="W44" s="711">
        <f t="shared" si="14"/>
        <v>100</v>
      </c>
      <c r="X44" s="712"/>
      <c r="Y44" s="3473"/>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19"/>
      <c r="M45" s="2913"/>
      <c r="N45" s="2913"/>
      <c r="O45" s="2913"/>
      <c r="P45" s="3471"/>
      <c r="Q45" s="1506">
        <f t="shared" si="11"/>
        <v>111</v>
      </c>
      <c r="R45" s="714" t="s">
        <v>17</v>
      </c>
      <c r="S45" s="715">
        <f t="shared" si="12"/>
        <v>100</v>
      </c>
      <c r="T45" s="714" t="s">
        <v>17</v>
      </c>
      <c r="U45" s="715">
        <f t="shared" si="13"/>
        <v>100</v>
      </c>
      <c r="V45" s="714" t="s">
        <v>17</v>
      </c>
      <c r="W45" s="715">
        <f t="shared" si="14"/>
        <v>100</v>
      </c>
      <c r="X45" s="1509"/>
      <c r="Y45" s="3473"/>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19"/>
      <c r="M46" s="2913"/>
      <c r="N46" s="2913"/>
      <c r="O46" s="2913"/>
      <c r="P46" s="3472"/>
      <c r="Q46" s="1506">
        <f t="shared" si="11"/>
        <v>111</v>
      </c>
      <c r="R46" s="714" t="s">
        <v>17</v>
      </c>
      <c r="S46" s="715">
        <f t="shared" si="12"/>
        <v>100</v>
      </c>
      <c r="T46" s="714" t="s">
        <v>17</v>
      </c>
      <c r="U46" s="715">
        <f t="shared" si="13"/>
        <v>100</v>
      </c>
      <c r="V46" s="714" t="s">
        <v>17</v>
      </c>
      <c r="W46" s="715">
        <f t="shared" si="14"/>
        <v>100</v>
      </c>
      <c r="X46" s="1509"/>
      <c r="Y46" s="3474"/>
      <c r="Z46" s="1510">
        <f t="shared" si="15"/>
        <v>111</v>
      </c>
      <c r="AA46" s="1507">
        <f t="shared" si="3"/>
        <v>1</v>
      </c>
      <c r="AB46" s="1507">
        <f t="shared" si="4"/>
        <v>1</v>
      </c>
      <c r="AC46" s="1507">
        <f t="shared" si="5"/>
        <v>1</v>
      </c>
    </row>
    <row r="47" spans="1:29" ht="15">
      <c r="A47" s="438" t="s">
        <v>2337</v>
      </c>
      <c r="B47" s="439"/>
      <c r="C47" s="1288" t="s">
        <v>1</v>
      </c>
      <c r="D47" s="1289"/>
      <c r="E47" s="1290"/>
      <c r="F47" s="1291"/>
      <c r="G47" s="1292"/>
      <c r="H47" s="1293"/>
      <c r="I47" s="1290"/>
      <c r="J47" s="1293"/>
      <c r="K47" s="723"/>
      <c r="L47" s="2921"/>
      <c r="M47" s="2922"/>
      <c r="N47" s="2913"/>
      <c r="O47" s="2922"/>
      <c r="P47" s="3466" t="str">
        <f>A47</f>
        <v>成交单价（元/平方米）</v>
      </c>
      <c r="Q47" s="3466"/>
      <c r="R47" s="3461">
        <f>E47</f>
        <v>0</v>
      </c>
      <c r="S47" s="3461"/>
      <c r="T47" s="3461">
        <f>G47</f>
        <v>0</v>
      </c>
      <c r="U47" s="3461"/>
      <c r="V47" s="3461">
        <f>I47</f>
        <v>0</v>
      </c>
      <c r="W47" s="3461"/>
      <c r="X47" s="699"/>
      <c r="Y47" s="721"/>
      <c r="Z47" s="699"/>
      <c r="AA47" s="699"/>
      <c r="AB47" s="699"/>
      <c r="AC47" s="699"/>
    </row>
    <row r="48" spans="1:29" ht="15.75" thickBot="1">
      <c r="A48" s="445" t="s">
        <v>2429</v>
      </c>
      <c r="B48" s="446"/>
      <c r="C48" s="1294" t="e">
        <f>R49</f>
        <v>#DIV/0!</v>
      </c>
      <c r="D48" s="2508" t="s">
        <v>2820</v>
      </c>
      <c r="E48" s="1295" t="e">
        <f>R48</f>
        <v>#DIV/0!</v>
      </c>
      <c r="F48" s="2509"/>
      <c r="G48" s="1294" t="e">
        <f>T48</f>
        <v>#DIV/0!</v>
      </c>
      <c r="H48" s="2509"/>
      <c r="I48" s="1295" t="e">
        <f>V48</f>
        <v>#DIV/0!</v>
      </c>
      <c r="J48" s="2509"/>
      <c r="K48" s="2511">
        <f>F48+H48+J48</f>
        <v>0</v>
      </c>
      <c r="L48" s="2921"/>
      <c r="M48" s="2922"/>
      <c r="N48" s="2913"/>
      <c r="O48" s="2922"/>
      <c r="P48" s="3466" t="str">
        <f>A48</f>
        <v>比较价值（元/平方米）</v>
      </c>
      <c r="Q48" s="3466"/>
      <c r="R48" s="3467" t="e">
        <f>IF(F1="售价",ROUND(PRODUCT(R47,AA7:AA46),0),ROUND(PRODUCT(R47,AA7:AA46),1))</f>
        <v>#DIV/0!</v>
      </c>
      <c r="S48" s="3467"/>
      <c r="T48" s="3467" t="e">
        <f>IF(F1="售价",ROUND(PRODUCT(T47,AB7:AB46),0),ROUND(PRODUCT(T47,AB7:AB46),1))</f>
        <v>#DIV/0!</v>
      </c>
      <c r="U48" s="3467"/>
      <c r="V48" s="3467" t="e">
        <f>IF(F1="售价",ROUND(PRODUCT(V47,AC7:AC46),0),ROUND(PRODUCT(V47,AC7:AC46),1))</f>
        <v>#DIV/0!</v>
      </c>
      <c r="W48" s="3467"/>
      <c r="X48" s="699"/>
      <c r="Y48" s="699"/>
      <c r="Z48" s="699"/>
      <c r="AA48" s="699"/>
      <c r="AB48" s="699"/>
      <c r="AC48" s="699"/>
    </row>
    <row r="49" spans="1:29" ht="15.75" thickBot="1">
      <c r="A49" s="449" t="s">
        <v>2430</v>
      </c>
      <c r="B49" s="450"/>
      <c r="C49" s="1297" t="e">
        <f>R49</f>
        <v>#DIV/0!</v>
      </c>
      <c r="D49" s="1297"/>
      <c r="E49" s="1297"/>
      <c r="F49" s="1297"/>
      <c r="G49" s="1297"/>
      <c r="H49" s="1297"/>
      <c r="I49" s="1297"/>
      <c r="J49" s="1297"/>
      <c r="K49" s="724"/>
      <c r="L49" s="2921"/>
      <c r="M49" s="2922"/>
      <c r="N49" s="2913"/>
      <c r="O49" s="2922"/>
      <c r="P49" s="3463" t="str">
        <f>A49</f>
        <v>估价对象XX用房的比较价值（楼面单价，元/平方米）</v>
      </c>
      <c r="Q49" s="3464"/>
      <c r="R49" s="3465" t="e">
        <f>IF(F1="售价",ROUND(IF(D48="简单平均",AVERAGE(R48:V48),R48*F48+T48*H48+V48*J48),0),ROUND(IF(D48="简单平均",AVERAGE(R48:V48),R48*F48+T48*H48+V48*J48),1))</f>
        <v>#DIV/0!</v>
      </c>
      <c r="S49" s="3465"/>
      <c r="T49" s="3465"/>
      <c r="U49" s="3465"/>
      <c r="V49" s="3465"/>
      <c r="W49" s="3465"/>
      <c r="X49" s="699"/>
      <c r="Y49" s="699"/>
      <c r="Z49" s="699"/>
      <c r="AA49" s="699"/>
      <c r="AB49" s="699"/>
      <c r="AC49" s="699"/>
    </row>
    <row r="50" spans="1:29">
      <c r="A50" s="2922"/>
      <c r="B50" s="2922"/>
      <c r="C50" s="2922"/>
      <c r="D50" s="2922"/>
      <c r="E50" s="2922"/>
      <c r="F50" s="2922"/>
      <c r="G50" s="2926"/>
      <c r="H50" s="2922"/>
      <c r="I50" s="2922"/>
      <c r="J50" s="2922"/>
      <c r="K50" s="2927"/>
      <c r="L50" s="2923"/>
      <c r="M50" s="2922"/>
      <c r="N50" s="2922"/>
      <c r="O50" s="2922"/>
      <c r="P50" s="2933"/>
      <c r="Q50" s="2922"/>
      <c r="R50" s="2922"/>
      <c r="S50" s="2922"/>
      <c r="T50" s="2922"/>
      <c r="U50" s="2922"/>
      <c r="V50" s="2922"/>
      <c r="W50" s="2922"/>
      <c r="X50" s="2922"/>
      <c r="Y50" s="2922"/>
      <c r="Z50" s="2922"/>
      <c r="AA50" s="2922"/>
      <c r="AB50" s="2922"/>
      <c r="AC50" s="2922"/>
    </row>
    <row r="51" spans="1:29">
      <c r="A51" s="2922"/>
      <c r="B51" s="2922"/>
      <c r="C51" s="2922"/>
      <c r="D51" s="2922"/>
      <c r="E51" s="2922"/>
      <c r="F51" s="2922"/>
      <c r="G51" s="2922"/>
      <c r="H51" s="2922"/>
      <c r="I51" s="2922"/>
      <c r="J51" s="2922"/>
      <c r="K51" s="2927"/>
      <c r="L51" s="2923"/>
      <c r="M51" s="2922"/>
      <c r="N51" s="2922"/>
      <c r="O51" s="2922"/>
      <c r="P51" s="2933"/>
      <c r="Q51" s="2922"/>
      <c r="R51" s="2922"/>
      <c r="S51" s="2922"/>
      <c r="T51" s="2922"/>
      <c r="U51" s="2922"/>
      <c r="V51" s="2922"/>
      <c r="W51" s="2922"/>
      <c r="X51" s="2922"/>
      <c r="Y51" s="2922"/>
      <c r="Z51" s="2922"/>
      <c r="AA51" s="2922"/>
      <c r="AB51" s="2922"/>
      <c r="AC51" s="2922"/>
    </row>
    <row r="52" spans="1:29" ht="13.5" customHeight="1">
      <c r="A52" s="2922"/>
      <c r="B52" s="2922"/>
      <c r="C52" s="454" t="s">
        <v>2431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7"/>
      <c r="L52" s="2923"/>
      <c r="M52" s="2922"/>
      <c r="N52" s="2922"/>
      <c r="O52" s="2922"/>
      <c r="P52" s="2933"/>
      <c r="Q52" s="2922"/>
      <c r="R52" s="2922"/>
      <c r="S52" s="2922"/>
      <c r="T52" s="2922"/>
      <c r="U52" s="2922"/>
      <c r="V52" s="2922"/>
      <c r="W52" s="2922"/>
      <c r="X52" s="2922"/>
      <c r="Y52" s="2922"/>
      <c r="Z52" s="2922"/>
      <c r="AA52" s="2922"/>
      <c r="AB52" s="2922"/>
      <c r="AC52" s="2922"/>
    </row>
    <row r="53" spans="1:29" ht="13.5" customHeight="1">
      <c r="A53" s="2922"/>
      <c r="B53" s="2922"/>
      <c r="C53" s="454" t="s">
        <v>2432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7"/>
      <c r="L53" s="2923"/>
      <c r="M53" s="2922"/>
      <c r="N53" s="2922"/>
      <c r="O53" s="2922"/>
      <c r="P53" s="2933"/>
      <c r="Q53" s="2922"/>
      <c r="R53" s="2922"/>
      <c r="S53" s="2922"/>
      <c r="T53" s="2922"/>
      <c r="U53" s="2922"/>
      <c r="V53" s="2922"/>
      <c r="W53" s="2922"/>
      <c r="X53" s="2922"/>
      <c r="Y53" s="2922"/>
      <c r="Z53" s="2922"/>
      <c r="AA53" s="2922"/>
      <c r="AB53" s="2922"/>
      <c r="AC53" s="2922"/>
    </row>
    <row r="54" spans="1:29" s="459" customFormat="1" ht="13.5" customHeight="1">
      <c r="A54" s="2925"/>
      <c r="B54" s="2925"/>
      <c r="C54" s="454" t="s">
        <v>2433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0"/>
      <c r="L54" s="2924"/>
      <c r="M54" s="2925"/>
      <c r="N54" s="2925"/>
      <c r="O54" s="2925"/>
      <c r="P54" s="2934"/>
      <c r="Q54" s="2925"/>
      <c r="R54" s="2925"/>
      <c r="S54" s="2925"/>
      <c r="T54" s="2925"/>
      <c r="U54" s="2925"/>
      <c r="V54" s="2925"/>
      <c r="W54" s="2925"/>
      <c r="X54" s="2925"/>
      <c r="Y54" s="2925"/>
      <c r="Z54" s="2925"/>
      <c r="AA54" s="2925"/>
      <c r="AB54" s="2925"/>
      <c r="AC54" s="2925"/>
    </row>
    <row r="55" spans="1:29" s="459" customFormat="1">
      <c r="A55" s="2925"/>
      <c r="B55" s="2928"/>
      <c r="C55" s="2929"/>
      <c r="D55" s="2925"/>
      <c r="E55" s="2925"/>
      <c r="F55" s="2925"/>
      <c r="G55" s="2925"/>
      <c r="H55" s="2925"/>
      <c r="I55" s="2925"/>
      <c r="J55" s="2925"/>
      <c r="K55" s="2930"/>
      <c r="L55" s="2924"/>
      <c r="M55" s="2925"/>
      <c r="N55" s="2925"/>
      <c r="O55" s="2925"/>
      <c r="P55" s="2934"/>
      <c r="Q55" s="2925"/>
      <c r="R55" s="2925"/>
      <c r="S55" s="2925"/>
      <c r="T55" s="2925"/>
      <c r="U55" s="2925"/>
      <c r="V55" s="2925"/>
      <c r="W55" s="2925"/>
      <c r="X55" s="2925"/>
      <c r="Y55" s="2925"/>
      <c r="Z55" s="2925"/>
      <c r="AA55" s="2925"/>
      <c r="AB55" s="2925"/>
      <c r="AC55" s="2925"/>
    </row>
    <row r="56" spans="1:29">
      <c r="A56" s="2922"/>
      <c r="B56" s="2928"/>
      <c r="C56" s="2929"/>
      <c r="D56" s="2922"/>
      <c r="E56" s="2922"/>
      <c r="F56" s="2922"/>
      <c r="G56" s="2922"/>
      <c r="H56" s="2922"/>
      <c r="I56" s="2922"/>
      <c r="J56" s="2922"/>
      <c r="K56" s="2927"/>
      <c r="L56" s="2923"/>
      <c r="M56" s="2922"/>
      <c r="N56" s="2922"/>
      <c r="O56" s="2922"/>
      <c r="P56" s="2933"/>
      <c r="Q56" s="2922"/>
      <c r="R56" s="2922"/>
      <c r="S56" s="2922"/>
      <c r="T56" s="2922"/>
      <c r="U56" s="2922"/>
      <c r="V56" s="2922"/>
      <c r="W56" s="2922"/>
      <c r="X56" s="2922"/>
      <c r="Y56" s="2922"/>
      <c r="Z56" s="2922"/>
      <c r="AA56" s="2922"/>
      <c r="AB56" s="2922"/>
      <c r="AC56" s="2922"/>
    </row>
    <row r="57" spans="1:29" ht="21.75" thickBot="1">
      <c r="A57" s="703" t="s">
        <v>2434</v>
      </c>
      <c r="B57" s="699"/>
      <c r="C57" s="704"/>
      <c r="D57" s="704"/>
      <c r="E57" s="704"/>
      <c r="F57" s="705"/>
      <c r="G57" s="705"/>
      <c r="H57" s="704"/>
      <c r="I57" s="704"/>
      <c r="J57" s="704"/>
      <c r="K57" s="706"/>
      <c r="L57" s="1073"/>
      <c r="M57" s="1071"/>
      <c r="N57" s="1071"/>
      <c r="O57" s="1071"/>
      <c r="P57" s="2935"/>
      <c r="Q57" s="2936"/>
      <c r="R57" s="2922"/>
      <c r="S57" s="2922"/>
      <c r="T57" s="2922"/>
      <c r="U57" s="2922"/>
      <c r="V57" s="2922"/>
      <c r="W57" s="2922"/>
      <c r="X57" s="2922"/>
      <c r="Y57" s="2922"/>
      <c r="Z57" s="2922"/>
      <c r="AA57" s="2922"/>
      <c r="AB57" s="2922"/>
      <c r="AC57" s="2922"/>
    </row>
    <row r="58" spans="1:29" s="465" customFormat="1" ht="15">
      <c r="A58" s="462" t="s">
        <v>2308</v>
      </c>
      <c r="B58" s="463"/>
      <c r="C58" s="1318" t="str">
        <f>YEAR(C7)&amp;"-"&amp;MONTH(C7)</f>
        <v>2022-3</v>
      </c>
      <c r="D58" s="1319">
        <f>EDATE(C58,-1)</f>
        <v>44593</v>
      </c>
      <c r="E58" s="1319">
        <f t="shared" ref="E58:N58" si="16">EDATE(D58,-1)</f>
        <v>44562</v>
      </c>
      <c r="F58" s="1319">
        <f t="shared" si="16"/>
        <v>44531</v>
      </c>
      <c r="G58" s="1319">
        <f t="shared" si="16"/>
        <v>44501</v>
      </c>
      <c r="H58" s="1319">
        <f t="shared" si="16"/>
        <v>44470</v>
      </c>
      <c r="I58" s="1319">
        <f t="shared" si="16"/>
        <v>44440</v>
      </c>
      <c r="J58" s="1319">
        <f t="shared" si="16"/>
        <v>44409</v>
      </c>
      <c r="K58" s="1319">
        <f t="shared" si="16"/>
        <v>44378</v>
      </c>
      <c r="L58" s="1319">
        <f t="shared" si="16"/>
        <v>44348</v>
      </c>
      <c r="M58" s="1319">
        <f t="shared" si="16"/>
        <v>44317</v>
      </c>
      <c r="N58" s="1319">
        <f t="shared" si="16"/>
        <v>44287</v>
      </c>
      <c r="O58" s="1319">
        <f>EDATE(N58,-1)</f>
        <v>44256</v>
      </c>
      <c r="P58" s="2937"/>
      <c r="Q58" s="2938"/>
      <c r="R58" s="2938"/>
      <c r="S58" s="2938"/>
      <c r="T58" s="2938"/>
      <c r="U58" s="2938"/>
      <c r="V58" s="2938"/>
      <c r="W58" s="2938"/>
      <c r="X58" s="2938"/>
      <c r="Y58" s="2938"/>
      <c r="Z58" s="2938"/>
      <c r="AA58" s="2938"/>
      <c r="AB58" s="2938"/>
      <c r="AC58" s="2938"/>
    </row>
    <row r="59" spans="1:29" s="113" customFormat="1" ht="15">
      <c r="A59" s="466"/>
      <c r="B59" s="467"/>
      <c r="C59" s="1317">
        <v>100</v>
      </c>
      <c r="D59" s="469"/>
      <c r="E59" s="469"/>
      <c r="F59" s="469"/>
      <c r="G59" s="469"/>
      <c r="H59" s="469"/>
      <c r="I59" s="469"/>
      <c r="J59" s="469"/>
      <c r="K59" s="469"/>
      <c r="L59" s="469"/>
      <c r="M59" s="470"/>
      <c r="N59" s="469"/>
      <c r="O59" s="470"/>
      <c r="P59" s="2939"/>
      <c r="Q59" s="2856"/>
      <c r="R59" s="2856"/>
      <c r="S59" s="2856"/>
      <c r="T59" s="2856"/>
      <c r="U59" s="2856"/>
      <c r="V59" s="2856"/>
      <c r="W59" s="2856"/>
      <c r="X59" s="2856"/>
      <c r="Y59" s="2856"/>
      <c r="Z59" s="2856"/>
      <c r="AA59" s="2856"/>
      <c r="AB59" s="2856"/>
      <c r="AC59" s="2856"/>
    </row>
    <row r="60" spans="1:29" s="113" customFormat="1" ht="15.75" thickBot="1">
      <c r="A60" s="472" t="s">
        <v>2345</v>
      </c>
      <c r="B60" s="473"/>
      <c r="C60" s="474"/>
      <c r="D60" s="475"/>
      <c r="E60" s="475"/>
      <c r="F60" s="475"/>
      <c r="G60" s="475"/>
      <c r="H60" s="475"/>
      <c r="I60" s="475"/>
      <c r="J60" s="475"/>
      <c r="K60" s="475"/>
      <c r="L60" s="475"/>
      <c r="M60" s="476"/>
      <c r="N60" s="475"/>
      <c r="O60" s="476"/>
      <c r="P60" s="2939"/>
      <c r="Q60" s="2936"/>
      <c r="R60" s="2856"/>
      <c r="S60" s="2856"/>
      <c r="T60" s="2856"/>
      <c r="U60" s="2856"/>
      <c r="V60" s="2856"/>
      <c r="W60" s="2856"/>
      <c r="X60" s="2856"/>
      <c r="Y60" s="2856"/>
      <c r="Z60" s="2856"/>
      <c r="AA60" s="2856"/>
      <c r="AB60" s="2856"/>
      <c r="AC60" s="2856"/>
    </row>
    <row r="61" spans="1:29" s="113" customFormat="1" ht="15">
      <c r="A61" s="478" t="s">
        <v>2310</v>
      </c>
      <c r="B61" s="467"/>
      <c r="C61" s="479" t="s">
        <v>2412</v>
      </c>
      <c r="D61" s="480"/>
      <c r="E61" s="480"/>
      <c r="F61" s="480"/>
      <c r="G61" s="480"/>
      <c r="H61" s="480"/>
      <c r="I61" s="480"/>
      <c r="J61" s="480"/>
      <c r="K61" s="480"/>
      <c r="L61" s="481"/>
      <c r="M61" s="482"/>
      <c r="N61" s="2949"/>
      <c r="O61" s="2949"/>
      <c r="P61" s="2940"/>
      <c r="Q61" s="2936"/>
      <c r="R61" s="2856"/>
      <c r="S61" s="2856"/>
      <c r="T61" s="2856"/>
      <c r="U61" s="2856"/>
      <c r="V61" s="2856"/>
      <c r="W61" s="2856"/>
      <c r="X61" s="2856"/>
      <c r="Y61" s="2856"/>
      <c r="Z61" s="2856"/>
      <c r="AA61" s="2856"/>
      <c r="AB61" s="2856"/>
      <c r="AC61" s="2856"/>
    </row>
    <row r="62" spans="1:29" s="113" customFormat="1" ht="15.75" thickBot="1">
      <c r="A62" s="478"/>
      <c r="B62" s="467"/>
      <c r="C62" s="468">
        <v>100</v>
      </c>
      <c r="D62" s="469"/>
      <c r="E62" s="469"/>
      <c r="F62" s="469"/>
      <c r="G62" s="469"/>
      <c r="H62" s="469"/>
      <c r="I62" s="469"/>
      <c r="J62" s="469"/>
      <c r="K62" s="469"/>
      <c r="L62" s="469"/>
      <c r="M62" s="471"/>
      <c r="N62" s="2949"/>
      <c r="O62" s="2949"/>
      <c r="P62" s="2939"/>
      <c r="Q62" s="2936"/>
      <c r="R62" s="2856"/>
      <c r="S62" s="2856"/>
      <c r="T62" s="2856"/>
      <c r="U62" s="2856"/>
      <c r="V62" s="2856"/>
      <c r="W62" s="2856"/>
      <c r="X62" s="2856"/>
      <c r="Y62" s="2856"/>
      <c r="Z62" s="2856"/>
      <c r="AA62" s="2856"/>
      <c r="AB62" s="2856"/>
      <c r="AC62" s="2856"/>
    </row>
    <row r="63" spans="1:29">
      <c r="A63" s="484" t="s">
        <v>2348</v>
      </c>
      <c r="B63" s="485" t="s">
        <v>2314</v>
      </c>
      <c r="C63" s="486">
        <f>C9</f>
        <v>0</v>
      </c>
      <c r="D63" s="487"/>
      <c r="E63" s="487"/>
      <c r="F63" s="487"/>
      <c r="G63" s="487"/>
      <c r="H63" s="487"/>
      <c r="I63" s="487"/>
      <c r="J63" s="487"/>
      <c r="K63" s="488"/>
      <c r="L63" s="489"/>
      <c r="M63" s="490"/>
      <c r="N63" s="2950"/>
      <c r="O63" s="2950"/>
      <c r="P63" s="2941"/>
      <c r="Q63" s="2936"/>
      <c r="R63" s="2922"/>
      <c r="S63" s="2922"/>
      <c r="T63" s="2922"/>
      <c r="U63" s="2922"/>
      <c r="V63" s="2922"/>
      <c r="W63" s="2922"/>
      <c r="X63" s="2922"/>
      <c r="Y63" s="2922"/>
      <c r="Z63" s="2922"/>
      <c r="AA63" s="2922"/>
      <c r="AB63" s="2922"/>
      <c r="AC63" s="2922"/>
    </row>
    <row r="64" spans="1:29" ht="15.75" thickBot="1">
      <c r="A64" s="491"/>
      <c r="B64" s="492"/>
      <c r="C64" s="493">
        <v>100</v>
      </c>
      <c r="D64" s="493"/>
      <c r="E64" s="493"/>
      <c r="F64" s="493"/>
      <c r="G64" s="493"/>
      <c r="H64" s="493"/>
      <c r="I64" s="493"/>
      <c r="J64" s="493"/>
      <c r="K64" s="493"/>
      <c r="L64" s="493"/>
      <c r="M64" s="494"/>
      <c r="N64" s="2951"/>
      <c r="O64" s="2951"/>
      <c r="P64" s="2941"/>
      <c r="Q64" s="2936"/>
      <c r="R64" s="2922"/>
      <c r="S64" s="2922"/>
      <c r="T64" s="2922"/>
      <c r="U64" s="2922"/>
      <c r="V64" s="2922"/>
      <c r="W64" s="2922"/>
      <c r="X64" s="2922"/>
      <c r="Y64" s="2922"/>
      <c r="Z64" s="2922"/>
      <c r="AA64" s="2922"/>
      <c r="AB64" s="2922"/>
      <c r="AC64" s="2922"/>
    </row>
    <row r="65" spans="1:29" ht="27.75" thickTop="1">
      <c r="A65" s="491"/>
      <c r="B65" s="495" t="s">
        <v>2317</v>
      </c>
      <c r="C65" s="496" t="s">
        <v>2349</v>
      </c>
      <c r="D65" s="496" t="s">
        <v>2350</v>
      </c>
      <c r="E65" s="496" t="s">
        <v>2351</v>
      </c>
      <c r="F65" s="496" t="s">
        <v>2352</v>
      </c>
      <c r="G65" s="496" t="s">
        <v>2353</v>
      </c>
      <c r="H65" s="496" t="s">
        <v>2354</v>
      </c>
      <c r="I65" s="496" t="s">
        <v>2355</v>
      </c>
      <c r="J65" s="496"/>
      <c r="K65" s="497"/>
      <c r="L65" s="498"/>
      <c r="M65" s="499"/>
      <c r="N65" s="2950"/>
      <c r="O65" s="2950"/>
      <c r="P65" s="2941"/>
      <c r="Q65" s="2936"/>
      <c r="R65" s="2922"/>
      <c r="S65" s="2922"/>
      <c r="T65" s="2922"/>
      <c r="U65" s="2922"/>
      <c r="V65" s="2922"/>
      <c r="W65" s="2922"/>
      <c r="X65" s="2922"/>
      <c r="Y65" s="2922"/>
      <c r="Z65" s="2922"/>
      <c r="AA65" s="2922"/>
      <c r="AB65" s="2922"/>
      <c r="AC65" s="2922"/>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1"/>
      <c r="O66" s="2951"/>
      <c r="P66" s="2941"/>
      <c r="Q66" s="2936"/>
      <c r="R66" s="2922"/>
      <c r="S66" s="2922"/>
      <c r="T66" s="2922"/>
      <c r="U66" s="2922"/>
      <c r="V66" s="2922"/>
      <c r="W66" s="2922"/>
      <c r="X66" s="2922"/>
      <c r="Y66" s="2922"/>
      <c r="Z66" s="2922"/>
      <c r="AA66" s="2922"/>
      <c r="AB66" s="2922"/>
      <c r="AC66" s="2922"/>
    </row>
    <row r="67" spans="1:29" ht="15.75" thickTop="1">
      <c r="A67" s="491"/>
      <c r="B67" s="503" t="s">
        <v>2318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1"/>
      <c r="O67" s="2951"/>
      <c r="P67" s="2941"/>
      <c r="Q67" s="2936"/>
      <c r="R67" s="2922"/>
      <c r="S67" s="2922"/>
      <c r="T67" s="2922"/>
      <c r="U67" s="2922"/>
      <c r="V67" s="2922"/>
      <c r="W67" s="2922"/>
      <c r="X67" s="2922"/>
      <c r="Y67" s="2922"/>
      <c r="Z67" s="2922"/>
      <c r="AA67" s="2922"/>
      <c r="AB67" s="2922"/>
      <c r="AC67" s="2922"/>
    </row>
    <row r="68" spans="1:29" ht="15">
      <c r="A68" s="491"/>
      <c r="B68" s="505"/>
      <c r="C68" s="506"/>
      <c r="D68" s="506"/>
      <c r="E68" s="506"/>
      <c r="F68" s="506"/>
      <c r="G68" s="506"/>
      <c r="H68" s="506"/>
      <c r="I68" s="506"/>
      <c r="J68" s="506"/>
      <c r="K68" s="507"/>
      <c r="L68" s="508"/>
      <c r="M68" s="509"/>
      <c r="N68" s="2950"/>
      <c r="O68" s="2950"/>
      <c r="P68" s="2941"/>
      <c r="Q68" s="2936"/>
      <c r="R68" s="2922"/>
      <c r="S68" s="2922"/>
      <c r="T68" s="2922"/>
      <c r="U68" s="2922"/>
      <c r="V68" s="2922"/>
      <c r="W68" s="2922"/>
      <c r="X68" s="2922"/>
      <c r="Y68" s="2922"/>
      <c r="Z68" s="2922"/>
      <c r="AA68" s="2922"/>
      <c r="AB68" s="2922"/>
      <c r="AC68" s="2922"/>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1"/>
      <c r="O69" s="2951"/>
      <c r="P69" s="2941"/>
      <c r="Q69" s="2936"/>
      <c r="R69" s="2922"/>
      <c r="S69" s="2922"/>
      <c r="T69" s="2922"/>
      <c r="U69" s="2922"/>
      <c r="V69" s="2922"/>
      <c r="W69" s="2922"/>
      <c r="X69" s="2922"/>
      <c r="Y69" s="2922"/>
      <c r="Z69" s="2922"/>
      <c r="AA69" s="2922"/>
      <c r="AB69" s="2922"/>
      <c r="AC69" s="2922"/>
    </row>
    <row r="70" spans="1:29" s="430" customFormat="1" ht="15.75" thickTop="1">
      <c r="A70" s="510"/>
      <c r="B70" s="495">
        <f>B12</f>
        <v>111</v>
      </c>
      <c r="C70" s="511"/>
      <c r="D70" s="511"/>
      <c r="E70" s="511"/>
      <c r="F70" s="511"/>
      <c r="G70" s="511"/>
      <c r="H70" s="512"/>
      <c r="I70" s="512"/>
      <c r="J70" s="512"/>
      <c r="K70" s="512"/>
      <c r="L70" s="513"/>
      <c r="M70" s="514"/>
      <c r="N70" s="2952"/>
      <c r="O70" s="2952"/>
      <c r="P70" s="2942"/>
      <c r="Q70" s="2943"/>
      <c r="R70" s="2944"/>
      <c r="S70" s="2944"/>
      <c r="T70" s="2944"/>
      <c r="U70" s="2944"/>
      <c r="V70" s="2944"/>
      <c r="W70" s="2944"/>
      <c r="X70" s="2944"/>
      <c r="Y70" s="2944"/>
      <c r="Z70" s="2944"/>
      <c r="AA70" s="2944"/>
      <c r="AB70" s="2944"/>
      <c r="AC70" s="2944"/>
    </row>
    <row r="71" spans="1:29" s="430" customFormat="1" ht="15.75" thickBot="1">
      <c r="A71" s="510"/>
      <c r="B71" s="500"/>
      <c r="C71" s="517"/>
      <c r="D71" s="493"/>
      <c r="E71" s="493"/>
      <c r="F71" s="493"/>
      <c r="G71" s="493"/>
      <c r="H71" s="493"/>
      <c r="I71" s="493"/>
      <c r="J71" s="493"/>
      <c r="K71" s="493"/>
      <c r="L71" s="493"/>
      <c r="M71" s="494"/>
      <c r="N71" s="2951"/>
      <c r="O71" s="2951"/>
      <c r="P71" s="2942"/>
      <c r="Q71" s="2943"/>
      <c r="R71" s="2944"/>
      <c r="S71" s="2944"/>
      <c r="T71" s="2944"/>
      <c r="U71" s="2944"/>
      <c r="V71" s="2944"/>
      <c r="W71" s="2944"/>
      <c r="X71" s="2944"/>
      <c r="Y71" s="2944"/>
      <c r="Z71" s="2944"/>
      <c r="AA71" s="2944"/>
      <c r="AB71" s="2944"/>
      <c r="AC71" s="2944"/>
    </row>
    <row r="72" spans="1:29" s="430" customFormat="1" ht="15.75" thickTop="1">
      <c r="A72" s="510"/>
      <c r="B72" s="495">
        <f>B13</f>
        <v>111</v>
      </c>
      <c r="C72" s="511"/>
      <c r="D72" s="511"/>
      <c r="E72" s="511"/>
      <c r="F72" s="511"/>
      <c r="G72" s="511"/>
      <c r="H72" s="512"/>
      <c r="I72" s="512"/>
      <c r="J72" s="512"/>
      <c r="K72" s="512"/>
      <c r="L72" s="513"/>
      <c r="M72" s="514"/>
      <c r="N72" s="2952"/>
      <c r="O72" s="2952"/>
      <c r="P72" s="2945"/>
      <c r="Q72" s="2946"/>
      <c r="R72" s="2944"/>
      <c r="S72" s="2944"/>
      <c r="T72" s="2944"/>
      <c r="U72" s="2944"/>
      <c r="V72" s="2944"/>
      <c r="W72" s="2944"/>
      <c r="X72" s="2944"/>
      <c r="Y72" s="2944"/>
      <c r="Z72" s="2944"/>
      <c r="AA72" s="2944"/>
      <c r="AB72" s="2944"/>
      <c r="AC72" s="2944"/>
    </row>
    <row r="73" spans="1:29" s="430" customFormat="1" ht="15.75" thickBot="1">
      <c r="A73" s="510"/>
      <c r="B73" s="500"/>
      <c r="C73" s="517"/>
      <c r="D73" s="493"/>
      <c r="E73" s="493"/>
      <c r="F73" s="493"/>
      <c r="G73" s="517"/>
      <c r="H73" s="519"/>
      <c r="I73" s="519"/>
      <c r="J73" s="519"/>
      <c r="K73" s="519"/>
      <c r="L73" s="519"/>
      <c r="M73" s="520"/>
      <c r="N73" s="2952"/>
      <c r="O73" s="2952"/>
      <c r="P73" s="2942"/>
      <c r="Q73" s="2943"/>
      <c r="R73" s="2944"/>
      <c r="S73" s="2944"/>
      <c r="T73" s="2944"/>
      <c r="U73" s="2944"/>
      <c r="V73" s="2944"/>
      <c r="W73" s="2944"/>
      <c r="X73" s="2944"/>
      <c r="Y73" s="2944"/>
      <c r="Z73" s="2944"/>
      <c r="AA73" s="2944"/>
      <c r="AB73" s="2944"/>
      <c r="AC73" s="2944"/>
    </row>
    <row r="74" spans="1:29" s="430" customFormat="1" ht="15.75" thickTop="1">
      <c r="A74" s="510"/>
      <c r="B74" s="503">
        <f>B14</f>
        <v>111</v>
      </c>
      <c r="C74" s="511"/>
      <c r="D74" s="511"/>
      <c r="E74" s="511"/>
      <c r="F74" s="511"/>
      <c r="G74" s="480"/>
      <c r="H74" s="521"/>
      <c r="I74" s="521"/>
      <c r="J74" s="521"/>
      <c r="K74" s="521"/>
      <c r="L74" s="522"/>
      <c r="M74" s="523"/>
      <c r="N74" s="2952"/>
      <c r="O74" s="2952"/>
      <c r="P74" s="2947"/>
      <c r="Q74" s="2943"/>
      <c r="R74" s="2944"/>
      <c r="S74" s="2944"/>
      <c r="T74" s="2944"/>
      <c r="U74" s="2944"/>
      <c r="V74" s="2944"/>
      <c r="W74" s="2944"/>
      <c r="X74" s="2944"/>
      <c r="Y74" s="2944"/>
      <c r="Z74" s="2944"/>
      <c r="AA74" s="2944"/>
      <c r="AB74" s="2944"/>
      <c r="AC74" s="2944"/>
    </row>
    <row r="75" spans="1:29" s="430" customFormat="1" ht="15.75" thickBot="1">
      <c r="A75" s="525"/>
      <c r="B75" s="526"/>
      <c r="C75" s="527"/>
      <c r="D75" s="527"/>
      <c r="E75" s="527"/>
      <c r="F75" s="527"/>
      <c r="G75" s="527"/>
      <c r="H75" s="528"/>
      <c r="I75" s="528"/>
      <c r="J75" s="528"/>
      <c r="K75" s="528"/>
      <c r="L75" s="528"/>
      <c r="M75" s="529"/>
      <c r="N75" s="2952"/>
      <c r="O75" s="2952"/>
      <c r="P75" s="2942"/>
      <c r="Q75" s="2943"/>
      <c r="R75" s="2944"/>
      <c r="S75" s="2944"/>
      <c r="T75" s="2944"/>
      <c r="U75" s="2944"/>
      <c r="V75" s="2944"/>
      <c r="W75" s="2944"/>
      <c r="X75" s="2944"/>
      <c r="Y75" s="2944"/>
      <c r="Z75" s="2944"/>
      <c r="AA75" s="2944"/>
      <c r="AB75" s="2944"/>
      <c r="AC75" s="2944"/>
    </row>
    <row r="76" spans="1:29">
      <c r="A76" s="484" t="s">
        <v>2319</v>
      </c>
      <c r="B76" s="485" t="s">
        <v>2356</v>
      </c>
      <c r="C76" s="530" t="s">
        <v>2357</v>
      </c>
      <c r="D76" s="530" t="s">
        <v>2358</v>
      </c>
      <c r="E76" s="530" t="s">
        <v>2359</v>
      </c>
      <c r="F76" s="530" t="s">
        <v>2360</v>
      </c>
      <c r="G76" s="530" t="s">
        <v>2361</v>
      </c>
      <c r="H76" s="486"/>
      <c r="I76" s="486"/>
      <c r="J76" s="486"/>
      <c r="K76" s="531"/>
      <c r="L76" s="532"/>
      <c r="M76" s="533"/>
      <c r="N76" s="2950"/>
      <c r="O76" s="2950"/>
      <c r="P76" s="2948"/>
      <c r="Q76" s="2936"/>
      <c r="R76" s="2922"/>
      <c r="S76" s="2922"/>
      <c r="T76" s="2922"/>
      <c r="U76" s="2922"/>
      <c r="V76" s="2922"/>
      <c r="W76" s="2922"/>
      <c r="X76" s="2922"/>
      <c r="Y76" s="2922"/>
      <c r="Z76" s="2922"/>
      <c r="AA76" s="2922"/>
      <c r="AB76" s="2922"/>
      <c r="AC76" s="2922"/>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1"/>
      <c r="O77" s="2951"/>
      <c r="P77" s="2941"/>
      <c r="Q77" s="2936"/>
      <c r="R77" s="2922"/>
      <c r="S77" s="2922"/>
      <c r="T77" s="2922"/>
      <c r="U77" s="2922"/>
      <c r="V77" s="2922"/>
      <c r="W77" s="2922"/>
      <c r="X77" s="2922"/>
      <c r="Y77" s="2922"/>
      <c r="Z77" s="2922"/>
      <c r="AA77" s="2922"/>
      <c r="AB77" s="2922"/>
      <c r="AC77" s="2922"/>
    </row>
    <row r="78" spans="1:29" ht="15.75" thickTop="1">
      <c r="A78" s="491"/>
      <c r="B78" s="495" t="s">
        <v>2362</v>
      </c>
      <c r="C78" s="535" t="s">
        <v>2357</v>
      </c>
      <c r="D78" s="535" t="s">
        <v>2358</v>
      </c>
      <c r="E78" s="535" t="s">
        <v>2359</v>
      </c>
      <c r="F78" s="535" t="s">
        <v>2360</v>
      </c>
      <c r="G78" s="535" t="s">
        <v>2361</v>
      </c>
      <c r="H78" s="496"/>
      <c r="I78" s="496"/>
      <c r="J78" s="496"/>
      <c r="K78" s="497"/>
      <c r="L78" s="498"/>
      <c r="M78" s="499"/>
      <c r="N78" s="2950"/>
      <c r="O78" s="2950"/>
      <c r="P78" s="2941"/>
      <c r="Q78" s="2936"/>
      <c r="R78" s="2922"/>
      <c r="S78" s="2922"/>
      <c r="T78" s="2922"/>
      <c r="U78" s="2922"/>
      <c r="V78" s="2922"/>
      <c r="W78" s="2922"/>
      <c r="X78" s="2922"/>
      <c r="Y78" s="2922"/>
      <c r="Z78" s="2922"/>
      <c r="AA78" s="2922"/>
      <c r="AB78" s="2922"/>
      <c r="AC78" s="2922"/>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1"/>
      <c r="O79" s="2951"/>
      <c r="P79" s="2941"/>
      <c r="Q79" s="2936"/>
      <c r="R79" s="2922"/>
      <c r="S79" s="2922"/>
      <c r="T79" s="2922"/>
      <c r="U79" s="2922"/>
      <c r="V79" s="2922"/>
      <c r="W79" s="2922"/>
      <c r="X79" s="2922"/>
      <c r="Y79" s="2922"/>
      <c r="Z79" s="2922"/>
      <c r="AA79" s="2922"/>
      <c r="AB79" s="2922"/>
      <c r="AC79" s="2922"/>
    </row>
    <row r="80" spans="1:29" ht="15.75" thickTop="1">
      <c r="A80" s="491"/>
      <c r="B80" s="495" t="s">
        <v>2363</v>
      </c>
      <c r="C80" s="535" t="s">
        <v>2357</v>
      </c>
      <c r="D80" s="535" t="s">
        <v>2358</v>
      </c>
      <c r="E80" s="535" t="s">
        <v>2359</v>
      </c>
      <c r="F80" s="535" t="s">
        <v>2360</v>
      </c>
      <c r="G80" s="535" t="s">
        <v>2361</v>
      </c>
      <c r="H80" s="496"/>
      <c r="I80" s="496"/>
      <c r="J80" s="496"/>
      <c r="K80" s="497"/>
      <c r="L80" s="498"/>
      <c r="M80" s="499"/>
      <c r="N80" s="2950"/>
      <c r="O80" s="2950"/>
      <c r="P80" s="2941"/>
      <c r="Q80" s="2936"/>
      <c r="R80" s="2922"/>
      <c r="S80" s="2922"/>
      <c r="T80" s="2922"/>
      <c r="U80" s="2922"/>
      <c r="V80" s="2922"/>
      <c r="W80" s="2922"/>
      <c r="X80" s="2922"/>
      <c r="Y80" s="2922"/>
      <c r="Z80" s="2922"/>
      <c r="AA80" s="2922"/>
      <c r="AB80" s="2922"/>
      <c r="AC80" s="2922"/>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1"/>
      <c r="O81" s="2951"/>
      <c r="P81" s="2941"/>
      <c r="Q81" s="2936"/>
      <c r="R81" s="2922"/>
      <c r="S81" s="2922"/>
      <c r="T81" s="2922"/>
      <c r="U81" s="2922"/>
      <c r="V81" s="2922"/>
      <c r="W81" s="2922"/>
      <c r="X81" s="2922"/>
      <c r="Y81" s="2922"/>
      <c r="Z81" s="2922"/>
      <c r="AA81" s="2922"/>
      <c r="AB81" s="2922"/>
      <c r="AC81" s="2922"/>
    </row>
    <row r="82" spans="1:29" ht="15.75" thickTop="1">
      <c r="A82" s="491"/>
      <c r="B82" s="503" t="s">
        <v>2415</v>
      </c>
      <c r="C82" s="616" t="s">
        <v>2435</v>
      </c>
      <c r="D82" s="616" t="s">
        <v>2436</v>
      </c>
      <c r="E82" s="616" t="s">
        <v>2437</v>
      </c>
      <c r="F82" s="616" t="s">
        <v>2438</v>
      </c>
      <c r="G82" s="616" t="s">
        <v>2439</v>
      </c>
      <c r="H82" s="496"/>
      <c r="I82" s="496"/>
      <c r="J82" s="496"/>
      <c r="K82" s="496"/>
      <c r="L82" s="496"/>
      <c r="M82" s="1263"/>
      <c r="N82" s="2951"/>
      <c r="O82" s="2951"/>
      <c r="P82" s="2941"/>
      <c r="Q82" s="2936"/>
      <c r="R82" s="2922"/>
      <c r="S82" s="2922"/>
      <c r="T82" s="2922"/>
      <c r="U82" s="2922"/>
      <c r="V82" s="2922"/>
      <c r="W82" s="2922"/>
      <c r="X82" s="2922"/>
      <c r="Y82" s="2922"/>
      <c r="Z82" s="2922"/>
      <c r="AA82" s="2922"/>
      <c r="AB82" s="2922"/>
      <c r="AC82" s="2922"/>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1"/>
      <c r="O83" s="2951"/>
      <c r="P83" s="2941"/>
      <c r="Q83" s="2936"/>
      <c r="R83" s="2922"/>
      <c r="S83" s="2922"/>
      <c r="T83" s="2922"/>
      <c r="U83" s="2922"/>
      <c r="V83" s="2922"/>
      <c r="W83" s="2922"/>
      <c r="X83" s="2922"/>
      <c r="Y83" s="2922"/>
      <c r="Z83" s="2922"/>
      <c r="AA83" s="2922"/>
      <c r="AB83" s="2922"/>
      <c r="AC83" s="2922"/>
    </row>
    <row r="84" spans="1:29" ht="15.75" thickTop="1">
      <c r="A84" s="491"/>
      <c r="B84" s="495" t="s">
        <v>2369</v>
      </c>
      <c r="C84" s="535" t="s">
        <v>2357</v>
      </c>
      <c r="D84" s="535" t="s">
        <v>2358</v>
      </c>
      <c r="E84" s="535" t="s">
        <v>2359</v>
      </c>
      <c r="F84" s="535" t="s">
        <v>2360</v>
      </c>
      <c r="G84" s="535" t="s">
        <v>2361</v>
      </c>
      <c r="H84" s="496"/>
      <c r="I84" s="496"/>
      <c r="J84" s="496"/>
      <c r="K84" s="497"/>
      <c r="L84" s="498"/>
      <c r="M84" s="499"/>
      <c r="N84" s="2950"/>
      <c r="O84" s="2950"/>
      <c r="P84" s="2941"/>
      <c r="Q84" s="2936"/>
      <c r="R84" s="2922"/>
      <c r="S84" s="2922"/>
      <c r="T84" s="2922"/>
      <c r="U84" s="2922"/>
      <c r="V84" s="2922"/>
      <c r="W84" s="2922"/>
      <c r="X84" s="2922"/>
      <c r="Y84" s="2922"/>
      <c r="Z84" s="2922"/>
      <c r="AA84" s="2922"/>
      <c r="AB84" s="2922"/>
      <c r="AC84" s="2922"/>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1"/>
      <c r="O85" s="2951"/>
      <c r="P85" s="2941"/>
      <c r="Q85" s="2936"/>
      <c r="R85" s="2922"/>
      <c r="S85" s="2922"/>
      <c r="T85" s="2922"/>
      <c r="U85" s="2922"/>
      <c r="V85" s="2922"/>
      <c r="W85" s="2922"/>
      <c r="X85" s="2922"/>
      <c r="Y85" s="2922"/>
      <c r="Z85" s="2922"/>
      <c r="AA85" s="2922"/>
      <c r="AB85" s="2922"/>
      <c r="AC85" s="2922"/>
    </row>
    <row r="86" spans="1:29" s="113" customFormat="1" ht="15.75" thickTop="1">
      <c r="A86" s="536"/>
      <c r="B86" s="495" t="s">
        <v>2440</v>
      </c>
      <c r="C86" s="511"/>
      <c r="D86" s="511"/>
      <c r="E86" s="511"/>
      <c r="F86" s="511"/>
      <c r="G86" s="511"/>
      <c r="H86" s="511"/>
      <c r="I86" s="511"/>
      <c r="J86" s="511"/>
      <c r="K86" s="511"/>
      <c r="L86" s="537"/>
      <c r="M86" s="538"/>
      <c r="N86" s="2949"/>
      <c r="O86" s="2949"/>
      <c r="P86" s="2941"/>
      <c r="Q86" s="2936"/>
      <c r="R86" s="2856"/>
      <c r="S86" s="2856"/>
      <c r="T86" s="2856"/>
      <c r="U86" s="2856"/>
      <c r="V86" s="2856"/>
      <c r="W86" s="2856"/>
      <c r="X86" s="2856"/>
      <c r="Y86" s="2856"/>
      <c r="Z86" s="2856"/>
      <c r="AA86" s="2856"/>
      <c r="AB86" s="2856"/>
      <c r="AC86" s="2856"/>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1"/>
      <c r="O87" s="2951"/>
      <c r="P87" s="2941"/>
      <c r="Q87" s="2936"/>
      <c r="R87" s="2856"/>
      <c r="S87" s="2856"/>
      <c r="T87" s="2856"/>
      <c r="U87" s="2856"/>
      <c r="V87" s="2856"/>
      <c r="W87" s="2856"/>
      <c r="X87" s="2856"/>
      <c r="Y87" s="2856"/>
      <c r="Z87" s="2856"/>
      <c r="AA87" s="2856"/>
      <c r="AB87" s="2856"/>
      <c r="AC87" s="2856"/>
    </row>
    <row r="88" spans="1:29" s="113" customFormat="1" ht="15.75" thickTop="1">
      <c r="A88" s="536"/>
      <c r="B88" s="495" t="str">
        <f>B26</f>
        <v>平面位置/可视性</v>
      </c>
      <c r="C88" s="511"/>
      <c r="D88" s="511"/>
      <c r="E88" s="511"/>
      <c r="F88" s="2083"/>
      <c r="G88" s="511"/>
      <c r="H88" s="511"/>
      <c r="I88" s="511"/>
      <c r="J88" s="511"/>
      <c r="K88" s="511"/>
      <c r="L88" s="511"/>
      <c r="M88" s="538"/>
      <c r="N88" s="2949"/>
      <c r="O88" s="2949"/>
      <c r="P88" s="2941"/>
      <c r="Q88" s="2936"/>
      <c r="R88" s="2856"/>
      <c r="S88" s="2856"/>
      <c r="T88" s="2856"/>
      <c r="U88" s="2856"/>
      <c r="V88" s="2856"/>
      <c r="W88" s="2856"/>
      <c r="X88" s="2856"/>
      <c r="Y88" s="2856"/>
      <c r="Z88" s="2856"/>
      <c r="AA88" s="2856"/>
      <c r="AB88" s="2856"/>
      <c r="AC88" s="2856"/>
    </row>
    <row r="89" spans="1:29" s="113" customFormat="1" ht="15.75" thickBot="1">
      <c r="A89" s="536"/>
      <c r="B89" s="500"/>
      <c r="C89" s="517"/>
      <c r="D89" s="493"/>
      <c r="E89" s="493"/>
      <c r="F89" s="493"/>
      <c r="G89" s="493"/>
      <c r="H89" s="493"/>
      <c r="I89" s="493"/>
      <c r="J89" s="493"/>
      <c r="K89" s="493"/>
      <c r="L89" s="493"/>
      <c r="M89" s="493"/>
      <c r="N89" s="2951"/>
      <c r="O89" s="2951"/>
      <c r="P89" s="2941"/>
      <c r="Q89" s="2936"/>
      <c r="R89" s="2856"/>
      <c r="S89" s="2856"/>
      <c r="T89" s="2856"/>
      <c r="U89" s="2856"/>
      <c r="V89" s="2856"/>
      <c r="W89" s="2856"/>
      <c r="X89" s="2856"/>
      <c r="Y89" s="2856"/>
      <c r="Z89" s="2856"/>
      <c r="AA89" s="2856"/>
      <c r="AB89" s="2856"/>
      <c r="AC89" s="2856"/>
    </row>
    <row r="90" spans="1:29" s="430" customFormat="1" ht="15.75" thickTop="1">
      <c r="A90" s="510"/>
      <c r="B90" s="495" t="str">
        <f>B27</f>
        <v>人流量</v>
      </c>
      <c r="C90" s="511"/>
      <c r="D90" s="511"/>
      <c r="E90" s="511"/>
      <c r="F90" s="511"/>
      <c r="G90" s="511"/>
      <c r="H90" s="512"/>
      <c r="I90" s="512"/>
      <c r="J90" s="512"/>
      <c r="K90" s="512"/>
      <c r="L90" s="513"/>
      <c r="M90" s="514"/>
      <c r="N90" s="2952"/>
      <c r="O90" s="2952"/>
      <c r="P90" s="2942"/>
      <c r="Q90" s="2943"/>
      <c r="R90" s="2944"/>
      <c r="S90" s="2944"/>
      <c r="T90" s="2944"/>
      <c r="U90" s="2944"/>
      <c r="V90" s="2944"/>
      <c r="W90" s="2944"/>
      <c r="X90" s="2944"/>
      <c r="Y90" s="2944"/>
      <c r="Z90" s="2944"/>
      <c r="AA90" s="2944"/>
      <c r="AB90" s="2944"/>
      <c r="AC90" s="2944"/>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2"/>
      <c r="O91" s="2952"/>
      <c r="P91" s="2942"/>
      <c r="Q91" s="2943"/>
      <c r="R91" s="2944"/>
      <c r="S91" s="2944"/>
      <c r="T91" s="2944"/>
      <c r="U91" s="2944"/>
      <c r="V91" s="2944"/>
      <c r="W91" s="2944"/>
      <c r="X91" s="2944"/>
      <c r="Y91" s="2944"/>
      <c r="Z91" s="2944"/>
      <c r="AA91" s="2944"/>
      <c r="AB91" s="2944"/>
      <c r="AC91" s="2944"/>
    </row>
    <row r="92" spans="1:29" ht="15.75" thickTop="1">
      <c r="A92" s="491"/>
      <c r="B92" s="495" t="str">
        <f>B28</f>
        <v>楼层</v>
      </c>
      <c r="C92" s="511"/>
      <c r="D92" s="511"/>
      <c r="E92" s="511"/>
      <c r="F92" s="511"/>
      <c r="G92" s="511"/>
      <c r="H92" s="511"/>
      <c r="I92" s="511"/>
      <c r="J92" s="511"/>
      <c r="K92" s="511"/>
      <c r="L92" s="537"/>
      <c r="M92" s="538"/>
      <c r="N92" s="2950"/>
      <c r="O92" s="2950"/>
      <c r="P92" s="2941"/>
      <c r="Q92" s="2936"/>
      <c r="R92" s="2922"/>
      <c r="S92" s="2922"/>
      <c r="T92" s="2922"/>
      <c r="U92" s="2922"/>
      <c r="V92" s="2922"/>
      <c r="W92" s="2922"/>
      <c r="X92" s="2922"/>
      <c r="Y92" s="2922"/>
      <c r="Z92" s="2922"/>
      <c r="AA92" s="2922"/>
      <c r="AB92" s="2922"/>
      <c r="AC92" s="2922"/>
    </row>
    <row r="93" spans="1:29" ht="15.75" thickBot="1">
      <c r="A93" s="491"/>
      <c r="B93" s="500"/>
      <c r="C93" s="493"/>
      <c r="D93" s="493"/>
      <c r="E93" s="493"/>
      <c r="F93" s="493"/>
      <c r="G93" s="493"/>
      <c r="H93" s="493"/>
      <c r="I93" s="493"/>
      <c r="J93" s="493"/>
      <c r="K93" s="493"/>
      <c r="L93" s="493"/>
      <c r="M93" s="494"/>
      <c r="N93" s="2951"/>
      <c r="O93" s="2951"/>
      <c r="P93" s="2941"/>
      <c r="Q93" s="2936"/>
      <c r="R93" s="2922"/>
      <c r="S93" s="2922"/>
      <c r="T93" s="2922"/>
      <c r="U93" s="2922"/>
      <c r="V93" s="2922"/>
      <c r="W93" s="2922"/>
      <c r="X93" s="2922"/>
      <c r="Y93" s="2922"/>
      <c r="Z93" s="2922"/>
      <c r="AA93" s="2922"/>
      <c r="AB93" s="2922"/>
      <c r="AC93" s="2922"/>
    </row>
    <row r="94" spans="1:29" ht="15.75" thickTop="1">
      <c r="A94" s="491"/>
      <c r="B94" s="495">
        <f>B29</f>
        <v>111</v>
      </c>
      <c r="C94" s="511"/>
      <c r="D94" s="511"/>
      <c r="E94" s="511"/>
      <c r="F94" s="511"/>
      <c r="G94" s="540"/>
      <c r="H94" s="540"/>
      <c r="I94" s="540"/>
      <c r="J94" s="540"/>
      <c r="K94" s="541"/>
      <c r="L94" s="542"/>
      <c r="M94" s="543"/>
      <c r="N94" s="2950"/>
      <c r="O94" s="2950"/>
      <c r="P94" s="2941"/>
      <c r="Q94" s="2936"/>
      <c r="R94" s="2922"/>
      <c r="S94" s="2922"/>
      <c r="T94" s="2922"/>
      <c r="U94" s="2922"/>
      <c r="V94" s="2922"/>
      <c r="W94" s="2922"/>
      <c r="X94" s="2922"/>
      <c r="Y94" s="2922"/>
      <c r="Z94" s="2922"/>
      <c r="AA94" s="2922"/>
      <c r="AB94" s="2922"/>
      <c r="AC94" s="2922"/>
    </row>
    <row r="95" spans="1:29" ht="15.75" thickBot="1">
      <c r="A95" s="491"/>
      <c r="B95" s="500"/>
      <c r="C95" s="517"/>
      <c r="D95" s="493"/>
      <c r="E95" s="493"/>
      <c r="F95" s="493"/>
      <c r="G95" s="493"/>
      <c r="H95" s="493"/>
      <c r="I95" s="493"/>
      <c r="J95" s="493"/>
      <c r="K95" s="493"/>
      <c r="L95" s="493"/>
      <c r="M95" s="494"/>
      <c r="N95" s="2951"/>
      <c r="O95" s="2951"/>
      <c r="P95" s="2941"/>
      <c r="Q95" s="2936"/>
      <c r="R95" s="2922"/>
      <c r="S95" s="2922"/>
      <c r="T95" s="2922"/>
      <c r="U95" s="2922"/>
      <c r="V95" s="2922"/>
      <c r="W95" s="2922"/>
      <c r="X95" s="2922"/>
      <c r="Y95" s="2922"/>
      <c r="Z95" s="2922"/>
      <c r="AA95" s="2922"/>
      <c r="AB95" s="2922"/>
      <c r="AC95" s="2922"/>
    </row>
    <row r="96" spans="1:29" ht="15.75" thickTop="1">
      <c r="A96" s="491"/>
      <c r="B96" s="495">
        <f>B30</f>
        <v>111</v>
      </c>
      <c r="C96" s="511"/>
      <c r="D96" s="511"/>
      <c r="E96" s="511"/>
      <c r="F96" s="511"/>
      <c r="G96" s="540"/>
      <c r="H96" s="540"/>
      <c r="I96" s="540"/>
      <c r="J96" s="540"/>
      <c r="K96" s="541"/>
      <c r="L96" s="542"/>
      <c r="M96" s="543"/>
      <c r="N96" s="2950"/>
      <c r="O96" s="2950"/>
      <c r="P96" s="2941"/>
      <c r="Q96" s="2936"/>
      <c r="R96" s="2922"/>
      <c r="S96" s="2922"/>
      <c r="T96" s="2922"/>
      <c r="U96" s="2922"/>
      <c r="V96" s="2922"/>
      <c r="W96" s="2922"/>
      <c r="X96" s="2922"/>
      <c r="Y96" s="2922"/>
      <c r="Z96" s="2922"/>
      <c r="AA96" s="2922"/>
      <c r="AB96" s="2922"/>
      <c r="AC96" s="2922"/>
    </row>
    <row r="97" spans="1:29" ht="15.75" thickBot="1">
      <c r="A97" s="491"/>
      <c r="B97" s="500"/>
      <c r="C97" s="517"/>
      <c r="D97" s="493"/>
      <c r="E97" s="493"/>
      <c r="F97" s="493"/>
      <c r="G97" s="493"/>
      <c r="H97" s="493"/>
      <c r="I97" s="493"/>
      <c r="J97" s="493"/>
      <c r="K97" s="493"/>
      <c r="L97" s="493"/>
      <c r="M97" s="494"/>
      <c r="N97" s="2951"/>
      <c r="O97" s="2951"/>
      <c r="P97" s="2941"/>
      <c r="Q97" s="2936"/>
      <c r="R97" s="2922"/>
      <c r="S97" s="2922"/>
      <c r="T97" s="2922"/>
      <c r="U97" s="2922"/>
      <c r="V97" s="2922"/>
      <c r="W97" s="2922"/>
      <c r="X97" s="2922"/>
      <c r="Y97" s="2922"/>
      <c r="Z97" s="2922"/>
      <c r="AA97" s="2922"/>
      <c r="AB97" s="2922"/>
      <c r="AC97" s="2922"/>
    </row>
    <row r="98" spans="1:29" ht="15.75" thickTop="1">
      <c r="A98" s="491"/>
      <c r="B98" s="503">
        <f>B31</f>
        <v>111</v>
      </c>
      <c r="C98" s="511"/>
      <c r="D98" s="511"/>
      <c r="E98" s="511"/>
      <c r="F98" s="511"/>
      <c r="G98" s="544"/>
      <c r="H98" s="544"/>
      <c r="I98" s="544"/>
      <c r="J98" s="544"/>
      <c r="K98" s="545"/>
      <c r="L98" s="546"/>
      <c r="M98" s="547"/>
      <c r="N98" s="2950"/>
      <c r="O98" s="2950"/>
      <c r="P98" s="2941"/>
      <c r="Q98" s="2936"/>
      <c r="R98" s="2922"/>
      <c r="S98" s="2922"/>
      <c r="T98" s="2922"/>
      <c r="U98" s="2922"/>
      <c r="V98" s="2922"/>
      <c r="W98" s="2922"/>
      <c r="X98" s="2922"/>
      <c r="Y98" s="2922"/>
      <c r="Z98" s="2922"/>
      <c r="AA98" s="2922"/>
      <c r="AB98" s="2922"/>
      <c r="AC98" s="2922"/>
    </row>
    <row r="99" spans="1:29" ht="15.75" thickBot="1">
      <c r="A99" s="2084"/>
      <c r="B99" s="526"/>
      <c r="C99" s="527"/>
      <c r="D99" s="527"/>
      <c r="E99" s="527"/>
      <c r="F99" s="527"/>
      <c r="G99" s="548"/>
      <c r="H99" s="548"/>
      <c r="I99" s="548"/>
      <c r="J99" s="548"/>
      <c r="K99" s="548"/>
      <c r="L99" s="548"/>
      <c r="M99" s="549"/>
      <c r="N99" s="2951"/>
      <c r="O99" s="2951"/>
      <c r="P99" s="2941"/>
      <c r="Q99" s="2936"/>
      <c r="R99" s="2922"/>
      <c r="S99" s="2922"/>
      <c r="T99" s="2922"/>
      <c r="U99" s="2922"/>
      <c r="V99" s="2922"/>
      <c r="W99" s="2922"/>
      <c r="X99" s="2922"/>
      <c r="Y99" s="2922"/>
      <c r="Z99" s="2922"/>
      <c r="AA99" s="2922"/>
      <c r="AB99" s="2922"/>
      <c r="AC99" s="2922"/>
    </row>
    <row r="100" spans="1:29">
      <c r="A100" s="484" t="s">
        <v>2323</v>
      </c>
      <c r="B100" s="485" t="s">
        <v>2441</v>
      </c>
      <c r="C100" s="487"/>
      <c r="D100" s="487"/>
      <c r="E100" s="487"/>
      <c r="F100" s="487"/>
      <c r="G100" s="487"/>
      <c r="H100" s="487"/>
      <c r="I100" s="487"/>
      <c r="J100" s="487"/>
      <c r="K100" s="488"/>
      <c r="L100" s="489"/>
      <c r="M100" s="490"/>
      <c r="N100" s="2950"/>
      <c r="O100" s="2950"/>
      <c r="P100" s="2941"/>
      <c r="Q100" s="2936"/>
      <c r="R100" s="2922"/>
      <c r="S100" s="2922"/>
      <c r="T100" s="2922"/>
      <c r="U100" s="2922"/>
      <c r="V100" s="2922"/>
      <c r="W100" s="2922"/>
      <c r="X100" s="2922"/>
      <c r="Y100" s="2922"/>
      <c r="Z100" s="2922"/>
      <c r="AA100" s="2922"/>
      <c r="AB100" s="2922"/>
      <c r="AC100" s="2922"/>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1"/>
      <c r="O101" s="2951"/>
      <c r="P101" s="2941"/>
      <c r="Q101" s="2936"/>
      <c r="R101" s="2922"/>
      <c r="S101" s="2922"/>
      <c r="T101" s="2922"/>
      <c r="U101" s="2922"/>
      <c r="V101" s="2922"/>
      <c r="W101" s="2922"/>
      <c r="X101" s="2922"/>
      <c r="Y101" s="2922"/>
      <c r="Z101" s="2922"/>
      <c r="AA101" s="2922"/>
      <c r="AB101" s="2922"/>
      <c r="AC101" s="2922"/>
    </row>
    <row r="102" spans="1:29" ht="15.75" thickTop="1">
      <c r="A102" s="491"/>
      <c r="B102" s="495" t="s">
        <v>2373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49"/>
      <c r="O102" s="2949"/>
      <c r="P102" s="2941"/>
      <c r="Q102" s="2936"/>
      <c r="R102" s="2922"/>
      <c r="S102" s="2922"/>
      <c r="T102" s="2922"/>
      <c r="U102" s="2922"/>
      <c r="V102" s="2922"/>
      <c r="W102" s="2922"/>
      <c r="X102" s="2922"/>
      <c r="Y102" s="2922"/>
      <c r="Z102" s="2922"/>
      <c r="AA102" s="2922"/>
      <c r="AB102" s="2922"/>
      <c r="AC102" s="2922"/>
    </row>
    <row r="103" spans="1:29" s="430" customFormat="1">
      <c r="A103" s="550"/>
      <c r="B103" s="551"/>
      <c r="C103" s="552"/>
      <c r="D103" s="552"/>
      <c r="E103" s="552"/>
      <c r="F103" s="552"/>
      <c r="G103" s="552"/>
      <c r="H103" s="552"/>
      <c r="I103" s="552"/>
      <c r="J103" s="553"/>
      <c r="K103" s="553"/>
      <c r="L103" s="554"/>
      <c r="M103" s="555"/>
      <c r="N103" s="2952"/>
      <c r="O103" s="2952"/>
      <c r="P103" s="2942"/>
      <c r="Q103" s="2943"/>
      <c r="R103" s="2944"/>
      <c r="S103" s="2944"/>
      <c r="T103" s="2944"/>
      <c r="U103" s="2944"/>
      <c r="V103" s="2944"/>
      <c r="W103" s="2944"/>
      <c r="X103" s="2944"/>
      <c r="Y103" s="2944"/>
      <c r="Z103" s="2944"/>
      <c r="AA103" s="2944"/>
      <c r="AB103" s="2944"/>
      <c r="AC103" s="2944"/>
    </row>
    <row r="104" spans="1:29" s="430" customFormat="1" ht="15.75" thickBot="1">
      <c r="A104" s="510"/>
      <c r="B104" s="500"/>
      <c r="C104" s="517"/>
      <c r="D104" s="493"/>
      <c r="E104" s="493"/>
      <c r="F104" s="493"/>
      <c r="G104" s="493"/>
      <c r="H104" s="493"/>
      <c r="I104" s="493"/>
      <c r="J104" s="493"/>
      <c r="K104" s="493"/>
      <c r="L104" s="493"/>
      <c r="M104" s="494"/>
      <c r="N104" s="2951"/>
      <c r="O104" s="2951"/>
      <c r="P104" s="2942"/>
      <c r="Q104" s="2943"/>
      <c r="R104" s="2944"/>
      <c r="S104" s="2944"/>
      <c r="T104" s="2944"/>
      <c r="U104" s="2944"/>
      <c r="V104" s="2944"/>
      <c r="W104" s="2944"/>
      <c r="X104" s="2944"/>
      <c r="Y104" s="2944"/>
      <c r="Z104" s="2944"/>
      <c r="AA104" s="2944"/>
      <c r="AB104" s="2944"/>
      <c r="AC104" s="2944"/>
    </row>
    <row r="105" spans="1:29" ht="15" thickTop="1">
      <c r="A105" s="556"/>
      <c r="B105" s="495" t="s">
        <v>2374</v>
      </c>
      <c r="C105" s="511"/>
      <c r="D105" s="511"/>
      <c r="E105" s="540"/>
      <c r="F105" s="540"/>
      <c r="G105" s="540"/>
      <c r="H105" s="540"/>
      <c r="I105" s="540"/>
      <c r="J105" s="540"/>
      <c r="K105" s="541"/>
      <c r="L105" s="542"/>
      <c r="M105" s="543"/>
      <c r="N105" s="2950"/>
      <c r="O105" s="2950"/>
      <c r="P105" s="2941"/>
      <c r="Q105" s="2936"/>
      <c r="R105" s="2922"/>
      <c r="S105" s="2922"/>
      <c r="T105" s="2922"/>
      <c r="U105" s="2922"/>
      <c r="V105" s="2922"/>
      <c r="W105" s="2922"/>
      <c r="X105" s="2922"/>
      <c r="Y105" s="2922"/>
      <c r="Z105" s="2922"/>
      <c r="AA105" s="2922"/>
      <c r="AB105" s="2922"/>
      <c r="AC105" s="2922"/>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1"/>
      <c r="O106" s="2951"/>
      <c r="P106" s="2941"/>
      <c r="Q106" s="2936"/>
      <c r="R106" s="2922"/>
      <c r="S106" s="2922"/>
      <c r="T106" s="2922"/>
      <c r="U106" s="2922"/>
      <c r="V106" s="2922"/>
      <c r="W106" s="2922"/>
      <c r="X106" s="2922"/>
      <c r="Y106" s="2922"/>
      <c r="Z106" s="2922"/>
      <c r="AA106" s="2922"/>
      <c r="AB106" s="2922"/>
      <c r="AC106" s="2922"/>
    </row>
    <row r="107" spans="1:29" ht="15" thickTop="1">
      <c r="A107" s="556"/>
      <c r="B107" s="495" t="s">
        <v>2376</v>
      </c>
      <c r="C107" s="511"/>
      <c r="D107" s="511"/>
      <c r="E107" s="511"/>
      <c r="F107" s="540"/>
      <c r="G107" s="540"/>
      <c r="H107" s="540"/>
      <c r="I107" s="540"/>
      <c r="J107" s="540"/>
      <c r="K107" s="541"/>
      <c r="L107" s="542"/>
      <c r="M107" s="543"/>
      <c r="N107" s="2950"/>
      <c r="O107" s="2950"/>
      <c r="P107" s="2941"/>
      <c r="Q107" s="2936"/>
      <c r="R107" s="2922"/>
      <c r="S107" s="2922"/>
      <c r="T107" s="2922"/>
      <c r="U107" s="2922"/>
      <c r="V107" s="2922"/>
      <c r="W107" s="2922"/>
      <c r="X107" s="2922"/>
      <c r="Y107" s="2922"/>
      <c r="Z107" s="2922"/>
      <c r="AA107" s="2922"/>
      <c r="AB107" s="2922"/>
      <c r="AC107" s="2922"/>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1"/>
      <c r="O108" s="2951"/>
      <c r="P108" s="2941"/>
      <c r="Q108" s="2936"/>
      <c r="R108" s="2922"/>
      <c r="S108" s="2922"/>
      <c r="T108" s="2922"/>
      <c r="U108" s="2922"/>
      <c r="V108" s="2922"/>
      <c r="W108" s="2922"/>
      <c r="X108" s="2922"/>
      <c r="Y108" s="2922"/>
      <c r="Z108" s="2922"/>
      <c r="AA108" s="2922"/>
      <c r="AB108" s="2922"/>
      <c r="AC108" s="2922"/>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0"/>
      <c r="O109" s="2950"/>
      <c r="P109" s="2941"/>
      <c r="Q109" s="2936"/>
      <c r="R109" s="2922"/>
      <c r="S109" s="2922"/>
      <c r="T109" s="2922"/>
      <c r="U109" s="2922"/>
      <c r="V109" s="2922"/>
      <c r="W109" s="2922"/>
      <c r="X109" s="2922"/>
      <c r="Y109" s="2922"/>
      <c r="Z109" s="2922"/>
      <c r="AA109" s="2922"/>
      <c r="AB109" s="2922"/>
      <c r="AC109" s="2922"/>
    </row>
    <row r="110" spans="1:29">
      <c r="A110" s="556"/>
      <c r="B110" s="503"/>
      <c r="C110" s="560">
        <v>0.5</v>
      </c>
      <c r="D110" s="560">
        <v>0.6</v>
      </c>
      <c r="E110" s="560">
        <v>0.7</v>
      </c>
      <c r="F110" s="560">
        <v>0.8</v>
      </c>
      <c r="G110" s="560">
        <v>0.9</v>
      </c>
      <c r="H110" s="560">
        <v>1.0001</v>
      </c>
      <c r="I110" s="579"/>
      <c r="J110" s="579"/>
      <c r="K110" s="580"/>
      <c r="L110" s="581"/>
      <c r="M110" s="582"/>
      <c r="N110" s="2950"/>
      <c r="O110" s="2950"/>
      <c r="P110" s="2941"/>
      <c r="Q110" s="2936"/>
      <c r="R110" s="2922"/>
      <c r="S110" s="2922"/>
      <c r="T110" s="2922"/>
      <c r="U110" s="2922"/>
      <c r="V110" s="2922"/>
      <c r="W110" s="2922"/>
      <c r="X110" s="2922"/>
      <c r="Y110" s="2922"/>
      <c r="Z110" s="2922"/>
      <c r="AA110" s="2922"/>
      <c r="AB110" s="2922"/>
      <c r="AC110" s="2922"/>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1"/>
      <c r="O111" s="2951"/>
      <c r="P111" s="2941"/>
      <c r="Q111" s="2936"/>
      <c r="R111" s="2922"/>
      <c r="S111" s="2922"/>
      <c r="T111" s="2922"/>
      <c r="U111" s="2922"/>
      <c r="V111" s="2922"/>
      <c r="W111" s="2922"/>
      <c r="X111" s="2922"/>
      <c r="Y111" s="2922"/>
      <c r="Z111" s="2922"/>
      <c r="AA111" s="2922"/>
      <c r="AB111" s="2922"/>
      <c r="AC111" s="2922"/>
    </row>
    <row r="112" spans="1:29" s="430" customFormat="1" ht="15" thickTop="1">
      <c r="A112" s="550"/>
      <c r="B112" s="495" t="s">
        <v>2378</v>
      </c>
      <c r="C112" s="511"/>
      <c r="D112" s="511"/>
      <c r="E112" s="511"/>
      <c r="F112" s="511"/>
      <c r="G112" s="511"/>
      <c r="H112" s="540"/>
      <c r="I112" s="540"/>
      <c r="J112" s="540"/>
      <c r="K112" s="541"/>
      <c r="L112" s="542"/>
      <c r="M112" s="543"/>
      <c r="N112" s="2952"/>
      <c r="O112" s="2952"/>
      <c r="P112" s="2942"/>
      <c r="Q112" s="2943"/>
      <c r="R112" s="2944"/>
      <c r="S112" s="2944"/>
      <c r="T112" s="2944"/>
      <c r="U112" s="2944"/>
      <c r="V112" s="2944"/>
      <c r="W112" s="2944"/>
      <c r="X112" s="2944"/>
      <c r="Y112" s="2944"/>
      <c r="Z112" s="2944"/>
      <c r="AA112" s="2944"/>
      <c r="AB112" s="2944"/>
      <c r="AC112" s="2944"/>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2"/>
      <c r="O113" s="2952"/>
      <c r="P113" s="2942"/>
      <c r="Q113" s="2943"/>
      <c r="R113" s="2944"/>
      <c r="S113" s="2944"/>
      <c r="T113" s="2944"/>
      <c r="U113" s="2944"/>
      <c r="V113" s="2944"/>
      <c r="W113" s="2944"/>
      <c r="X113" s="2944"/>
      <c r="Y113" s="2944"/>
      <c r="Z113" s="2944"/>
      <c r="AA113" s="2944"/>
      <c r="AB113" s="2944"/>
      <c r="AC113" s="2944"/>
    </row>
    <row r="114" spans="1:29" ht="15" thickTop="1">
      <c r="A114" s="556"/>
      <c r="B114" s="495" t="s">
        <v>2442</v>
      </c>
      <c r="C114" s="511"/>
      <c r="D114" s="511"/>
      <c r="E114" s="540"/>
      <c r="F114" s="540"/>
      <c r="G114" s="540"/>
      <c r="H114" s="540"/>
      <c r="I114" s="540"/>
      <c r="J114" s="540"/>
      <c r="K114" s="541"/>
      <c r="L114" s="542"/>
      <c r="M114" s="543"/>
      <c r="N114" s="2950"/>
      <c r="O114" s="2950"/>
      <c r="P114" s="2941"/>
      <c r="Q114" s="2936"/>
      <c r="R114" s="2922"/>
      <c r="S114" s="2922"/>
      <c r="T114" s="2922"/>
      <c r="U114" s="2922"/>
      <c r="V114" s="2922"/>
      <c r="W114" s="2922"/>
      <c r="X114" s="2922"/>
      <c r="Y114" s="2922"/>
      <c r="Z114" s="2922"/>
      <c r="AA114" s="2922"/>
      <c r="AB114" s="2922"/>
      <c r="AC114" s="2922"/>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1"/>
      <c r="O115" s="2951"/>
      <c r="P115" s="2941"/>
      <c r="Q115" s="2936"/>
      <c r="R115" s="2922"/>
      <c r="S115" s="2922"/>
      <c r="T115" s="2922"/>
      <c r="U115" s="2922"/>
      <c r="V115" s="2922"/>
      <c r="W115" s="2922"/>
      <c r="X115" s="2922"/>
      <c r="Y115" s="2922"/>
      <c r="Z115" s="2922"/>
      <c r="AA115" s="2922"/>
      <c r="AB115" s="2922"/>
      <c r="AC115" s="2922"/>
    </row>
    <row r="116" spans="1:29" ht="15" thickTop="1">
      <c r="A116" s="556"/>
      <c r="B116" s="495" t="s">
        <v>2443</v>
      </c>
      <c r="C116" s="511"/>
      <c r="D116" s="511"/>
      <c r="E116" s="511"/>
      <c r="F116" s="511"/>
      <c r="G116" s="511"/>
      <c r="H116" s="540"/>
      <c r="I116" s="540"/>
      <c r="J116" s="540"/>
      <c r="K116" s="541"/>
      <c r="L116" s="542"/>
      <c r="M116" s="543"/>
      <c r="N116" s="2950"/>
      <c r="O116" s="2950"/>
      <c r="P116" s="2941"/>
      <c r="Q116" s="2936"/>
      <c r="R116" s="2922"/>
      <c r="S116" s="2922"/>
      <c r="T116" s="2922"/>
      <c r="U116" s="2922"/>
      <c r="V116" s="2922"/>
      <c r="W116" s="2922"/>
      <c r="X116" s="2922"/>
      <c r="Y116" s="2922"/>
      <c r="Z116" s="2922"/>
      <c r="AA116" s="2922"/>
      <c r="AB116" s="2922"/>
      <c r="AC116" s="2922"/>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1"/>
      <c r="O117" s="2951"/>
      <c r="P117" s="2941"/>
      <c r="Q117" s="2936"/>
      <c r="R117" s="2922"/>
      <c r="S117" s="2922"/>
      <c r="T117" s="2922"/>
      <c r="U117" s="2922"/>
      <c r="V117" s="2922"/>
      <c r="W117" s="2922"/>
      <c r="X117" s="2922"/>
      <c r="Y117" s="2922"/>
      <c r="Z117" s="2922"/>
      <c r="AA117" s="2922"/>
      <c r="AB117" s="2922"/>
      <c r="AC117" s="2922"/>
    </row>
    <row r="118" spans="1:29" ht="15" thickTop="1">
      <c r="A118" s="556"/>
      <c r="B118" s="495" t="s">
        <v>2444</v>
      </c>
      <c r="C118" s="583"/>
      <c r="D118" s="583"/>
      <c r="E118" s="583"/>
      <c r="F118" s="583"/>
      <c r="G118" s="583"/>
      <c r="H118" s="512"/>
      <c r="I118" s="512"/>
      <c r="J118" s="512"/>
      <c r="K118" s="512"/>
      <c r="L118" s="513"/>
      <c r="M118" s="514"/>
      <c r="N118" s="2950"/>
      <c r="O118" s="2950"/>
      <c r="P118" s="2941"/>
      <c r="Q118" s="2936"/>
      <c r="R118" s="2922"/>
      <c r="S118" s="2922"/>
      <c r="T118" s="2922"/>
      <c r="U118" s="2922"/>
      <c r="V118" s="2922"/>
      <c r="W118" s="2922"/>
      <c r="X118" s="2922"/>
      <c r="Y118" s="2922"/>
      <c r="Z118" s="2922"/>
      <c r="AA118" s="2922"/>
      <c r="AB118" s="2922"/>
      <c r="AC118" s="2922"/>
    </row>
    <row r="119" spans="1:29" ht="15.75" thickBot="1">
      <c r="A119" s="491"/>
      <c r="B119" s="500"/>
      <c r="C119" s="517"/>
      <c r="D119" s="493"/>
      <c r="E119" s="493"/>
      <c r="F119" s="493"/>
      <c r="G119" s="493"/>
      <c r="H119" s="493"/>
      <c r="I119" s="493"/>
      <c r="J119" s="493"/>
      <c r="K119" s="493"/>
      <c r="L119" s="493"/>
      <c r="M119" s="494"/>
      <c r="N119" s="2951"/>
      <c r="O119" s="2951"/>
      <c r="P119" s="2941"/>
      <c r="Q119" s="2936"/>
      <c r="R119" s="2922"/>
      <c r="S119" s="2922"/>
      <c r="T119" s="2922"/>
      <c r="U119" s="2922"/>
      <c r="V119" s="2922"/>
      <c r="W119" s="2922"/>
      <c r="X119" s="2922"/>
      <c r="Y119" s="2922"/>
      <c r="Z119" s="2922"/>
      <c r="AA119" s="2922"/>
      <c r="AB119" s="2922"/>
      <c r="AC119" s="2922"/>
    </row>
    <row r="120" spans="1:29" s="430" customFormat="1" ht="15" thickTop="1">
      <c r="A120" s="550"/>
      <c r="B120" s="495" t="s">
        <v>2445</v>
      </c>
      <c r="C120" s="540"/>
      <c r="D120" s="540"/>
      <c r="E120" s="540"/>
      <c r="F120" s="540"/>
      <c r="G120" s="512"/>
      <c r="H120" s="512"/>
      <c r="I120" s="512"/>
      <c r="J120" s="512"/>
      <c r="K120" s="512"/>
      <c r="L120" s="513"/>
      <c r="M120" s="514"/>
      <c r="N120" s="2952"/>
      <c r="O120" s="2952"/>
      <c r="P120" s="2942"/>
      <c r="Q120" s="2943"/>
      <c r="R120" s="2944"/>
      <c r="S120" s="2944"/>
      <c r="T120" s="2944"/>
      <c r="U120" s="2944"/>
      <c r="V120" s="2944"/>
      <c r="W120" s="2944"/>
      <c r="X120" s="2944"/>
      <c r="Y120" s="2944"/>
      <c r="Z120" s="2944"/>
      <c r="AA120" s="2944"/>
      <c r="AB120" s="2944"/>
      <c r="AC120" s="2944"/>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2"/>
      <c r="O121" s="2952"/>
      <c r="P121" s="2942"/>
      <c r="Q121" s="2943"/>
      <c r="R121" s="2944"/>
      <c r="S121" s="2944"/>
      <c r="T121" s="2944"/>
      <c r="U121" s="2944"/>
      <c r="V121" s="2944"/>
      <c r="W121" s="2944"/>
      <c r="X121" s="2944"/>
      <c r="Y121" s="2944"/>
      <c r="Z121" s="2944"/>
      <c r="AA121" s="2944"/>
      <c r="AB121" s="2944"/>
      <c r="AC121" s="2944"/>
    </row>
    <row r="122" spans="1:29" ht="15" thickTop="1">
      <c r="A122" s="556"/>
      <c r="B122" s="495" t="s">
        <v>2380</v>
      </c>
      <c r="C122" s="511"/>
      <c r="D122" s="511"/>
      <c r="E122" s="511"/>
      <c r="F122" s="540"/>
      <c r="G122" s="540"/>
      <c r="H122" s="540"/>
      <c r="I122" s="540"/>
      <c r="J122" s="540"/>
      <c r="K122" s="541"/>
      <c r="L122" s="542"/>
      <c r="M122" s="543"/>
      <c r="N122" s="2950"/>
      <c r="O122" s="2950"/>
      <c r="P122" s="2941"/>
      <c r="Q122" s="2936"/>
      <c r="R122" s="2922"/>
      <c r="S122" s="2922"/>
      <c r="T122" s="2922"/>
      <c r="U122" s="2922"/>
      <c r="V122" s="2922"/>
      <c r="W122" s="2922"/>
      <c r="X122" s="2922"/>
      <c r="Y122" s="2922"/>
      <c r="Z122" s="2922"/>
      <c r="AA122" s="2922"/>
      <c r="AB122" s="2922"/>
      <c r="AC122" s="2922"/>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1"/>
      <c r="O123" s="2951"/>
      <c r="P123" s="2941"/>
      <c r="Q123" s="2936"/>
      <c r="R123" s="2922"/>
      <c r="S123" s="2922"/>
      <c r="T123" s="2922"/>
      <c r="U123" s="2922"/>
      <c r="V123" s="2922"/>
      <c r="W123" s="2922"/>
      <c r="X123" s="2922"/>
      <c r="Y123" s="2922"/>
      <c r="Z123" s="2922"/>
      <c r="AA123" s="2922"/>
      <c r="AB123" s="2922"/>
      <c r="AC123" s="2922"/>
    </row>
    <row r="124" spans="1:29" ht="15" thickTop="1">
      <c r="A124" s="556"/>
      <c r="B124" s="495" t="s">
        <v>2381</v>
      </c>
      <c r="C124" s="535" t="s">
        <v>2357</v>
      </c>
      <c r="D124" s="535" t="s">
        <v>2358</v>
      </c>
      <c r="E124" s="535" t="s">
        <v>2359</v>
      </c>
      <c r="F124" s="535" t="s">
        <v>2360</v>
      </c>
      <c r="G124" s="535" t="s">
        <v>2361</v>
      </c>
      <c r="H124" s="496"/>
      <c r="I124" s="496"/>
      <c r="J124" s="496"/>
      <c r="K124" s="497"/>
      <c r="L124" s="498"/>
      <c r="M124" s="499"/>
      <c r="N124" s="2950"/>
      <c r="O124" s="2950"/>
      <c r="P124" s="2942"/>
      <c r="Q124" s="2936"/>
      <c r="R124" s="2922"/>
      <c r="S124" s="2922"/>
      <c r="T124" s="2922"/>
      <c r="U124" s="2922"/>
      <c r="V124" s="2922"/>
      <c r="W124" s="2922"/>
      <c r="X124" s="2922"/>
      <c r="Y124" s="2922"/>
      <c r="Z124" s="2922"/>
      <c r="AA124" s="2922"/>
      <c r="AB124" s="2922"/>
      <c r="AC124" s="2922"/>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1"/>
      <c r="O125" s="2951"/>
      <c r="P125" s="2941"/>
      <c r="Q125" s="2936"/>
      <c r="R125" s="2922"/>
      <c r="S125" s="2922"/>
      <c r="T125" s="2922"/>
      <c r="U125" s="2922"/>
      <c r="V125" s="2922"/>
      <c r="W125" s="2922"/>
      <c r="X125" s="2922"/>
      <c r="Y125" s="2922"/>
      <c r="Z125" s="2922"/>
      <c r="AA125" s="2922"/>
      <c r="AB125" s="2922"/>
      <c r="AC125" s="2922"/>
    </row>
    <row r="126" spans="1:29" s="430" customFormat="1" ht="15" thickTop="1">
      <c r="A126" s="550"/>
      <c r="B126" s="495">
        <f>B44</f>
        <v>111</v>
      </c>
      <c r="C126" s="511"/>
      <c r="D126" s="511"/>
      <c r="E126" s="511"/>
      <c r="F126" s="511"/>
      <c r="G126" s="511"/>
      <c r="H126" s="512"/>
      <c r="I126" s="512"/>
      <c r="J126" s="512"/>
      <c r="K126" s="512"/>
      <c r="L126" s="513"/>
      <c r="M126" s="514"/>
      <c r="N126" s="2952"/>
      <c r="O126" s="2952"/>
      <c r="P126" s="2942"/>
      <c r="Q126" s="2943"/>
      <c r="R126" s="2944"/>
      <c r="S126" s="2944"/>
      <c r="T126" s="2944"/>
      <c r="U126" s="2944"/>
      <c r="V126" s="2944"/>
      <c r="W126" s="2944"/>
      <c r="X126" s="2944"/>
      <c r="Y126" s="2944"/>
      <c r="Z126" s="2944"/>
      <c r="AA126" s="2944"/>
      <c r="AB126" s="2944"/>
      <c r="AC126" s="2944"/>
    </row>
    <row r="127" spans="1:29" s="430" customFormat="1" ht="15.75" thickBot="1">
      <c r="A127" s="510"/>
      <c r="B127" s="500"/>
      <c r="C127" s="517"/>
      <c r="D127" s="493"/>
      <c r="E127" s="493"/>
      <c r="F127" s="493"/>
      <c r="G127" s="517"/>
      <c r="H127" s="519"/>
      <c r="I127" s="519"/>
      <c r="J127" s="519"/>
      <c r="K127" s="519"/>
      <c r="L127" s="519"/>
      <c r="M127" s="520"/>
      <c r="N127" s="2952"/>
      <c r="O127" s="2952"/>
      <c r="P127" s="2942"/>
      <c r="Q127" s="2943"/>
      <c r="R127" s="2944"/>
      <c r="S127" s="2944"/>
      <c r="T127" s="2944"/>
      <c r="U127" s="2944"/>
      <c r="V127" s="2944"/>
      <c r="W127" s="2944"/>
      <c r="X127" s="2944"/>
      <c r="Y127" s="2944"/>
      <c r="Z127" s="2944"/>
      <c r="AA127" s="2944"/>
      <c r="AB127" s="2944"/>
      <c r="AC127" s="2944"/>
    </row>
    <row r="128" spans="1:29" ht="15" thickTop="1">
      <c r="A128" s="556"/>
      <c r="B128" s="495">
        <f>B45</f>
        <v>111</v>
      </c>
      <c r="C128" s="511"/>
      <c r="D128" s="511"/>
      <c r="E128" s="511"/>
      <c r="F128" s="511"/>
      <c r="G128" s="540"/>
      <c r="H128" s="540"/>
      <c r="I128" s="540"/>
      <c r="J128" s="540"/>
      <c r="K128" s="541"/>
      <c r="L128" s="542"/>
      <c r="M128" s="543"/>
      <c r="N128" s="2950"/>
      <c r="O128" s="2950"/>
      <c r="P128" s="2941"/>
      <c r="Q128" s="2936"/>
      <c r="R128" s="2922"/>
      <c r="S128" s="2922"/>
      <c r="T128" s="2922"/>
      <c r="U128" s="2922"/>
      <c r="V128" s="2922"/>
      <c r="W128" s="2922"/>
      <c r="X128" s="2922"/>
      <c r="Y128" s="2922"/>
      <c r="Z128" s="2922"/>
      <c r="AA128" s="2922"/>
      <c r="AB128" s="2922"/>
      <c r="AC128" s="2922"/>
    </row>
    <row r="129" spans="1:29" ht="15.75" thickBot="1">
      <c r="A129" s="491"/>
      <c r="B129" s="500"/>
      <c r="C129" s="517"/>
      <c r="D129" s="493"/>
      <c r="E129" s="493"/>
      <c r="F129" s="493"/>
      <c r="G129" s="493"/>
      <c r="H129" s="493"/>
      <c r="I129" s="493"/>
      <c r="J129" s="493"/>
      <c r="K129" s="493"/>
      <c r="L129" s="493"/>
      <c r="M129" s="494"/>
      <c r="N129" s="2951"/>
      <c r="O129" s="2951"/>
      <c r="P129" s="2941"/>
      <c r="Q129" s="2936"/>
      <c r="R129" s="2922"/>
      <c r="S129" s="2922"/>
      <c r="T129" s="2922"/>
      <c r="U129" s="2922"/>
      <c r="V129" s="2922"/>
      <c r="W129" s="2922"/>
      <c r="X129" s="2922"/>
      <c r="Y129" s="2922"/>
      <c r="Z129" s="2922"/>
      <c r="AA129" s="2922"/>
      <c r="AB129" s="2922"/>
      <c r="AC129" s="2922"/>
    </row>
    <row r="130" spans="1:29" ht="15" thickTop="1">
      <c r="A130" s="556"/>
      <c r="B130" s="503">
        <f>B46</f>
        <v>111</v>
      </c>
      <c r="C130" s="511"/>
      <c r="D130" s="511"/>
      <c r="E130" s="511"/>
      <c r="F130" s="511"/>
      <c r="G130" s="544"/>
      <c r="H130" s="544"/>
      <c r="I130" s="544"/>
      <c r="J130" s="544"/>
      <c r="K130" s="480"/>
      <c r="L130" s="481"/>
      <c r="M130" s="547"/>
      <c r="N130" s="2950"/>
      <c r="O130" s="2950"/>
      <c r="P130" s="2941"/>
      <c r="Q130" s="2936"/>
      <c r="R130" s="2922"/>
      <c r="S130" s="2922"/>
      <c r="T130" s="2922"/>
      <c r="U130" s="2922"/>
      <c r="V130" s="2922"/>
      <c r="W130" s="2922"/>
      <c r="X130" s="2922"/>
      <c r="Y130" s="2922"/>
      <c r="Z130" s="2922"/>
      <c r="AA130" s="2922"/>
      <c r="AB130" s="2922"/>
      <c r="AC130" s="2922"/>
    </row>
    <row r="131" spans="1:29" ht="15.75" thickBot="1">
      <c r="A131" s="2084"/>
      <c r="B131" s="526"/>
      <c r="C131" s="527"/>
      <c r="D131" s="527"/>
      <c r="E131" s="527"/>
      <c r="F131" s="527"/>
      <c r="G131" s="548"/>
      <c r="H131" s="548"/>
      <c r="I131" s="548"/>
      <c r="J131" s="548"/>
      <c r="K131" s="548"/>
      <c r="L131" s="548"/>
      <c r="M131" s="549"/>
      <c r="N131" s="2951"/>
      <c r="O131" s="2951"/>
      <c r="P131" s="2941"/>
      <c r="Q131" s="2936"/>
      <c r="R131" s="2922"/>
      <c r="S131" s="2922"/>
      <c r="T131" s="2922"/>
      <c r="U131" s="2922"/>
      <c r="V131" s="2922"/>
      <c r="W131" s="2922"/>
      <c r="X131" s="2922"/>
      <c r="Y131" s="2922"/>
      <c r="Z131" s="2922"/>
      <c r="AA131" s="2922"/>
      <c r="AB131" s="2922"/>
      <c r="AC131" s="292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2446</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IF(C2="——",ROUND(C50*D3/10000,0),ROUND(C50*D3/10000,0)-D2)</f>
        <v>#DIV/0!</v>
      </c>
      <c r="C2" s="2037"/>
      <c r="D2" s="1247" t="e">
        <f ca="1">SUMIF(INDIRECT("'"&amp;F2&amp;"'"&amp;"!A:A"),"承租人权益价值",INDIRECT("'"&amp;F2&amp;"'"&amp;"!c:c"))</f>
        <v>#REF!</v>
      </c>
      <c r="E2" s="2038" t="s">
        <v>2088</v>
      </c>
      <c r="F2" s="2039"/>
      <c r="G2" s="1039"/>
      <c r="H2" s="1039"/>
      <c r="I2" s="1039"/>
      <c r="J2" s="1039"/>
      <c r="K2" s="1039"/>
      <c r="L2" s="2931"/>
      <c r="M2" s="2932"/>
      <c r="N2" s="2932"/>
      <c r="O2" s="2932"/>
      <c r="P2" s="708"/>
      <c r="Q2" s="708"/>
      <c r="R2" s="708"/>
      <c r="S2" s="708"/>
      <c r="T2" s="708"/>
      <c r="U2" s="708"/>
      <c r="V2" s="708"/>
      <c r="W2" s="708"/>
      <c r="X2" s="708"/>
      <c r="Y2" s="708"/>
      <c r="Z2" s="708"/>
      <c r="AA2" s="708"/>
      <c r="AB2" s="708"/>
      <c r="AC2" s="709"/>
    </row>
    <row r="3" spans="1:29" s="358" customFormat="1" ht="28.5" customHeight="1" thickBot="1">
      <c r="A3" s="209" t="s">
        <v>2089</v>
      </c>
      <c r="B3" s="566" t="e">
        <f ca="1">IF(C2="——",C50,ROUND(B2*10000/D3,0))</f>
        <v>#DIV/0!</v>
      </c>
      <c r="C3" s="360" t="s">
        <v>2404</v>
      </c>
      <c r="D3" s="359">
        <f>IF(D1="",'数据-汇总表'!E3,SUMIF('数据-汇总表'!$C19:$C33,D1,'数据-汇总表'!$E19:$E33))</f>
        <v>11340.73</v>
      </c>
      <c r="E3" s="2110"/>
      <c r="F3" s="1040"/>
      <c r="G3" s="1039"/>
      <c r="H3" s="1039"/>
      <c r="I3" s="1039"/>
      <c r="J3" s="1039"/>
      <c r="K3" s="1041"/>
      <c r="L3" s="2931"/>
      <c r="M3" s="2932"/>
      <c r="N3" s="2932"/>
      <c r="O3" s="2932"/>
      <c r="P3" s="708"/>
      <c r="Q3" s="708"/>
      <c r="R3" s="708"/>
      <c r="S3" s="708"/>
      <c r="T3" s="708"/>
      <c r="U3" s="708"/>
      <c r="V3" s="708"/>
      <c r="W3" s="708"/>
      <c r="X3" s="708"/>
      <c r="Y3" s="708"/>
      <c r="Z3" s="708"/>
      <c r="AA3" s="708"/>
      <c r="AB3" s="708"/>
      <c r="AC3" s="709"/>
    </row>
    <row r="4" spans="1:29" ht="15">
      <c r="A4" s="361" t="s">
        <v>2405</v>
      </c>
      <c r="B4" s="362"/>
      <c r="C4" s="3449" t="s">
        <v>2406</v>
      </c>
      <c r="D4" s="3450"/>
      <c r="E4" s="3451" t="s">
        <v>2407</v>
      </c>
      <c r="F4" s="3452"/>
      <c r="G4" s="3449" t="s">
        <v>2408</v>
      </c>
      <c r="H4" s="3450"/>
      <c r="I4" s="3449" t="s">
        <v>2409</v>
      </c>
      <c r="J4" s="3450"/>
      <c r="K4" s="567" t="s">
        <v>2410</v>
      </c>
      <c r="L4" s="2912"/>
      <c r="M4" s="2913"/>
      <c r="N4" s="2913"/>
      <c r="O4" s="2913"/>
      <c r="P4" s="3483" t="s">
        <v>2411</v>
      </c>
      <c r="Q4" s="3484"/>
      <c r="R4" s="3478" t="s">
        <v>2407</v>
      </c>
      <c r="S4" s="3479"/>
      <c r="T4" s="3478" t="s">
        <v>2408</v>
      </c>
      <c r="U4" s="3479"/>
      <c r="V4" s="3487" t="s">
        <v>2409</v>
      </c>
      <c r="W4" s="3487"/>
      <c r="X4" s="2114"/>
      <c r="Y4" s="3478" t="s">
        <v>2411</v>
      </c>
      <c r="Z4" s="3479"/>
      <c r="AA4" s="3477" t="s">
        <v>2407</v>
      </c>
      <c r="AB4" s="3477" t="s">
        <v>2408</v>
      </c>
      <c r="AC4" s="3480" t="s">
        <v>2409</v>
      </c>
    </row>
    <row r="5" spans="1:29" ht="15">
      <c r="A5" s="364"/>
      <c r="B5" s="365"/>
      <c r="C5" s="3442" t="s">
        <v>2302</v>
      </c>
      <c r="D5" s="3443"/>
      <c r="E5" s="3440" t="s">
        <v>2303</v>
      </c>
      <c r="F5" s="3441"/>
      <c r="G5" s="3442" t="s">
        <v>2304</v>
      </c>
      <c r="H5" s="3443"/>
      <c r="I5" s="3442" t="s">
        <v>2305</v>
      </c>
      <c r="J5" s="3443"/>
      <c r="K5" s="567"/>
      <c r="L5" s="2912"/>
      <c r="M5" s="2913"/>
      <c r="N5" s="2913"/>
      <c r="O5" s="2913"/>
      <c r="P5" s="3485"/>
      <c r="Q5" s="3456"/>
      <c r="R5" s="3438"/>
      <c r="S5" s="3439"/>
      <c r="T5" s="3438"/>
      <c r="U5" s="3439"/>
      <c r="V5" s="3461"/>
      <c r="W5" s="3461"/>
      <c r="X5" s="1509"/>
      <c r="Y5" s="3438"/>
      <c r="Z5" s="3439"/>
      <c r="AA5" s="3432"/>
      <c r="AB5" s="3432"/>
      <c r="AC5" s="3481"/>
    </row>
    <row r="6" spans="1:29" ht="15.75" thickBot="1">
      <c r="A6" s="366"/>
      <c r="B6" s="367"/>
      <c r="C6" s="3444" t="s">
        <v>2306</v>
      </c>
      <c r="D6" s="3445"/>
      <c r="E6" s="3446" t="s">
        <v>2306</v>
      </c>
      <c r="F6" s="3447"/>
      <c r="G6" s="3444" t="s">
        <v>2306</v>
      </c>
      <c r="H6" s="3445"/>
      <c r="I6" s="3444" t="s">
        <v>2306</v>
      </c>
      <c r="J6" s="3445"/>
      <c r="K6" s="567" t="s">
        <v>2307</v>
      </c>
      <c r="L6" s="2912"/>
      <c r="M6" s="2913"/>
      <c r="N6" s="2913"/>
      <c r="O6" s="2913"/>
      <c r="P6" s="3486"/>
      <c r="Q6" s="3458"/>
      <c r="R6" s="3438"/>
      <c r="S6" s="3439"/>
      <c r="T6" s="3459"/>
      <c r="U6" s="3460"/>
      <c r="V6" s="3461"/>
      <c r="W6" s="3461"/>
      <c r="X6" s="1509"/>
      <c r="Y6" s="3459"/>
      <c r="Z6" s="3460"/>
      <c r="AA6" s="3433"/>
      <c r="AB6" s="3433"/>
      <c r="AC6" s="3482"/>
    </row>
    <row r="7" spans="1:29" s="113" customFormat="1" ht="15.75" thickBot="1">
      <c r="A7" s="368" t="s">
        <v>2308</v>
      </c>
      <c r="B7" s="369"/>
      <c r="C7" s="370">
        <f>'数据-取费表'!B2</f>
        <v>44641</v>
      </c>
      <c r="D7" s="371">
        <v>100</v>
      </c>
      <c r="E7" s="372"/>
      <c r="F7" s="373">
        <f>SUMIF(59:59,YEAR(E7)&amp;"-"&amp;MONTH(E7),60:60)</f>
        <v>0</v>
      </c>
      <c r="G7" s="372"/>
      <c r="H7" s="371">
        <f>SUMIF(59:59,YEAR(G7)&amp;"-"&amp;MONTH(G7),60:60)</f>
        <v>0</v>
      </c>
      <c r="I7" s="372"/>
      <c r="J7" s="371">
        <f>SUMIF(59:59,YEAR(I7)&amp;"-"&amp;MONTH(I7),60:60)</f>
        <v>0</v>
      </c>
      <c r="K7" s="568"/>
      <c r="L7" s="2914"/>
      <c r="M7" s="2915"/>
      <c r="N7" s="2915"/>
      <c r="O7" s="2915"/>
      <c r="P7" s="3488" t="s">
        <v>2309</v>
      </c>
      <c r="Q7" s="3462"/>
      <c r="R7" s="710" t="s">
        <v>17</v>
      </c>
      <c r="S7" s="711">
        <f t="shared" ref="S7:S15" si="0">F7</f>
        <v>0</v>
      </c>
      <c r="T7" s="710" t="s">
        <v>17</v>
      </c>
      <c r="U7" s="711">
        <f t="shared" ref="U7:U15" si="1">H7</f>
        <v>0</v>
      </c>
      <c r="V7" s="710" t="s">
        <v>17</v>
      </c>
      <c r="W7" s="711">
        <f t="shared" ref="W7:W15" si="2">J7</f>
        <v>0</v>
      </c>
      <c r="X7" s="712"/>
      <c r="Y7" s="3434" t="s">
        <v>2309</v>
      </c>
      <c r="Z7" s="3435"/>
      <c r="AA7" s="713" t="e">
        <f>D7/F7</f>
        <v>#DIV/0!</v>
      </c>
      <c r="AB7" s="713" t="e">
        <f>D7/H7</f>
        <v>#DIV/0!</v>
      </c>
      <c r="AC7" s="2115" t="e">
        <f>D7/J7</f>
        <v>#DIV/0!</v>
      </c>
    </row>
    <row r="8" spans="1:29" s="113" customFormat="1" ht="15.75" thickBot="1">
      <c r="A8" s="368" t="s">
        <v>2310</v>
      </c>
      <c r="B8" s="369"/>
      <c r="C8" s="374" t="s">
        <v>2412</v>
      </c>
      <c r="D8" s="371">
        <v>100</v>
      </c>
      <c r="E8" s="374"/>
      <c r="F8" s="373">
        <f>SUMIF(62:62,E8,63:63)-SUMIF(62:62,C8,63:63)+100</f>
        <v>0</v>
      </c>
      <c r="G8" s="374"/>
      <c r="H8" s="371">
        <f>SUMIF(62:62,G8,63:63)-SUMIF(62:62,C8,63:63)+100</f>
        <v>0</v>
      </c>
      <c r="I8" s="374"/>
      <c r="J8" s="371">
        <f>SUMIF(62:62,I8,63:63)-SUMIF(62:62,C8,63:63)+100</f>
        <v>0</v>
      </c>
      <c r="K8" s="568"/>
      <c r="L8" s="2914"/>
      <c r="M8" s="2915"/>
      <c r="N8" s="2915"/>
      <c r="O8" s="2915"/>
      <c r="P8" s="3488" t="s">
        <v>2312</v>
      </c>
      <c r="Q8" s="3435"/>
      <c r="R8" s="710" t="s">
        <v>17</v>
      </c>
      <c r="S8" s="711">
        <f t="shared" si="0"/>
        <v>0</v>
      </c>
      <c r="T8" s="710" t="s">
        <v>17</v>
      </c>
      <c r="U8" s="711">
        <f t="shared" si="1"/>
        <v>0</v>
      </c>
      <c r="V8" s="710" t="s">
        <v>17</v>
      </c>
      <c r="W8" s="711">
        <f t="shared" si="2"/>
        <v>0</v>
      </c>
      <c r="X8" s="712"/>
      <c r="Y8" s="3434" t="s">
        <v>2312</v>
      </c>
      <c r="Z8" s="3435"/>
      <c r="AA8" s="713" t="e">
        <f t="shared" ref="AA8:AA47" si="3">D8/F8</f>
        <v>#DIV/0!</v>
      </c>
      <c r="AB8" s="713" t="e">
        <f t="shared" ref="AB8:AB47" si="4">D8/H8</f>
        <v>#DIV/0!</v>
      </c>
      <c r="AC8" s="2115" t="e">
        <f t="shared" ref="AC8:AC47" si="5">D8/J8</f>
        <v>#DIV/0!</v>
      </c>
    </row>
    <row r="9" spans="1:29" s="113" customFormat="1">
      <c r="A9" s="375" t="s">
        <v>2313</v>
      </c>
      <c r="B9" s="67" t="s">
        <v>2314</v>
      </c>
      <c r="C9" s="376"/>
      <c r="D9" s="131">
        <v>100</v>
      </c>
      <c r="E9" s="379"/>
      <c r="F9" s="131">
        <f>SUMIF(64:64,E9,65:65)-SUMIF(64:64,C9,65:65)+100</f>
        <v>100</v>
      </c>
      <c r="G9" s="377"/>
      <c r="H9" s="131">
        <f>SUMIF(64:64,G9,65:65)-SUMIF(64:64,C9,65:65)+100</f>
        <v>100</v>
      </c>
      <c r="I9" s="377"/>
      <c r="J9" s="131">
        <f>SUMIF(64:64,I9,65:65)-SUMIF(64:64,C9,65:65)+100</f>
        <v>100</v>
      </c>
      <c r="K9" s="568"/>
      <c r="L9" s="2914"/>
      <c r="M9" s="2915"/>
      <c r="N9" s="2915"/>
      <c r="O9" s="2915"/>
      <c r="P9" s="3448"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2115">
        <f t="shared" si="5"/>
        <v>1</v>
      </c>
    </row>
    <row r="10" spans="1:29" s="386" customFormat="1" ht="27">
      <c r="A10" s="380"/>
      <c r="B10" s="381" t="s">
        <v>2317</v>
      </c>
      <c r="C10" s="382"/>
      <c r="D10" s="132">
        <v>100</v>
      </c>
      <c r="E10" s="382"/>
      <c r="F10" s="132">
        <f>SUMIF(66:66,E10,67:67)-SUMIF(66:66,C10,67:67)+100</f>
        <v>100</v>
      </c>
      <c r="G10" s="383"/>
      <c r="H10" s="132">
        <f>SUMIF(66:66,G10,67:67)-SUMIF(66:66,C10,67:67)+100</f>
        <v>100</v>
      </c>
      <c r="I10" s="382"/>
      <c r="J10" s="132">
        <f>SUMIF(66:66,I10,67:67)-SUMIF(66:66,C10,67:67)+100</f>
        <v>100</v>
      </c>
      <c r="K10" s="569"/>
      <c r="L10" s="2916"/>
      <c r="M10" s="2917"/>
      <c r="N10" s="2917"/>
      <c r="O10" s="2917"/>
      <c r="P10" s="3448"/>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2115">
        <f t="shared" si="5"/>
        <v>1</v>
      </c>
    </row>
    <row r="11" spans="1:29" ht="15">
      <c r="A11" s="387"/>
      <c r="B11" s="381" t="s">
        <v>2318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8"/>
      <c r="M11" s="2913"/>
      <c r="N11" s="2913"/>
      <c r="O11" s="2913"/>
      <c r="P11" s="3448"/>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4"/>
      <c r="M12" s="2915"/>
      <c r="N12" s="2915"/>
      <c r="O12" s="2915"/>
      <c r="P12" s="3448"/>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19"/>
      <c r="M13" s="2913"/>
      <c r="N13" s="2913"/>
      <c r="O13" s="2913"/>
      <c r="P13" s="3448"/>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19"/>
      <c r="M14" s="2913"/>
      <c r="N14" s="2913"/>
      <c r="O14" s="2913"/>
      <c r="P14" s="3448"/>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2115">
        <f t="shared" si="5"/>
        <v>1</v>
      </c>
    </row>
    <row r="15" spans="1:29" ht="71.25">
      <c r="A15" s="399" t="s">
        <v>2319</v>
      </c>
      <c r="B15" s="585" t="s">
        <v>2447</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19"/>
      <c r="M15" s="2913"/>
      <c r="N15" s="2913"/>
      <c r="O15" s="2913"/>
      <c r="P15" s="3475" t="s">
        <v>2320</v>
      </c>
      <c r="Q15" s="1506" t="str">
        <f t="shared" si="6"/>
        <v>办公集聚程度</v>
      </c>
      <c r="R15" s="714" t="s">
        <v>17</v>
      </c>
      <c r="S15" s="715">
        <f t="shared" si="0"/>
        <v>100</v>
      </c>
      <c r="T15" s="714" t="s">
        <v>17</v>
      </c>
      <c r="U15" s="715">
        <f t="shared" si="1"/>
        <v>100</v>
      </c>
      <c r="V15" s="714" t="s">
        <v>17</v>
      </c>
      <c r="W15" s="715">
        <f t="shared" si="2"/>
        <v>100</v>
      </c>
      <c r="X15" s="1509"/>
      <c r="Y15" s="3468" t="s">
        <v>2320</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19"/>
      <c r="M16" s="2913"/>
      <c r="N16" s="2913"/>
      <c r="O16" s="2913"/>
      <c r="P16" s="3476"/>
      <c r="Q16" s="1506"/>
      <c r="R16" s="714"/>
      <c r="S16" s="715"/>
      <c r="T16" s="714"/>
      <c r="U16" s="715"/>
      <c r="V16" s="714"/>
      <c r="W16" s="715"/>
      <c r="X16" s="1509"/>
      <c r="Y16" s="3469"/>
      <c r="Z16" s="1510"/>
      <c r="AA16" s="1507">
        <v>1</v>
      </c>
      <c r="AB16" s="1507">
        <v>1</v>
      </c>
      <c r="AC16" s="2118">
        <v>1</v>
      </c>
    </row>
    <row r="17" spans="1:29" ht="71.25">
      <c r="A17" s="387"/>
      <c r="B17" s="587" t="s">
        <v>1884</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19"/>
      <c r="M17" s="2913"/>
      <c r="N17" s="2913"/>
      <c r="O17" s="2913"/>
      <c r="P17" s="3476"/>
      <c r="Q17" s="1506" t="str">
        <f>B17</f>
        <v>交通便捷度</v>
      </c>
      <c r="R17" s="714" t="s">
        <v>17</v>
      </c>
      <c r="S17" s="715">
        <f>F17</f>
        <v>100</v>
      </c>
      <c r="T17" s="714" t="s">
        <v>17</v>
      </c>
      <c r="U17" s="715">
        <f>H17</f>
        <v>100</v>
      </c>
      <c r="V17" s="714" t="s">
        <v>17</v>
      </c>
      <c r="W17" s="715">
        <f>J17</f>
        <v>100</v>
      </c>
      <c r="X17" s="1509"/>
      <c r="Y17" s="3469"/>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19"/>
      <c r="M18" s="2913"/>
      <c r="N18" s="2913"/>
      <c r="O18" s="2913"/>
      <c r="P18" s="3476"/>
      <c r="Q18" s="1506"/>
      <c r="R18" s="714"/>
      <c r="S18" s="715"/>
      <c r="T18" s="714"/>
      <c r="U18" s="715"/>
      <c r="V18" s="714"/>
      <c r="W18" s="715"/>
      <c r="X18" s="1509"/>
      <c r="Y18" s="3469"/>
      <c r="Z18" s="1510"/>
      <c r="AA18" s="1507">
        <v>1</v>
      </c>
      <c r="AB18" s="1507">
        <v>1</v>
      </c>
      <c r="AC18" s="2118">
        <v>1</v>
      </c>
    </row>
    <row r="19" spans="1:29" ht="42.75">
      <c r="A19" s="387"/>
      <c r="B19" s="587" t="s">
        <v>2448</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19"/>
      <c r="M19" s="2913"/>
      <c r="N19" s="2913"/>
      <c r="O19" s="2913"/>
      <c r="P19" s="3476"/>
      <c r="Q19" s="1506" t="str">
        <f>B19</f>
        <v>公共配套设施</v>
      </c>
      <c r="R19" s="714" t="s">
        <v>17</v>
      </c>
      <c r="S19" s="715">
        <f>F19</f>
        <v>100</v>
      </c>
      <c r="T19" s="714" t="s">
        <v>17</v>
      </c>
      <c r="U19" s="715">
        <f>H19</f>
        <v>100</v>
      </c>
      <c r="V19" s="714" t="s">
        <v>17</v>
      </c>
      <c r="W19" s="715">
        <f>J19</f>
        <v>100</v>
      </c>
      <c r="X19" s="1509"/>
      <c r="Y19" s="3469"/>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19"/>
      <c r="M20" s="2913"/>
      <c r="N20" s="2913"/>
      <c r="O20" s="2913"/>
      <c r="P20" s="3476"/>
      <c r="Q20" s="1506"/>
      <c r="R20" s="714"/>
      <c r="S20" s="715"/>
      <c r="T20" s="714"/>
      <c r="U20" s="715"/>
      <c r="V20" s="714"/>
      <c r="W20" s="715"/>
      <c r="X20" s="1509"/>
      <c r="Y20" s="3469"/>
      <c r="Z20" s="1510"/>
      <c r="AA20" s="1507">
        <v>1</v>
      </c>
      <c r="AB20" s="1507">
        <v>1</v>
      </c>
      <c r="AC20" s="2118">
        <v>1</v>
      </c>
    </row>
    <row r="21" spans="1:29" ht="28.5">
      <c r="A21" s="387"/>
      <c r="B21" s="589" t="s">
        <v>2449</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19"/>
      <c r="M21" s="2913"/>
      <c r="N21" s="2913"/>
      <c r="O21" s="2913"/>
      <c r="P21" s="3476"/>
      <c r="Q21" s="1506" t="str">
        <f>B21</f>
        <v>基础设施水平</v>
      </c>
      <c r="R21" s="714" t="s">
        <v>17</v>
      </c>
      <c r="S21" s="715">
        <f>F21</f>
        <v>100</v>
      </c>
      <c r="T21" s="714" t="s">
        <v>17</v>
      </c>
      <c r="U21" s="715">
        <f>H21</f>
        <v>100</v>
      </c>
      <c r="V21" s="714" t="s">
        <v>17</v>
      </c>
      <c r="W21" s="715">
        <f>J21</f>
        <v>100</v>
      </c>
      <c r="X21" s="1509"/>
      <c r="Y21" s="3469"/>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19"/>
      <c r="M22" s="2913"/>
      <c r="N22" s="2913"/>
      <c r="O22" s="2913"/>
      <c r="P22" s="3476"/>
      <c r="Q22" s="1506"/>
      <c r="R22" s="714"/>
      <c r="S22" s="715"/>
      <c r="T22" s="714"/>
      <c r="U22" s="715"/>
      <c r="V22" s="714"/>
      <c r="W22" s="715"/>
      <c r="X22" s="1509"/>
      <c r="Y22" s="3469"/>
      <c r="Z22" s="1510"/>
      <c r="AA22" s="1507">
        <v>1</v>
      </c>
      <c r="AB22" s="1507">
        <v>1</v>
      </c>
      <c r="AC22" s="2118">
        <v>1</v>
      </c>
    </row>
    <row r="23" spans="1:29" ht="42.75">
      <c r="A23" s="387"/>
      <c r="B23" s="587" t="s">
        <v>2450</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19"/>
      <c r="M23" s="2913"/>
      <c r="N23" s="2913"/>
      <c r="O23" s="2913"/>
      <c r="P23" s="3476"/>
      <c r="Q23" s="1506" t="str">
        <f>B23</f>
        <v>环境质量</v>
      </c>
      <c r="R23" s="714" t="s">
        <v>17</v>
      </c>
      <c r="S23" s="715">
        <f>F23</f>
        <v>100</v>
      </c>
      <c r="T23" s="714" t="s">
        <v>17</v>
      </c>
      <c r="U23" s="715">
        <f>H23</f>
        <v>100</v>
      </c>
      <c r="V23" s="714" t="s">
        <v>17</v>
      </c>
      <c r="W23" s="715">
        <f>J23</f>
        <v>100</v>
      </c>
      <c r="X23" s="1509"/>
      <c r="Y23" s="3469"/>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19"/>
      <c r="M24" s="2913"/>
      <c r="N24" s="2913"/>
      <c r="O24" s="2913"/>
      <c r="P24" s="3476"/>
      <c r="Q24" s="1506"/>
      <c r="R24" s="714"/>
      <c r="S24" s="715"/>
      <c r="T24" s="714"/>
      <c r="U24" s="715"/>
      <c r="V24" s="714"/>
      <c r="W24" s="715"/>
      <c r="X24" s="1509"/>
      <c r="Y24" s="3469"/>
      <c r="Z24" s="1510"/>
      <c r="AA24" s="1507">
        <v>1</v>
      </c>
      <c r="AB24" s="1507">
        <v>1</v>
      </c>
      <c r="AC24" s="2118">
        <v>1</v>
      </c>
    </row>
    <row r="25" spans="1:29" ht="27">
      <c r="A25" s="364"/>
      <c r="B25" s="587" t="s">
        <v>2451</v>
      </c>
      <c r="C25" s="2064"/>
      <c r="D25" s="394">
        <v>100</v>
      </c>
      <c r="E25" s="393"/>
      <c r="F25" s="394">
        <f>SUMIF(87:87,E26,88:88)-SUMIF(87:87,C26,88:88)+100</f>
        <v>100</v>
      </c>
      <c r="G25" s="2064"/>
      <c r="H25" s="394">
        <f>SUMIF(87:87,G26,88:88)-SUMIF(87:87,C26,88:88)+100</f>
        <v>100</v>
      </c>
      <c r="I25" s="393"/>
      <c r="J25" s="394">
        <f>SUMIF(87:87,I26,88:88)-SUMIF(87:87,C26,88:88)+100</f>
        <v>100</v>
      </c>
      <c r="K25" s="571"/>
      <c r="L25" s="2919"/>
      <c r="M25" s="2913"/>
      <c r="N25" s="2913"/>
      <c r="O25" s="2913"/>
      <c r="P25" s="3476"/>
      <c r="Q25" s="1506" t="str">
        <f>B25</f>
        <v>毗邻道路的类型与等级</v>
      </c>
      <c r="R25" s="714" t="s">
        <v>17</v>
      </c>
      <c r="S25" s="715">
        <f>F25</f>
        <v>100</v>
      </c>
      <c r="T25" s="714" t="s">
        <v>17</v>
      </c>
      <c r="U25" s="715">
        <f>H25</f>
        <v>100</v>
      </c>
      <c r="V25" s="714" t="s">
        <v>17</v>
      </c>
      <c r="W25" s="715">
        <f>J25</f>
        <v>100</v>
      </c>
      <c r="X25" s="1509"/>
      <c r="Y25" s="3469"/>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19"/>
      <c r="M26" s="2913"/>
      <c r="N26" s="2913"/>
      <c r="O26" s="2913"/>
      <c r="P26" s="3476"/>
      <c r="Q26" s="1506"/>
      <c r="R26" s="714"/>
      <c r="S26" s="715"/>
      <c r="T26" s="714"/>
      <c r="U26" s="715"/>
      <c r="V26" s="714"/>
      <c r="W26" s="715"/>
      <c r="X26" s="1509"/>
      <c r="Y26" s="3469"/>
      <c r="Z26" s="1510"/>
      <c r="AA26" s="1507">
        <v>1</v>
      </c>
      <c r="AB26" s="1507">
        <v>1</v>
      </c>
      <c r="AC26" s="2118">
        <v>1</v>
      </c>
    </row>
    <row r="27" spans="1:29" ht="15">
      <c r="A27" s="387"/>
      <c r="B27" s="588" t="s">
        <v>2419</v>
      </c>
      <c r="C27" s="590"/>
      <c r="D27" s="394">
        <v>100</v>
      </c>
      <c r="E27" s="573"/>
      <c r="F27" s="394">
        <f>SUMIF(89:89,E27,90:90)-SUMIF(89:89,C27,90:90)+100</f>
        <v>100</v>
      </c>
      <c r="G27" s="590"/>
      <c r="H27" s="394">
        <f>SUMIF(89:89,G27,90:90)-SUMIF(89:89,C27,90:90)+100</f>
        <v>100</v>
      </c>
      <c r="I27" s="573"/>
      <c r="J27" s="394">
        <f>SUMIF(89:89,I27,90:90)-SUMIF(89:89,C27,90:90)+100</f>
        <v>100</v>
      </c>
      <c r="K27" s="569"/>
      <c r="L27" s="2919"/>
      <c r="M27" s="2913"/>
      <c r="N27" s="2913"/>
      <c r="O27" s="2913"/>
      <c r="P27" s="3476"/>
      <c r="Q27" s="1506" t="str">
        <f t="shared" ref="Q27:Q47" si="11">B27</f>
        <v>楼层</v>
      </c>
      <c r="R27" s="714" t="s">
        <v>17</v>
      </c>
      <c r="S27" s="715">
        <f>F27</f>
        <v>100</v>
      </c>
      <c r="T27" s="714" t="s">
        <v>17</v>
      </c>
      <c r="U27" s="715">
        <f>H27</f>
        <v>100</v>
      </c>
      <c r="V27" s="714" t="s">
        <v>17</v>
      </c>
      <c r="W27" s="715">
        <f>J27</f>
        <v>100</v>
      </c>
      <c r="X27" s="1509"/>
      <c r="Y27" s="3469"/>
      <c r="Z27" s="1510" t="str">
        <f>Q27</f>
        <v>楼层</v>
      </c>
      <c r="AA27" s="1507">
        <f t="shared" si="3"/>
        <v>1</v>
      </c>
      <c r="AB27" s="1507">
        <f t="shared" si="4"/>
        <v>1</v>
      </c>
      <c r="AC27" s="2118">
        <f t="shared" si="5"/>
        <v>1</v>
      </c>
    </row>
    <row r="28" spans="1:29" s="113" customFormat="1" ht="15">
      <c r="A28" s="390"/>
      <c r="B28" s="587" t="s">
        <v>2452</v>
      </c>
      <c r="C28" s="2121"/>
      <c r="D28" s="421">
        <v>100</v>
      </c>
      <c r="E28" s="2112"/>
      <c r="F28" s="421">
        <f>SUMIF(91:91,E28,92:92)-SUMIF(91:91,C28,92:92)+100</f>
        <v>100</v>
      </c>
      <c r="G28" s="2121"/>
      <c r="H28" s="421">
        <f>SUMIF(91:91,G28,92:92)-SUMIF(91:91,C28,92:92)+100</f>
        <v>100</v>
      </c>
      <c r="I28" s="2112"/>
      <c r="J28" s="421">
        <f>SUMIF(91:91,I28,92:92)-SUMIF(91:91,C28,92:92)+100</f>
        <v>100</v>
      </c>
      <c r="K28" s="569"/>
      <c r="L28" s="2914"/>
      <c r="M28" s="2915"/>
      <c r="N28" s="2915"/>
      <c r="O28" s="2915"/>
      <c r="P28" s="3476"/>
      <c r="Q28" s="1497" t="str">
        <f t="shared" si="11"/>
        <v>朝向</v>
      </c>
      <c r="R28" s="710" t="s">
        <v>17</v>
      </c>
      <c r="S28" s="711">
        <f>F28</f>
        <v>100</v>
      </c>
      <c r="T28" s="710" t="s">
        <v>17</v>
      </c>
      <c r="U28" s="711">
        <f>H28</f>
        <v>100</v>
      </c>
      <c r="V28" s="710" t="s">
        <v>17</v>
      </c>
      <c r="W28" s="711">
        <f>J28</f>
        <v>100</v>
      </c>
      <c r="X28" s="712"/>
      <c r="Y28" s="3469"/>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19"/>
      <c r="M29" s="2913"/>
      <c r="N29" s="2913"/>
      <c r="O29" s="2913"/>
      <c r="P29" s="3476"/>
      <c r="Q29" s="1506">
        <f t="shared" si="11"/>
        <v>111</v>
      </c>
      <c r="R29" s="714" t="s">
        <v>17</v>
      </c>
      <c r="S29" s="715">
        <f t="shared" ref="S29:S47" si="12">F29</f>
        <v>100</v>
      </c>
      <c r="T29" s="714" t="s">
        <v>17</v>
      </c>
      <c r="U29" s="715">
        <f t="shared" ref="U29:U47" si="13">H29</f>
        <v>100</v>
      </c>
      <c r="V29" s="714" t="s">
        <v>17</v>
      </c>
      <c r="W29" s="715">
        <f t="shared" ref="W29:W47" si="14">J29</f>
        <v>100</v>
      </c>
      <c r="X29" s="1509"/>
      <c r="Y29" s="3469"/>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19"/>
      <c r="M30" s="2913"/>
      <c r="N30" s="2913"/>
      <c r="O30" s="2913"/>
      <c r="P30" s="3476"/>
      <c r="Q30" s="1506">
        <f t="shared" si="11"/>
        <v>111</v>
      </c>
      <c r="R30" s="714" t="s">
        <v>17</v>
      </c>
      <c r="S30" s="715">
        <f t="shared" si="12"/>
        <v>100</v>
      </c>
      <c r="T30" s="714" t="s">
        <v>17</v>
      </c>
      <c r="U30" s="715">
        <f t="shared" si="13"/>
        <v>100</v>
      </c>
      <c r="V30" s="714" t="s">
        <v>17</v>
      </c>
      <c r="W30" s="715">
        <f t="shared" si="14"/>
        <v>100</v>
      </c>
      <c r="X30" s="1509"/>
      <c r="Y30" s="3469"/>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19"/>
      <c r="M31" s="2913"/>
      <c r="N31" s="2913"/>
      <c r="O31" s="2913"/>
      <c r="P31" s="3476"/>
      <c r="Q31" s="1506">
        <f t="shared" si="11"/>
        <v>111</v>
      </c>
      <c r="R31" s="714" t="s">
        <v>17</v>
      </c>
      <c r="S31" s="715">
        <f t="shared" si="12"/>
        <v>100</v>
      </c>
      <c r="T31" s="714" t="s">
        <v>17</v>
      </c>
      <c r="U31" s="715">
        <f t="shared" si="13"/>
        <v>100</v>
      </c>
      <c r="V31" s="714" t="s">
        <v>17</v>
      </c>
      <c r="W31" s="715">
        <f t="shared" si="14"/>
        <v>100</v>
      </c>
      <c r="X31" s="1509"/>
      <c r="Y31" s="3469"/>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19"/>
      <c r="M32" s="2913"/>
      <c r="N32" s="2913"/>
      <c r="O32" s="2913"/>
      <c r="P32" s="3476"/>
      <c r="Q32" s="1506">
        <f t="shared" si="11"/>
        <v>111</v>
      </c>
      <c r="R32" s="714" t="s">
        <v>17</v>
      </c>
      <c r="S32" s="715">
        <f t="shared" si="12"/>
        <v>100</v>
      </c>
      <c r="T32" s="714" t="s">
        <v>17</v>
      </c>
      <c r="U32" s="715">
        <f t="shared" si="13"/>
        <v>100</v>
      </c>
      <c r="V32" s="714" t="s">
        <v>17</v>
      </c>
      <c r="W32" s="715">
        <f t="shared" si="14"/>
        <v>100</v>
      </c>
      <c r="X32" s="1509"/>
      <c r="Y32" s="3469"/>
      <c r="Z32" s="1510">
        <f t="shared" si="15"/>
        <v>111</v>
      </c>
      <c r="AA32" s="1507">
        <f t="shared" si="3"/>
        <v>1</v>
      </c>
      <c r="AB32" s="1507">
        <f t="shared" si="4"/>
        <v>1</v>
      </c>
      <c r="AC32" s="2118">
        <f t="shared" si="5"/>
        <v>1</v>
      </c>
    </row>
    <row r="33" spans="1:29" ht="15">
      <c r="A33" s="399" t="s">
        <v>2323</v>
      </c>
      <c r="B33" s="67" t="s">
        <v>2453</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19"/>
      <c r="M33" s="2913"/>
      <c r="N33" s="2913"/>
      <c r="O33" s="2913"/>
      <c r="P33" s="3470" t="s">
        <v>2325</v>
      </c>
      <c r="Q33" s="1506" t="str">
        <f t="shared" si="11"/>
        <v>建筑类型</v>
      </c>
      <c r="R33" s="714" t="s">
        <v>17</v>
      </c>
      <c r="S33" s="715">
        <f t="shared" si="12"/>
        <v>100</v>
      </c>
      <c r="T33" s="714" t="s">
        <v>17</v>
      </c>
      <c r="U33" s="715">
        <f t="shared" si="13"/>
        <v>100</v>
      </c>
      <c r="V33" s="714" t="s">
        <v>17</v>
      </c>
      <c r="W33" s="715">
        <f t="shared" si="14"/>
        <v>100</v>
      </c>
      <c r="X33" s="1509"/>
      <c r="Y33" s="3473" t="s">
        <v>2325</v>
      </c>
      <c r="Z33" s="1510" t="str">
        <f t="shared" si="15"/>
        <v>建筑类型</v>
      </c>
      <c r="AA33" s="1507">
        <f t="shared" si="3"/>
        <v>1</v>
      </c>
      <c r="AB33" s="1507">
        <f t="shared" si="4"/>
        <v>1</v>
      </c>
      <c r="AC33" s="2118">
        <f t="shared" si="5"/>
        <v>1</v>
      </c>
    </row>
    <row r="34" spans="1:29" s="430" customFormat="1" ht="15">
      <c r="A34" s="427"/>
      <c r="B34" s="381" t="s">
        <v>2326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8"/>
      <c r="M34" s="2920"/>
      <c r="N34" s="2920"/>
      <c r="O34" s="2920"/>
      <c r="P34" s="3471"/>
      <c r="Q34" s="716" t="str">
        <f t="shared" si="11"/>
        <v>项目建筑规模</v>
      </c>
      <c r="R34" s="717" t="s">
        <v>17</v>
      </c>
      <c r="S34" s="718" t="e">
        <f t="shared" si="12"/>
        <v>#N/A</v>
      </c>
      <c r="T34" s="717" t="s">
        <v>17</v>
      </c>
      <c r="U34" s="718" t="e">
        <f t="shared" si="13"/>
        <v>#N/A</v>
      </c>
      <c r="V34" s="717" t="s">
        <v>17</v>
      </c>
      <c r="W34" s="718" t="e">
        <f t="shared" si="14"/>
        <v>#N/A</v>
      </c>
      <c r="X34" s="719"/>
      <c r="Y34" s="3473"/>
      <c r="Z34" s="720" t="str">
        <f t="shared" si="15"/>
        <v>项目建筑规模</v>
      </c>
      <c r="AA34" s="1507" t="e">
        <f t="shared" si="3"/>
        <v>#N/A</v>
      </c>
      <c r="AB34" s="1507" t="e">
        <f t="shared" si="4"/>
        <v>#N/A</v>
      </c>
      <c r="AC34" s="2118" t="e">
        <f t="shared" si="5"/>
        <v>#N/A</v>
      </c>
    </row>
    <row r="35" spans="1:29" ht="15">
      <c r="A35" s="431"/>
      <c r="B35" s="381" t="s">
        <v>2327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19"/>
      <c r="M35" s="2913"/>
      <c r="N35" s="2913"/>
      <c r="O35" s="2913"/>
      <c r="P35" s="3471"/>
      <c r="Q35" s="1506" t="str">
        <f t="shared" si="11"/>
        <v>建筑结构</v>
      </c>
      <c r="R35" s="714" t="s">
        <v>17</v>
      </c>
      <c r="S35" s="715">
        <f t="shared" si="12"/>
        <v>100</v>
      </c>
      <c r="T35" s="714" t="s">
        <v>17</v>
      </c>
      <c r="U35" s="715">
        <f t="shared" si="13"/>
        <v>100</v>
      </c>
      <c r="V35" s="714" t="s">
        <v>17</v>
      </c>
      <c r="W35" s="715">
        <f t="shared" si="14"/>
        <v>100</v>
      </c>
      <c r="X35" s="1509"/>
      <c r="Y35" s="3473"/>
      <c r="Z35" s="1510" t="str">
        <f t="shared" si="15"/>
        <v>建筑结构</v>
      </c>
      <c r="AA35" s="1507">
        <f t="shared" si="3"/>
        <v>1</v>
      </c>
      <c r="AB35" s="1507">
        <f t="shared" si="4"/>
        <v>1</v>
      </c>
      <c r="AC35" s="2118">
        <f t="shared" si="5"/>
        <v>1</v>
      </c>
    </row>
    <row r="36" spans="1:29" ht="15">
      <c r="A36" s="431"/>
      <c r="B36" s="381" t="s">
        <v>2421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19"/>
      <c r="M36" s="2913"/>
      <c r="N36" s="2913"/>
      <c r="O36" s="2913"/>
      <c r="P36" s="3471"/>
      <c r="Q36" s="1506" t="str">
        <f t="shared" si="11"/>
        <v>公共部分装修</v>
      </c>
      <c r="R36" s="714" t="s">
        <v>17</v>
      </c>
      <c r="S36" s="715">
        <f t="shared" si="12"/>
        <v>100</v>
      </c>
      <c r="T36" s="714" t="s">
        <v>17</v>
      </c>
      <c r="U36" s="715">
        <f t="shared" si="13"/>
        <v>100</v>
      </c>
      <c r="V36" s="714" t="s">
        <v>17</v>
      </c>
      <c r="W36" s="715">
        <f t="shared" si="14"/>
        <v>100</v>
      </c>
      <c r="X36" s="1509"/>
      <c r="Y36" s="3473"/>
      <c r="Z36" s="1510" t="str">
        <f t="shared" si="15"/>
        <v>公共部分装修</v>
      </c>
      <c r="AA36" s="1507">
        <f t="shared" si="3"/>
        <v>1</v>
      </c>
      <c r="AB36" s="1507">
        <f t="shared" si="4"/>
        <v>1</v>
      </c>
      <c r="AC36" s="2118">
        <f t="shared" si="5"/>
        <v>1</v>
      </c>
    </row>
    <row r="37" spans="1:29" ht="15">
      <c r="A37" s="431"/>
      <c r="B37" s="381" t="s">
        <v>2422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19"/>
      <c r="M37" s="2913"/>
      <c r="N37" s="2913"/>
      <c r="O37" s="2913"/>
      <c r="P37" s="3471"/>
      <c r="Q37" s="1506" t="str">
        <f t="shared" si="11"/>
        <v>成新度</v>
      </c>
      <c r="R37" s="714" t="s">
        <v>17</v>
      </c>
      <c r="S37" s="715" t="e">
        <f t="shared" si="12"/>
        <v>#N/A</v>
      </c>
      <c r="T37" s="714" t="s">
        <v>17</v>
      </c>
      <c r="U37" s="715" t="e">
        <f t="shared" si="13"/>
        <v>#N/A</v>
      </c>
      <c r="V37" s="714" t="s">
        <v>17</v>
      </c>
      <c r="W37" s="715" t="e">
        <f t="shared" si="14"/>
        <v>#N/A</v>
      </c>
      <c r="X37" s="1509"/>
      <c r="Y37" s="3473"/>
      <c r="Z37" s="1510" t="str">
        <f t="shared" si="15"/>
        <v>成新度</v>
      </c>
      <c r="AA37" s="1507" t="e">
        <f t="shared" si="3"/>
        <v>#N/A</v>
      </c>
      <c r="AB37" s="1507" t="e">
        <f t="shared" si="4"/>
        <v>#N/A</v>
      </c>
      <c r="AC37" s="2118" t="e">
        <f t="shared" si="5"/>
        <v>#N/A</v>
      </c>
    </row>
    <row r="38" spans="1:29" s="113" customFormat="1" ht="15">
      <c r="A38" s="432"/>
      <c r="B38" s="381" t="s">
        <v>2454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4"/>
      <c r="M38" s="2915"/>
      <c r="N38" s="2915"/>
      <c r="O38" s="2915"/>
      <c r="P38" s="3471"/>
      <c r="Q38" s="1497" t="str">
        <f t="shared" si="11"/>
        <v>写字楼等级</v>
      </c>
      <c r="R38" s="710" t="s">
        <v>17</v>
      </c>
      <c r="S38" s="711">
        <f t="shared" si="12"/>
        <v>100</v>
      </c>
      <c r="T38" s="710" t="s">
        <v>17</v>
      </c>
      <c r="U38" s="711">
        <f t="shared" si="13"/>
        <v>100</v>
      </c>
      <c r="V38" s="710" t="s">
        <v>17</v>
      </c>
      <c r="W38" s="711">
        <f t="shared" si="14"/>
        <v>100</v>
      </c>
      <c r="X38" s="712"/>
      <c r="Y38" s="3473"/>
      <c r="Z38" s="55" t="str">
        <f t="shared" si="15"/>
        <v>写字楼等级</v>
      </c>
      <c r="AA38" s="713">
        <f t="shared" si="3"/>
        <v>1</v>
      </c>
      <c r="AB38" s="713">
        <f t="shared" si="4"/>
        <v>1</v>
      </c>
      <c r="AC38" s="2115">
        <f t="shared" si="5"/>
        <v>1</v>
      </c>
    </row>
    <row r="39" spans="1:29" ht="15">
      <c r="A39" s="431"/>
      <c r="B39" s="381" t="s">
        <v>2455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19"/>
      <c r="M39" s="2913"/>
      <c r="N39" s="2913"/>
      <c r="O39" s="2913"/>
      <c r="P39" s="3471" t="s">
        <v>2325</v>
      </c>
      <c r="Q39" s="1506" t="str">
        <f t="shared" si="11"/>
        <v>物业管理</v>
      </c>
      <c r="R39" s="714" t="s">
        <v>17</v>
      </c>
      <c r="S39" s="715">
        <f t="shared" si="12"/>
        <v>100</v>
      </c>
      <c r="T39" s="714" t="s">
        <v>17</v>
      </c>
      <c r="U39" s="715">
        <f t="shared" si="13"/>
        <v>100</v>
      </c>
      <c r="V39" s="714" t="s">
        <v>17</v>
      </c>
      <c r="W39" s="715">
        <f t="shared" si="14"/>
        <v>100</v>
      </c>
      <c r="X39" s="1509"/>
      <c r="Y39" s="3473" t="s">
        <v>2325</v>
      </c>
      <c r="Z39" s="1510" t="str">
        <f t="shared" si="15"/>
        <v>物业管理</v>
      </c>
      <c r="AA39" s="1507">
        <f t="shared" si="3"/>
        <v>1</v>
      </c>
      <c r="AB39" s="1507">
        <f t="shared" si="4"/>
        <v>1</v>
      </c>
      <c r="AC39" s="2118">
        <f t="shared" si="5"/>
        <v>1</v>
      </c>
    </row>
    <row r="40" spans="1:29" ht="15">
      <c r="A40" s="431"/>
      <c r="B40" s="381" t="s">
        <v>2423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19"/>
      <c r="M40" s="2913"/>
      <c r="N40" s="2913"/>
      <c r="O40" s="2913"/>
      <c r="P40" s="3471"/>
      <c r="Q40" s="1506" t="str">
        <f t="shared" si="11"/>
        <v>市政基础设施</v>
      </c>
      <c r="R40" s="714" t="s">
        <v>17</v>
      </c>
      <c r="S40" s="715">
        <f t="shared" si="12"/>
        <v>100</v>
      </c>
      <c r="T40" s="714" t="s">
        <v>17</v>
      </c>
      <c r="U40" s="715">
        <f t="shared" si="13"/>
        <v>100</v>
      </c>
      <c r="V40" s="714" t="s">
        <v>17</v>
      </c>
      <c r="W40" s="715">
        <f t="shared" si="14"/>
        <v>100</v>
      </c>
      <c r="X40" s="1509"/>
      <c r="Y40" s="3473"/>
      <c r="Z40" s="1510" t="str">
        <f t="shared" si="15"/>
        <v>市政基础设施</v>
      </c>
      <c r="AA40" s="1507">
        <f t="shared" si="3"/>
        <v>1</v>
      </c>
      <c r="AB40" s="1507">
        <f t="shared" si="4"/>
        <v>1</v>
      </c>
      <c r="AC40" s="2118">
        <f t="shared" si="5"/>
        <v>1</v>
      </c>
    </row>
    <row r="41" spans="1:29" ht="15">
      <c r="A41" s="431"/>
      <c r="B41" s="381" t="s">
        <v>2425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19"/>
      <c r="M41" s="2913"/>
      <c r="N41" s="2913"/>
      <c r="O41" s="2913"/>
      <c r="P41" s="3471"/>
      <c r="Q41" s="1506" t="str">
        <f t="shared" si="11"/>
        <v>层高</v>
      </c>
      <c r="R41" s="714" t="s">
        <v>17</v>
      </c>
      <c r="S41" s="715">
        <f t="shared" si="12"/>
        <v>100</v>
      </c>
      <c r="T41" s="714" t="s">
        <v>17</v>
      </c>
      <c r="U41" s="715">
        <f t="shared" si="13"/>
        <v>100</v>
      </c>
      <c r="V41" s="714" t="s">
        <v>17</v>
      </c>
      <c r="W41" s="715">
        <f t="shared" si="14"/>
        <v>100</v>
      </c>
      <c r="X41" s="1509"/>
      <c r="Y41" s="3473"/>
      <c r="Z41" s="1510" t="str">
        <f t="shared" si="15"/>
        <v>层高</v>
      </c>
      <c r="AA41" s="1507">
        <f t="shared" si="3"/>
        <v>1</v>
      </c>
      <c r="AB41" s="1507">
        <f t="shared" si="4"/>
        <v>1</v>
      </c>
      <c r="AC41" s="2118">
        <f t="shared" si="5"/>
        <v>1</v>
      </c>
    </row>
    <row r="42" spans="1:29" s="430" customFormat="1" ht="15">
      <c r="A42" s="427"/>
      <c r="B42" s="1508" t="s">
        <v>2456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8"/>
      <c r="M42" s="2920"/>
      <c r="N42" s="2920"/>
      <c r="O42" s="2920"/>
      <c r="P42" s="3471"/>
      <c r="Q42" s="716" t="str">
        <f t="shared" si="11"/>
        <v>单套建筑面积</v>
      </c>
      <c r="R42" s="717" t="s">
        <v>17</v>
      </c>
      <c r="S42" s="718">
        <f t="shared" si="12"/>
        <v>100</v>
      </c>
      <c r="T42" s="717" t="s">
        <v>17</v>
      </c>
      <c r="U42" s="718">
        <f t="shared" si="13"/>
        <v>100</v>
      </c>
      <c r="V42" s="717" t="s">
        <v>17</v>
      </c>
      <c r="W42" s="718">
        <f t="shared" si="14"/>
        <v>100</v>
      </c>
      <c r="X42" s="719"/>
      <c r="Y42" s="3473"/>
      <c r="Z42" s="720" t="str">
        <f t="shared" si="15"/>
        <v>单套建筑面积</v>
      </c>
      <c r="AA42" s="1507">
        <f t="shared" si="3"/>
        <v>1</v>
      </c>
      <c r="AB42" s="1507">
        <f t="shared" si="4"/>
        <v>1</v>
      </c>
      <c r="AC42" s="2118">
        <f t="shared" si="5"/>
        <v>1</v>
      </c>
    </row>
    <row r="43" spans="1:29" ht="15">
      <c r="A43" s="431"/>
      <c r="B43" s="381" t="s">
        <v>2428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19"/>
      <c r="M43" s="2913"/>
      <c r="N43" s="2913"/>
      <c r="O43" s="2913"/>
      <c r="P43" s="3471"/>
      <c r="Q43" s="1506" t="str">
        <f t="shared" si="11"/>
        <v>内部装修</v>
      </c>
      <c r="R43" s="714" t="s">
        <v>17</v>
      </c>
      <c r="S43" s="715">
        <f t="shared" si="12"/>
        <v>100</v>
      </c>
      <c r="T43" s="714" t="s">
        <v>17</v>
      </c>
      <c r="U43" s="715">
        <f t="shared" si="13"/>
        <v>100</v>
      </c>
      <c r="V43" s="714" t="s">
        <v>17</v>
      </c>
      <c r="W43" s="715">
        <f t="shared" si="14"/>
        <v>100</v>
      </c>
      <c r="X43" s="1509"/>
      <c r="Y43" s="3473"/>
      <c r="Z43" s="1510" t="str">
        <f t="shared" si="15"/>
        <v>内部装修</v>
      </c>
      <c r="AA43" s="1507">
        <f t="shared" si="3"/>
        <v>1</v>
      </c>
      <c r="AB43" s="1507">
        <f t="shared" si="4"/>
        <v>1</v>
      </c>
      <c r="AC43" s="2118">
        <f t="shared" si="5"/>
        <v>1</v>
      </c>
    </row>
    <row r="44" spans="1:29" ht="15">
      <c r="A44" s="431"/>
      <c r="B44" s="381" t="s">
        <v>2336</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19"/>
      <c r="M44" s="2913"/>
      <c r="N44" s="2913"/>
      <c r="O44" s="2913"/>
      <c r="P44" s="3471"/>
      <c r="Q44" s="1506" t="str">
        <f t="shared" si="11"/>
        <v>内部装修维护情况</v>
      </c>
      <c r="R44" s="714" t="s">
        <v>17</v>
      </c>
      <c r="S44" s="715">
        <f t="shared" si="12"/>
        <v>100</v>
      </c>
      <c r="T44" s="714" t="s">
        <v>17</v>
      </c>
      <c r="U44" s="715">
        <f t="shared" si="13"/>
        <v>100</v>
      </c>
      <c r="V44" s="714" t="s">
        <v>17</v>
      </c>
      <c r="W44" s="715">
        <f t="shared" si="14"/>
        <v>100</v>
      </c>
      <c r="X44" s="1509"/>
      <c r="Y44" s="3473"/>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4"/>
      <c r="M45" s="2915"/>
      <c r="N45" s="2915"/>
      <c r="O45" s="2915"/>
      <c r="P45" s="3471"/>
      <c r="Q45" s="1497">
        <f t="shared" si="11"/>
        <v>111</v>
      </c>
      <c r="R45" s="710" t="s">
        <v>17</v>
      </c>
      <c r="S45" s="711">
        <f t="shared" si="12"/>
        <v>100</v>
      </c>
      <c r="T45" s="710" t="s">
        <v>17</v>
      </c>
      <c r="U45" s="711">
        <f t="shared" si="13"/>
        <v>100</v>
      </c>
      <c r="V45" s="710" t="s">
        <v>17</v>
      </c>
      <c r="W45" s="711">
        <f t="shared" si="14"/>
        <v>100</v>
      </c>
      <c r="X45" s="712"/>
      <c r="Y45" s="3473"/>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19"/>
      <c r="M46" s="2913"/>
      <c r="N46" s="2913"/>
      <c r="O46" s="2913"/>
      <c r="P46" s="3471"/>
      <c r="Q46" s="1506">
        <f t="shared" si="11"/>
        <v>111</v>
      </c>
      <c r="R46" s="714" t="s">
        <v>17</v>
      </c>
      <c r="S46" s="715">
        <f t="shared" si="12"/>
        <v>100</v>
      </c>
      <c r="T46" s="714" t="s">
        <v>17</v>
      </c>
      <c r="U46" s="715">
        <f t="shared" si="13"/>
        <v>100</v>
      </c>
      <c r="V46" s="714" t="s">
        <v>17</v>
      </c>
      <c r="W46" s="715">
        <f t="shared" si="14"/>
        <v>100</v>
      </c>
      <c r="X46" s="1509"/>
      <c r="Y46" s="3473"/>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19"/>
      <c r="M47" s="2913"/>
      <c r="N47" s="2913"/>
      <c r="O47" s="2913"/>
      <c r="P47" s="3472"/>
      <c r="Q47" s="1506">
        <f t="shared" si="11"/>
        <v>111</v>
      </c>
      <c r="R47" s="714" t="s">
        <v>17</v>
      </c>
      <c r="S47" s="715">
        <f t="shared" si="12"/>
        <v>100</v>
      </c>
      <c r="T47" s="714" t="s">
        <v>17</v>
      </c>
      <c r="U47" s="715">
        <f t="shared" si="13"/>
        <v>100</v>
      </c>
      <c r="V47" s="714" t="s">
        <v>17</v>
      </c>
      <c r="W47" s="715">
        <f t="shared" si="14"/>
        <v>100</v>
      </c>
      <c r="X47" s="1509"/>
      <c r="Y47" s="3474"/>
      <c r="Z47" s="1510">
        <f t="shared" si="15"/>
        <v>111</v>
      </c>
      <c r="AA47" s="1507">
        <f t="shared" si="3"/>
        <v>1</v>
      </c>
      <c r="AB47" s="1507">
        <f t="shared" si="4"/>
        <v>1</v>
      </c>
      <c r="AC47" s="2118">
        <f t="shared" si="5"/>
        <v>1</v>
      </c>
    </row>
    <row r="48" spans="1:29" ht="15">
      <c r="A48" s="438" t="s">
        <v>2337</v>
      </c>
      <c r="B48" s="439"/>
      <c r="C48" s="1288" t="s">
        <v>1</v>
      </c>
      <c r="D48" s="1289"/>
      <c r="E48" s="1290"/>
      <c r="F48" s="1291"/>
      <c r="G48" s="1292"/>
      <c r="H48" s="1293"/>
      <c r="I48" s="1290"/>
      <c r="J48" s="444"/>
      <c r="K48" s="723"/>
      <c r="L48" s="2921"/>
      <c r="M48" s="2913"/>
      <c r="N48" s="2913"/>
      <c r="O48" s="2913"/>
      <c r="P48" s="3448" t="str">
        <f>A48</f>
        <v>成交单价（元/平方米）</v>
      </c>
      <c r="Q48" s="3466"/>
      <c r="R48" s="3467">
        <f>E48</f>
        <v>0</v>
      </c>
      <c r="S48" s="3467"/>
      <c r="T48" s="3467">
        <f>G48</f>
        <v>0</v>
      </c>
      <c r="U48" s="3467"/>
      <c r="V48" s="3467">
        <f>I48</f>
        <v>0</v>
      </c>
      <c r="W48" s="3467"/>
      <c r="X48" s="405"/>
      <c r="Y48" s="721"/>
      <c r="Z48" s="405"/>
      <c r="AA48" s="405"/>
      <c r="AB48" s="405"/>
      <c r="AC48" s="586"/>
    </row>
    <row r="49" spans="1:29" ht="15.75" thickBot="1">
      <c r="A49" s="445" t="s">
        <v>2429</v>
      </c>
      <c r="B49" s="446"/>
      <c r="C49" s="1294" t="e">
        <f>R50</f>
        <v>#DIV/0!</v>
      </c>
      <c r="D49" s="2508" t="s">
        <v>2820</v>
      </c>
      <c r="E49" s="1295" t="e">
        <f>R49</f>
        <v>#DIV/0!</v>
      </c>
      <c r="F49" s="2509"/>
      <c r="G49" s="1294" t="e">
        <f>T49</f>
        <v>#DIV/0!</v>
      </c>
      <c r="H49" s="2509"/>
      <c r="I49" s="1295" t="e">
        <f>V49</f>
        <v>#DIV/0!</v>
      </c>
      <c r="J49" s="2509"/>
      <c r="K49" s="2511">
        <f>F49+H49+J49</f>
        <v>0</v>
      </c>
      <c r="L49" s="2921"/>
      <c r="M49" s="2913"/>
      <c r="N49" s="2913"/>
      <c r="O49" s="2913"/>
      <c r="P49" s="3448" t="str">
        <f>A49</f>
        <v>比较价值（元/平方米）</v>
      </c>
      <c r="Q49" s="3466"/>
      <c r="R49" s="3467" t="e">
        <f>IF(F1="售价",ROUND(PRODUCT(R48,AA7:AA47),0),ROUND(PRODUCT(R48,AA7:AA47),1))</f>
        <v>#DIV/0!</v>
      </c>
      <c r="S49" s="3467"/>
      <c r="T49" s="3467" t="e">
        <f>IF(F1="售价",ROUND(PRODUCT(T48,AB7:AB47),0),ROUND(PRODUCT(T48,AB7:AB47),1))</f>
        <v>#DIV/0!</v>
      </c>
      <c r="U49" s="3467"/>
      <c r="V49" s="3467" t="e">
        <f>IF(F1="售价",ROUND(PRODUCT(V48,AC7:AC47),0),ROUND(PRODUCT(V48,AC7:AC47),1))</f>
        <v>#DIV/0!</v>
      </c>
      <c r="W49" s="3467"/>
      <c r="X49" s="405"/>
      <c r="Y49" s="405"/>
      <c r="Z49" s="405"/>
      <c r="AA49" s="405"/>
      <c r="AB49" s="405"/>
      <c r="AC49" s="586"/>
    </row>
    <row r="50" spans="1:29" ht="15.75" thickBot="1">
      <c r="A50" s="449" t="s">
        <v>2430</v>
      </c>
      <c r="B50" s="450"/>
      <c r="C50" s="1297" t="e">
        <f>R50</f>
        <v>#DIV/0!</v>
      </c>
      <c r="D50" s="1297"/>
      <c r="E50" s="1297"/>
      <c r="F50" s="1297"/>
      <c r="G50" s="1297"/>
      <c r="H50" s="1297"/>
      <c r="I50" s="1297"/>
      <c r="J50" s="451"/>
      <c r="K50" s="724"/>
      <c r="L50" s="2921"/>
      <c r="M50" s="2913"/>
      <c r="N50" s="2913"/>
      <c r="O50" s="2913"/>
      <c r="P50" s="3489" t="str">
        <f>A50</f>
        <v>估价对象XX用房的比较价值（楼面单价，元/平方米）</v>
      </c>
      <c r="Q50" s="3490"/>
      <c r="R50" s="3491" t="e">
        <f>IF(F1="售价",ROUND(IF(D49="简单平均",AVERAGE(R49:V49),R49*F49+T49*H49+V49*J49),0),ROUND(IF(D49="简单平均",AVERAGE(R49:V49),R49*F49+T49*H49+V49*J49),1))</f>
        <v>#DIV/0!</v>
      </c>
      <c r="S50" s="3491"/>
      <c r="T50" s="3491"/>
      <c r="U50" s="3491"/>
      <c r="V50" s="3491"/>
      <c r="W50" s="3491"/>
      <c r="X50" s="2102"/>
      <c r="Y50" s="2102"/>
      <c r="Z50" s="2102"/>
      <c r="AA50" s="2102"/>
      <c r="AB50" s="2102"/>
      <c r="AC50" s="2103"/>
    </row>
    <row r="51" spans="1:29">
      <c r="A51" s="2922"/>
      <c r="B51" s="2922"/>
      <c r="C51" s="2922"/>
      <c r="D51" s="2922"/>
      <c r="E51" s="2922"/>
      <c r="F51" s="2922"/>
      <c r="G51" s="2926"/>
      <c r="H51" s="2922"/>
      <c r="I51" s="2922"/>
      <c r="J51" s="2922"/>
      <c r="K51" s="2927"/>
      <c r="L51" s="2923"/>
      <c r="M51" s="2922"/>
      <c r="N51" s="2922"/>
      <c r="O51" s="2922"/>
      <c r="P51" s="2953"/>
      <c r="Q51" s="2922"/>
      <c r="R51" s="2922"/>
      <c r="S51" s="2922"/>
      <c r="T51" s="2922"/>
      <c r="U51" s="2922"/>
      <c r="V51" s="2922"/>
      <c r="W51" s="2922"/>
      <c r="X51" s="2922"/>
      <c r="Y51" s="2922"/>
      <c r="Z51" s="2922"/>
      <c r="AA51" s="2922"/>
      <c r="AB51" s="2922"/>
      <c r="AC51" s="2922"/>
    </row>
    <row r="52" spans="1:29">
      <c r="A52" s="2922"/>
      <c r="B52" s="2922"/>
      <c r="C52" s="2922"/>
      <c r="D52" s="2922"/>
      <c r="E52" s="2922"/>
      <c r="F52" s="2922"/>
      <c r="G52" s="2922"/>
      <c r="H52" s="2922"/>
      <c r="I52" s="2922"/>
      <c r="J52" s="2922"/>
      <c r="K52" s="2927"/>
      <c r="L52" s="2923"/>
      <c r="M52" s="2922"/>
      <c r="N52" s="2922"/>
      <c r="O52" s="2922"/>
      <c r="P52" s="2953"/>
      <c r="Q52" s="2922"/>
      <c r="R52" s="2922"/>
      <c r="S52" s="2922"/>
      <c r="T52" s="2922"/>
      <c r="U52" s="2922"/>
      <c r="V52" s="2922"/>
      <c r="W52" s="2922"/>
      <c r="X52" s="2922"/>
      <c r="Y52" s="2922"/>
      <c r="Z52" s="2922"/>
      <c r="AA52" s="2922"/>
      <c r="AB52" s="2922"/>
      <c r="AC52" s="2922"/>
    </row>
    <row r="53" spans="1:29" ht="13.5" customHeight="1">
      <c r="A53" s="2922"/>
      <c r="B53" s="2922"/>
      <c r="C53" s="454" t="s">
        <v>2431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7"/>
      <c r="L53" s="2923"/>
      <c r="M53" s="2922"/>
      <c r="N53" s="2922"/>
      <c r="O53" s="2922"/>
      <c r="P53" s="2953"/>
      <c r="Q53" s="2922"/>
      <c r="R53" s="2922"/>
      <c r="S53" s="2922"/>
      <c r="T53" s="2922"/>
      <c r="U53" s="2922"/>
      <c r="V53" s="2922"/>
      <c r="W53" s="2922"/>
      <c r="X53" s="2922"/>
      <c r="Y53" s="2922"/>
      <c r="Z53" s="2922"/>
      <c r="AA53" s="2922"/>
      <c r="AB53" s="2922"/>
      <c r="AC53" s="2922"/>
    </row>
    <row r="54" spans="1:29" ht="13.5" customHeight="1">
      <c r="A54" s="2922"/>
      <c r="B54" s="2922"/>
      <c r="C54" s="454" t="s">
        <v>2432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7"/>
      <c r="L54" s="2923"/>
      <c r="M54" s="2922"/>
      <c r="N54" s="2922"/>
      <c r="O54" s="2922"/>
      <c r="P54" s="2953"/>
      <c r="Q54" s="2922"/>
      <c r="R54" s="2922"/>
      <c r="S54" s="2922"/>
      <c r="T54" s="2922"/>
      <c r="U54" s="2922"/>
      <c r="V54" s="2922"/>
      <c r="W54" s="2922"/>
      <c r="X54" s="2922"/>
      <c r="Y54" s="2922"/>
      <c r="Z54" s="2922"/>
      <c r="AA54" s="2922"/>
      <c r="AB54" s="2922"/>
      <c r="AC54" s="2922"/>
    </row>
    <row r="55" spans="1:29" s="459" customFormat="1" ht="13.5" customHeight="1">
      <c r="A55" s="2925"/>
      <c r="B55" s="2925"/>
      <c r="C55" s="454" t="s">
        <v>2433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0"/>
      <c r="L55" s="2924"/>
      <c r="M55" s="2925"/>
      <c r="N55" s="2925"/>
      <c r="O55" s="2925"/>
      <c r="P55" s="2954"/>
      <c r="Q55" s="2925"/>
      <c r="R55" s="2925"/>
      <c r="S55" s="2925"/>
      <c r="T55" s="2925"/>
      <c r="U55" s="2925"/>
      <c r="V55" s="2925"/>
      <c r="W55" s="2925"/>
      <c r="X55" s="2925"/>
      <c r="Y55" s="2925"/>
      <c r="Z55" s="2925"/>
      <c r="AA55" s="2925"/>
      <c r="AB55" s="2925"/>
      <c r="AC55" s="2925"/>
    </row>
    <row r="56" spans="1:29" s="459" customFormat="1">
      <c r="A56" s="2925"/>
      <c r="B56" s="2928"/>
      <c r="C56" s="2929"/>
      <c r="D56" s="2925"/>
      <c r="E56" s="2925"/>
      <c r="F56" s="2925"/>
      <c r="G56" s="2925"/>
      <c r="H56" s="2925"/>
      <c r="I56" s="2925"/>
      <c r="J56" s="2925"/>
      <c r="K56" s="2930"/>
      <c r="L56" s="2924"/>
      <c r="M56" s="2925"/>
      <c r="N56" s="2925"/>
      <c r="O56" s="2925"/>
      <c r="P56" s="2954"/>
      <c r="Q56" s="2925"/>
      <c r="R56" s="2925"/>
      <c r="S56" s="2925"/>
      <c r="T56" s="2925"/>
      <c r="U56" s="2925"/>
      <c r="V56" s="2925"/>
      <c r="W56" s="2925"/>
      <c r="X56" s="2925"/>
      <c r="Y56" s="2925"/>
      <c r="Z56" s="2925"/>
      <c r="AA56" s="2925"/>
      <c r="AB56" s="2925"/>
      <c r="AC56" s="2925"/>
    </row>
    <row r="57" spans="1:29">
      <c r="A57" s="2922"/>
      <c r="B57" s="2928"/>
      <c r="C57" s="2929"/>
      <c r="D57" s="2922"/>
      <c r="E57" s="2922"/>
      <c r="F57" s="2922"/>
      <c r="G57" s="2922"/>
      <c r="H57" s="2922"/>
      <c r="I57" s="2922"/>
      <c r="J57" s="2922"/>
      <c r="K57" s="2927"/>
      <c r="L57" s="2923"/>
      <c r="M57" s="2922"/>
      <c r="N57" s="2922"/>
      <c r="O57" s="2922"/>
      <c r="P57" s="2953"/>
      <c r="Q57" s="2922"/>
      <c r="R57" s="2922"/>
      <c r="S57" s="2922"/>
      <c r="T57" s="2922"/>
      <c r="U57" s="2922"/>
      <c r="V57" s="2922"/>
      <c r="W57" s="2922"/>
      <c r="X57" s="2922"/>
      <c r="Y57" s="2922"/>
      <c r="Z57" s="2922"/>
      <c r="AA57" s="2922"/>
      <c r="AB57" s="2922"/>
      <c r="AC57" s="2922"/>
    </row>
    <row r="58" spans="1:29" ht="21.75" thickBot="1">
      <c r="A58" s="703" t="s">
        <v>2434</v>
      </c>
      <c r="B58" s="699"/>
      <c r="C58" s="704"/>
      <c r="D58" s="704"/>
      <c r="E58" s="704"/>
      <c r="F58" s="705"/>
      <c r="G58" s="705"/>
      <c r="H58" s="704"/>
      <c r="I58" s="704"/>
      <c r="J58" s="704"/>
      <c r="K58" s="706"/>
      <c r="L58" s="1073"/>
      <c r="M58" s="1071"/>
      <c r="N58" s="2966"/>
      <c r="O58" s="2966"/>
      <c r="P58" s="2955"/>
      <c r="Q58" s="2936"/>
      <c r="R58" s="2922"/>
      <c r="S58" s="2922"/>
      <c r="T58" s="2922"/>
      <c r="U58" s="2922"/>
      <c r="V58" s="2922"/>
      <c r="W58" s="2922"/>
      <c r="X58" s="2922"/>
      <c r="Y58" s="2922"/>
      <c r="Z58" s="2922"/>
      <c r="AA58" s="2922"/>
      <c r="AB58" s="2922"/>
      <c r="AC58" s="2922"/>
    </row>
    <row r="59" spans="1:29" s="465" customFormat="1" ht="15">
      <c r="A59" s="462" t="s">
        <v>2308</v>
      </c>
      <c r="B59" s="463"/>
      <c r="C59" s="1318" t="str">
        <f>YEAR(C7)&amp;"-"&amp;MONTH(C7)</f>
        <v>2022-3</v>
      </c>
      <c r="D59" s="1319">
        <f>EDATE(C59,-1)</f>
        <v>44593</v>
      </c>
      <c r="E59" s="1319">
        <f>EDATE(D59,-1)</f>
        <v>44562</v>
      </c>
      <c r="F59" s="1319">
        <f t="shared" ref="F59:O59" si="16">EDATE(E59,-1)</f>
        <v>44531</v>
      </c>
      <c r="G59" s="1319">
        <f t="shared" si="16"/>
        <v>44501</v>
      </c>
      <c r="H59" s="1319">
        <f t="shared" si="16"/>
        <v>44470</v>
      </c>
      <c r="I59" s="1319">
        <f t="shared" si="16"/>
        <v>44440</v>
      </c>
      <c r="J59" s="1319">
        <f t="shared" si="16"/>
        <v>44409</v>
      </c>
      <c r="K59" s="1319">
        <f t="shared" si="16"/>
        <v>44378</v>
      </c>
      <c r="L59" s="1319">
        <f t="shared" si="16"/>
        <v>44348</v>
      </c>
      <c r="M59" s="1319">
        <f t="shared" si="16"/>
        <v>44317</v>
      </c>
      <c r="N59" s="1319">
        <f t="shared" si="16"/>
        <v>44287</v>
      </c>
      <c r="O59" s="1319">
        <f t="shared" si="16"/>
        <v>44256</v>
      </c>
      <c r="P59" s="2956"/>
      <c r="Q59" s="2938"/>
      <c r="R59" s="2938"/>
      <c r="S59" s="2938"/>
      <c r="T59" s="2938"/>
      <c r="U59" s="2938"/>
      <c r="V59" s="2938"/>
      <c r="W59" s="2938"/>
      <c r="X59" s="2938"/>
      <c r="Y59" s="2938"/>
      <c r="Z59" s="2938"/>
      <c r="AA59" s="2938"/>
      <c r="AB59" s="2938"/>
      <c r="AC59" s="2938"/>
    </row>
    <row r="60" spans="1:29" s="113" customFormat="1" ht="15">
      <c r="A60" s="466"/>
      <c r="B60" s="467"/>
      <c r="C60" s="1317">
        <v>100</v>
      </c>
      <c r="D60" s="469"/>
      <c r="E60" s="469"/>
      <c r="F60" s="469"/>
      <c r="G60" s="469"/>
      <c r="H60" s="469"/>
      <c r="I60" s="469"/>
      <c r="J60" s="469"/>
      <c r="K60" s="469"/>
      <c r="L60" s="469"/>
      <c r="M60" s="470"/>
      <c r="N60" s="469"/>
      <c r="O60" s="470"/>
      <c r="P60" s="2957"/>
      <c r="Q60" s="2856"/>
      <c r="R60" s="2856"/>
      <c r="S60" s="2856"/>
      <c r="T60" s="2856"/>
      <c r="U60" s="2856"/>
      <c r="V60" s="2856"/>
      <c r="W60" s="2856"/>
      <c r="X60" s="2856"/>
      <c r="Y60" s="2856"/>
      <c r="Z60" s="2856"/>
      <c r="AA60" s="2856"/>
      <c r="AB60" s="2856"/>
      <c r="AC60" s="2856"/>
    </row>
    <row r="61" spans="1:29" s="113" customFormat="1" ht="15.75" thickBot="1">
      <c r="A61" s="472" t="s">
        <v>2345</v>
      </c>
      <c r="B61" s="473"/>
      <c r="C61" s="474"/>
      <c r="D61" s="475"/>
      <c r="E61" s="475"/>
      <c r="F61" s="475"/>
      <c r="G61" s="475"/>
      <c r="H61" s="475"/>
      <c r="I61" s="475"/>
      <c r="J61" s="475"/>
      <c r="K61" s="475"/>
      <c r="L61" s="475"/>
      <c r="M61" s="476"/>
      <c r="N61" s="475"/>
      <c r="O61" s="476"/>
      <c r="P61" s="2957"/>
      <c r="Q61" s="2936"/>
      <c r="R61" s="2856"/>
      <c r="S61" s="2856"/>
      <c r="T61" s="2856"/>
      <c r="U61" s="2856"/>
      <c r="V61" s="2856"/>
      <c r="W61" s="2856"/>
      <c r="X61" s="2856"/>
      <c r="Y61" s="2856"/>
      <c r="Z61" s="2856"/>
      <c r="AA61" s="2856"/>
      <c r="AB61" s="2856"/>
      <c r="AC61" s="2856"/>
    </row>
    <row r="62" spans="1:29" s="113" customFormat="1" ht="15">
      <c r="A62" s="478" t="s">
        <v>2310</v>
      </c>
      <c r="B62" s="467"/>
      <c r="C62" s="479" t="s">
        <v>2412</v>
      </c>
      <c r="D62" s="480"/>
      <c r="E62" s="480"/>
      <c r="F62" s="480"/>
      <c r="G62" s="480"/>
      <c r="H62" s="480"/>
      <c r="I62" s="480"/>
      <c r="J62" s="480"/>
      <c r="K62" s="480"/>
      <c r="L62" s="481"/>
      <c r="M62" s="482"/>
      <c r="N62" s="2949"/>
      <c r="O62" s="2949"/>
      <c r="P62" s="2958"/>
      <c r="Q62" s="2936"/>
      <c r="R62" s="2856"/>
      <c r="S62" s="2856"/>
      <c r="T62" s="2856"/>
      <c r="U62" s="2856"/>
      <c r="V62" s="2856"/>
      <c r="W62" s="2856"/>
      <c r="X62" s="2856"/>
      <c r="Y62" s="2856"/>
      <c r="Z62" s="2856"/>
      <c r="AA62" s="2856"/>
      <c r="AB62" s="2856"/>
      <c r="AC62" s="2856"/>
    </row>
    <row r="63" spans="1:29" s="113" customFormat="1" ht="15.75" thickBot="1">
      <c r="A63" s="478"/>
      <c r="B63" s="467"/>
      <c r="C63" s="468">
        <v>100</v>
      </c>
      <c r="D63" s="469"/>
      <c r="E63" s="469"/>
      <c r="F63" s="469"/>
      <c r="G63" s="469"/>
      <c r="H63" s="469"/>
      <c r="I63" s="469"/>
      <c r="J63" s="469"/>
      <c r="K63" s="469"/>
      <c r="L63" s="469"/>
      <c r="M63" s="471"/>
      <c r="N63" s="2949"/>
      <c r="O63" s="2949"/>
      <c r="P63" s="2957"/>
      <c r="Q63" s="2936"/>
      <c r="R63" s="2856"/>
      <c r="S63" s="2856"/>
      <c r="T63" s="2856"/>
      <c r="U63" s="2856"/>
      <c r="V63" s="2856"/>
      <c r="W63" s="2856"/>
      <c r="X63" s="2856"/>
      <c r="Y63" s="2856"/>
      <c r="Z63" s="2856"/>
      <c r="AA63" s="2856"/>
      <c r="AB63" s="2856"/>
      <c r="AC63" s="2856"/>
    </row>
    <row r="64" spans="1:29">
      <c r="A64" s="484" t="s">
        <v>2348</v>
      </c>
      <c r="B64" s="485" t="s">
        <v>2314</v>
      </c>
      <c r="C64" s="486">
        <f>C9</f>
        <v>0</v>
      </c>
      <c r="D64" s="487"/>
      <c r="E64" s="487"/>
      <c r="F64" s="487"/>
      <c r="G64" s="487"/>
      <c r="H64" s="487"/>
      <c r="I64" s="487"/>
      <c r="J64" s="487"/>
      <c r="K64" s="488"/>
      <c r="L64" s="489"/>
      <c r="M64" s="490"/>
      <c r="N64" s="2950"/>
      <c r="O64" s="2950"/>
      <c r="P64" s="2959"/>
      <c r="Q64" s="2936"/>
      <c r="R64" s="2922"/>
      <c r="S64" s="2922"/>
      <c r="T64" s="2922"/>
      <c r="U64" s="2922"/>
      <c r="V64" s="2922"/>
      <c r="W64" s="2922"/>
      <c r="X64" s="2922"/>
      <c r="Y64" s="2922"/>
      <c r="Z64" s="2922"/>
      <c r="AA64" s="2922"/>
      <c r="AB64" s="2922"/>
      <c r="AC64" s="2922"/>
    </row>
    <row r="65" spans="1:29" ht="15.75" thickBot="1">
      <c r="A65" s="491"/>
      <c r="B65" s="492"/>
      <c r="C65" s="493">
        <v>100</v>
      </c>
      <c r="D65" s="493"/>
      <c r="E65" s="493"/>
      <c r="F65" s="493"/>
      <c r="G65" s="493"/>
      <c r="H65" s="493"/>
      <c r="I65" s="493"/>
      <c r="J65" s="493"/>
      <c r="K65" s="493"/>
      <c r="L65" s="493"/>
      <c r="M65" s="494"/>
      <c r="N65" s="2951"/>
      <c r="O65" s="2951"/>
      <c r="P65" s="2959"/>
      <c r="Q65" s="2936"/>
      <c r="R65" s="2922"/>
      <c r="S65" s="2922"/>
      <c r="T65" s="2922"/>
      <c r="U65" s="2922"/>
      <c r="V65" s="2922"/>
      <c r="W65" s="2922"/>
      <c r="X65" s="2922"/>
      <c r="Y65" s="2922"/>
      <c r="Z65" s="2922"/>
      <c r="AA65" s="2922"/>
      <c r="AB65" s="2922"/>
      <c r="AC65" s="2922"/>
    </row>
    <row r="66" spans="1:29" ht="27.75" thickTop="1">
      <c r="A66" s="491"/>
      <c r="B66" s="495" t="s">
        <v>2317</v>
      </c>
      <c r="C66" s="496" t="s">
        <v>2349</v>
      </c>
      <c r="D66" s="496" t="s">
        <v>2350</v>
      </c>
      <c r="E66" s="496" t="s">
        <v>2351</v>
      </c>
      <c r="F66" s="496" t="s">
        <v>2352</v>
      </c>
      <c r="G66" s="496" t="s">
        <v>2353</v>
      </c>
      <c r="H66" s="496" t="s">
        <v>2354</v>
      </c>
      <c r="I66" s="496" t="s">
        <v>2355</v>
      </c>
      <c r="J66" s="496"/>
      <c r="K66" s="497"/>
      <c r="L66" s="498"/>
      <c r="M66" s="499"/>
      <c r="N66" s="2950"/>
      <c r="O66" s="2950"/>
      <c r="P66" s="2959"/>
      <c r="Q66" s="2936"/>
      <c r="R66" s="2922"/>
      <c r="S66" s="2922"/>
      <c r="T66" s="2922"/>
      <c r="U66" s="2922"/>
      <c r="V66" s="2922"/>
      <c r="W66" s="2922"/>
      <c r="X66" s="2922"/>
      <c r="Y66" s="2922"/>
      <c r="Z66" s="2922"/>
      <c r="AA66" s="2922"/>
      <c r="AB66" s="2922"/>
      <c r="AC66" s="2922"/>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1"/>
      <c r="O67" s="2951"/>
      <c r="P67" s="2959"/>
      <c r="Q67" s="2936"/>
      <c r="R67" s="2922"/>
      <c r="S67" s="2922"/>
      <c r="T67" s="2922"/>
      <c r="U67" s="2922"/>
      <c r="V67" s="2922"/>
      <c r="W67" s="2922"/>
      <c r="X67" s="2922"/>
      <c r="Y67" s="2922"/>
      <c r="Z67" s="2922"/>
      <c r="AA67" s="2922"/>
      <c r="AB67" s="2922"/>
      <c r="AC67" s="2922"/>
    </row>
    <row r="68" spans="1:29" ht="15.75" thickTop="1">
      <c r="A68" s="491"/>
      <c r="B68" s="503" t="s">
        <v>2318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1"/>
      <c r="O68" s="2951"/>
      <c r="P68" s="2959"/>
      <c r="Q68" s="2936"/>
      <c r="R68" s="2922"/>
      <c r="S68" s="2922"/>
      <c r="T68" s="2922"/>
      <c r="U68" s="2922"/>
      <c r="V68" s="2922"/>
      <c r="W68" s="2922"/>
      <c r="X68" s="2922"/>
      <c r="Y68" s="2922"/>
      <c r="Z68" s="2922"/>
      <c r="AA68" s="2922"/>
      <c r="AB68" s="2922"/>
      <c r="AC68" s="2922"/>
    </row>
    <row r="69" spans="1:29" ht="15">
      <c r="A69" s="491"/>
      <c r="B69" s="505"/>
      <c r="C69" s="506"/>
      <c r="D69" s="506"/>
      <c r="E69" s="506"/>
      <c r="F69" s="506"/>
      <c r="G69" s="506"/>
      <c r="H69" s="506"/>
      <c r="I69" s="506"/>
      <c r="J69" s="506"/>
      <c r="K69" s="507"/>
      <c r="L69" s="508"/>
      <c r="M69" s="509"/>
      <c r="N69" s="2950"/>
      <c r="O69" s="2950"/>
      <c r="P69" s="2959"/>
      <c r="Q69" s="2936"/>
      <c r="R69" s="2922"/>
      <c r="S69" s="2922"/>
      <c r="T69" s="2922"/>
      <c r="U69" s="2922"/>
      <c r="V69" s="2922"/>
      <c r="W69" s="2922"/>
      <c r="X69" s="2922"/>
      <c r="Y69" s="2922"/>
      <c r="Z69" s="2922"/>
      <c r="AA69" s="2922"/>
      <c r="AB69" s="2922"/>
      <c r="AC69" s="2922"/>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1"/>
      <c r="O70" s="2951"/>
      <c r="P70" s="2959"/>
      <c r="Q70" s="2936"/>
      <c r="R70" s="2922"/>
      <c r="S70" s="2922"/>
      <c r="T70" s="2922"/>
      <c r="U70" s="2922"/>
      <c r="V70" s="2922"/>
      <c r="W70" s="2922"/>
      <c r="X70" s="2922"/>
      <c r="Y70" s="2922"/>
      <c r="Z70" s="2922"/>
      <c r="AA70" s="2922"/>
      <c r="AB70" s="2922"/>
      <c r="AC70" s="2922"/>
    </row>
    <row r="71" spans="1:29" s="430" customFormat="1" ht="15.75" thickTop="1">
      <c r="A71" s="510"/>
      <c r="B71" s="495">
        <f>B12</f>
        <v>111</v>
      </c>
      <c r="C71" s="511"/>
      <c r="D71" s="511"/>
      <c r="E71" s="511"/>
      <c r="F71" s="511"/>
      <c r="G71" s="511"/>
      <c r="H71" s="512"/>
      <c r="I71" s="512"/>
      <c r="J71" s="512"/>
      <c r="K71" s="512"/>
      <c r="L71" s="513"/>
      <c r="M71" s="514"/>
      <c r="N71" s="2952"/>
      <c r="O71" s="2952"/>
      <c r="P71" s="2960"/>
      <c r="Q71" s="2943"/>
      <c r="R71" s="2944"/>
      <c r="S71" s="2944"/>
      <c r="T71" s="2944"/>
      <c r="U71" s="2944"/>
      <c r="V71" s="2944"/>
      <c r="W71" s="2944"/>
      <c r="X71" s="2944"/>
      <c r="Y71" s="2944"/>
      <c r="Z71" s="2944"/>
      <c r="AA71" s="2944"/>
      <c r="AB71" s="2944"/>
      <c r="AC71" s="2944"/>
    </row>
    <row r="72" spans="1:29" s="430" customFormat="1" ht="15.75" thickBot="1">
      <c r="A72" s="510"/>
      <c r="B72" s="500"/>
      <c r="C72" s="517"/>
      <c r="D72" s="493"/>
      <c r="E72" s="493"/>
      <c r="F72" s="493"/>
      <c r="G72" s="493"/>
      <c r="H72" s="493"/>
      <c r="I72" s="493"/>
      <c r="J72" s="493"/>
      <c r="K72" s="493"/>
      <c r="L72" s="493"/>
      <c r="M72" s="494"/>
      <c r="N72" s="2951"/>
      <c r="O72" s="2951"/>
      <c r="P72" s="2960"/>
      <c r="Q72" s="2943"/>
      <c r="R72" s="2944"/>
      <c r="S72" s="2944"/>
      <c r="T72" s="2944"/>
      <c r="U72" s="2944"/>
      <c r="V72" s="2944"/>
      <c r="W72" s="2944"/>
      <c r="X72" s="2944"/>
      <c r="Y72" s="2944"/>
      <c r="Z72" s="2944"/>
      <c r="AA72" s="2944"/>
      <c r="AB72" s="2944"/>
      <c r="AC72" s="2944"/>
    </row>
    <row r="73" spans="1:29" s="430" customFormat="1" ht="15.75" thickTop="1">
      <c r="A73" s="510"/>
      <c r="B73" s="495">
        <f>B13</f>
        <v>111</v>
      </c>
      <c r="C73" s="511"/>
      <c r="D73" s="511"/>
      <c r="E73" s="511"/>
      <c r="F73" s="511"/>
      <c r="G73" s="511"/>
      <c r="H73" s="512"/>
      <c r="I73" s="512"/>
      <c r="J73" s="512"/>
      <c r="K73" s="512"/>
      <c r="L73" s="513"/>
      <c r="M73" s="514"/>
      <c r="N73" s="2952"/>
      <c r="O73" s="2952"/>
      <c r="P73" s="2961"/>
      <c r="Q73" s="2946"/>
      <c r="R73" s="2944"/>
      <c r="S73" s="2944"/>
      <c r="T73" s="2944"/>
      <c r="U73" s="2944"/>
      <c r="V73" s="2944"/>
      <c r="W73" s="2944"/>
      <c r="X73" s="2944"/>
      <c r="Y73" s="2944"/>
      <c r="Z73" s="2944"/>
      <c r="AA73" s="2944"/>
      <c r="AB73" s="2944"/>
      <c r="AC73" s="2944"/>
    </row>
    <row r="74" spans="1:29" s="430" customFormat="1" ht="15.75" thickBot="1">
      <c r="A74" s="510"/>
      <c r="B74" s="500"/>
      <c r="C74" s="517"/>
      <c r="D74" s="517"/>
      <c r="E74" s="517"/>
      <c r="F74" s="517"/>
      <c r="G74" s="517"/>
      <c r="H74" s="519"/>
      <c r="I74" s="519"/>
      <c r="J74" s="519"/>
      <c r="K74" s="519"/>
      <c r="L74" s="519"/>
      <c r="M74" s="520"/>
      <c r="N74" s="2952"/>
      <c r="O74" s="2952"/>
      <c r="P74" s="2960"/>
      <c r="Q74" s="2943"/>
      <c r="R74" s="2944"/>
      <c r="S74" s="2944"/>
      <c r="T74" s="2944"/>
      <c r="U74" s="2944"/>
      <c r="V74" s="2944"/>
      <c r="W74" s="2944"/>
      <c r="X74" s="2944"/>
      <c r="Y74" s="2944"/>
      <c r="Z74" s="2944"/>
      <c r="AA74" s="2944"/>
      <c r="AB74" s="2944"/>
      <c r="AC74" s="2944"/>
    </row>
    <row r="75" spans="1:29" s="430" customFormat="1" ht="15.75" thickTop="1">
      <c r="A75" s="510"/>
      <c r="B75" s="503">
        <f>B14</f>
        <v>111</v>
      </c>
      <c r="C75" s="480"/>
      <c r="D75" s="480"/>
      <c r="E75" s="480"/>
      <c r="F75" s="480"/>
      <c r="G75" s="480"/>
      <c r="H75" s="521"/>
      <c r="I75" s="521"/>
      <c r="J75" s="521"/>
      <c r="K75" s="521"/>
      <c r="L75" s="522"/>
      <c r="M75" s="523"/>
      <c r="N75" s="2952"/>
      <c r="O75" s="2952"/>
      <c r="P75" s="2962"/>
      <c r="Q75" s="2943"/>
      <c r="R75" s="2944"/>
      <c r="S75" s="2944"/>
      <c r="T75" s="2944"/>
      <c r="U75" s="2944"/>
      <c r="V75" s="2944"/>
      <c r="W75" s="2944"/>
      <c r="X75" s="2944"/>
      <c r="Y75" s="2944"/>
      <c r="Z75" s="2944"/>
      <c r="AA75" s="2944"/>
      <c r="AB75" s="2944"/>
      <c r="AC75" s="2944"/>
    </row>
    <row r="76" spans="1:29" s="430" customFormat="1" ht="15.75" thickBot="1">
      <c r="A76" s="525"/>
      <c r="B76" s="526"/>
      <c r="C76" s="527"/>
      <c r="D76" s="527"/>
      <c r="E76" s="527"/>
      <c r="F76" s="527"/>
      <c r="G76" s="527"/>
      <c r="H76" s="528"/>
      <c r="I76" s="528"/>
      <c r="J76" s="528"/>
      <c r="K76" s="528"/>
      <c r="L76" s="528"/>
      <c r="M76" s="529"/>
      <c r="N76" s="2952"/>
      <c r="O76" s="2952"/>
      <c r="P76" s="2960"/>
      <c r="Q76" s="2943"/>
      <c r="R76" s="2944"/>
      <c r="S76" s="2944"/>
      <c r="T76" s="2944"/>
      <c r="U76" s="2944"/>
      <c r="V76" s="2944"/>
      <c r="W76" s="2944"/>
      <c r="X76" s="2944"/>
      <c r="Y76" s="2944"/>
      <c r="Z76" s="2944"/>
      <c r="AA76" s="2944"/>
      <c r="AB76" s="2944"/>
      <c r="AC76" s="2944"/>
    </row>
    <row r="77" spans="1:29">
      <c r="A77" s="484" t="s">
        <v>2319</v>
      </c>
      <c r="B77" s="485" t="s">
        <v>2457</v>
      </c>
      <c r="C77" s="530" t="s">
        <v>2357</v>
      </c>
      <c r="D77" s="530" t="s">
        <v>2358</v>
      </c>
      <c r="E77" s="530" t="s">
        <v>2359</v>
      </c>
      <c r="F77" s="530" t="s">
        <v>2360</v>
      </c>
      <c r="G77" s="530" t="s">
        <v>2361</v>
      </c>
      <c r="H77" s="486"/>
      <c r="I77" s="486"/>
      <c r="J77" s="486"/>
      <c r="K77" s="531"/>
      <c r="L77" s="532"/>
      <c r="M77" s="533"/>
      <c r="N77" s="2950"/>
      <c r="O77" s="2950"/>
      <c r="P77" s="2963"/>
      <c r="Q77" s="2936"/>
      <c r="R77" s="2922"/>
      <c r="S77" s="2922"/>
      <c r="T77" s="2922"/>
      <c r="U77" s="2922"/>
      <c r="V77" s="2922"/>
      <c r="W77" s="2922"/>
      <c r="X77" s="2922"/>
      <c r="Y77" s="2922"/>
      <c r="Z77" s="2922"/>
      <c r="AA77" s="2922"/>
      <c r="AB77" s="2922"/>
      <c r="AC77" s="2922"/>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1"/>
      <c r="O78" s="2951"/>
      <c r="P78" s="2959"/>
      <c r="Q78" s="2936"/>
      <c r="R78" s="2922"/>
      <c r="S78" s="2922"/>
      <c r="T78" s="2922"/>
      <c r="U78" s="2922"/>
      <c r="V78" s="2922"/>
      <c r="W78" s="2922"/>
      <c r="X78" s="2922"/>
      <c r="Y78" s="2922"/>
      <c r="Z78" s="2922"/>
      <c r="AA78" s="2922"/>
      <c r="AB78" s="2922"/>
      <c r="AC78" s="2922"/>
    </row>
    <row r="79" spans="1:29" ht="15.75" thickTop="1">
      <c r="A79" s="491"/>
      <c r="B79" s="495" t="s">
        <v>2362</v>
      </c>
      <c r="C79" s="535" t="s">
        <v>2357</v>
      </c>
      <c r="D79" s="535" t="s">
        <v>2358</v>
      </c>
      <c r="E79" s="535" t="s">
        <v>2359</v>
      </c>
      <c r="F79" s="535" t="s">
        <v>2360</v>
      </c>
      <c r="G79" s="535" t="s">
        <v>2361</v>
      </c>
      <c r="H79" s="496"/>
      <c r="I79" s="496"/>
      <c r="J79" s="496"/>
      <c r="K79" s="497"/>
      <c r="L79" s="498"/>
      <c r="M79" s="499"/>
      <c r="N79" s="2950"/>
      <c r="O79" s="2950"/>
      <c r="P79" s="2959"/>
      <c r="Q79" s="2936"/>
      <c r="R79" s="2922"/>
      <c r="S79" s="2922"/>
      <c r="T79" s="2922"/>
      <c r="U79" s="2922"/>
      <c r="V79" s="2922"/>
      <c r="W79" s="2922"/>
      <c r="X79" s="2922"/>
      <c r="Y79" s="2922"/>
      <c r="Z79" s="2922"/>
      <c r="AA79" s="2922"/>
      <c r="AB79" s="2922"/>
      <c r="AC79" s="2922"/>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1"/>
      <c r="O80" s="2951"/>
      <c r="P80" s="2959"/>
      <c r="Q80" s="2936"/>
      <c r="R80" s="2922"/>
      <c r="S80" s="2922"/>
      <c r="T80" s="2922"/>
      <c r="U80" s="2922"/>
      <c r="V80" s="2922"/>
      <c r="W80" s="2922"/>
      <c r="X80" s="2922"/>
      <c r="Y80" s="2922"/>
      <c r="Z80" s="2922"/>
      <c r="AA80" s="2922"/>
      <c r="AB80" s="2922"/>
      <c r="AC80" s="2922"/>
    </row>
    <row r="81" spans="1:29" ht="15.75" thickTop="1">
      <c r="A81" s="491"/>
      <c r="B81" s="495" t="s">
        <v>2363</v>
      </c>
      <c r="C81" s="535" t="s">
        <v>2357</v>
      </c>
      <c r="D81" s="535" t="s">
        <v>2358</v>
      </c>
      <c r="E81" s="535" t="s">
        <v>2359</v>
      </c>
      <c r="F81" s="535" t="s">
        <v>2360</v>
      </c>
      <c r="G81" s="535" t="s">
        <v>2361</v>
      </c>
      <c r="H81" s="496"/>
      <c r="I81" s="496"/>
      <c r="J81" s="496"/>
      <c r="K81" s="497"/>
      <c r="L81" s="498"/>
      <c r="M81" s="499"/>
      <c r="N81" s="2950"/>
      <c r="O81" s="2950"/>
      <c r="P81" s="2959"/>
      <c r="Q81" s="2936"/>
      <c r="R81" s="2922"/>
      <c r="S81" s="2922"/>
      <c r="T81" s="2922"/>
      <c r="U81" s="2922"/>
      <c r="V81" s="2922"/>
      <c r="W81" s="2922"/>
      <c r="X81" s="2922"/>
      <c r="Y81" s="2922"/>
      <c r="Z81" s="2922"/>
      <c r="AA81" s="2922"/>
      <c r="AB81" s="2922"/>
      <c r="AC81" s="2922"/>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1"/>
      <c r="O82" s="2951"/>
      <c r="P82" s="2959"/>
      <c r="Q82" s="2936"/>
      <c r="R82" s="2922"/>
      <c r="S82" s="2922"/>
      <c r="T82" s="2922"/>
      <c r="U82" s="2922"/>
      <c r="V82" s="2922"/>
      <c r="W82" s="2922"/>
      <c r="X82" s="2922"/>
      <c r="Y82" s="2922"/>
      <c r="Z82" s="2922"/>
      <c r="AA82" s="2922"/>
      <c r="AB82" s="2922"/>
      <c r="AC82" s="2922"/>
    </row>
    <row r="83" spans="1:29" ht="15.75" thickTop="1">
      <c r="A83" s="491"/>
      <c r="B83" s="503" t="s">
        <v>2449</v>
      </c>
      <c r="C83" s="616" t="s">
        <v>2435</v>
      </c>
      <c r="D83" s="616" t="s">
        <v>2436</v>
      </c>
      <c r="E83" s="616" t="s">
        <v>2437</v>
      </c>
      <c r="F83" s="616" t="s">
        <v>2438</v>
      </c>
      <c r="G83" s="616" t="s">
        <v>2439</v>
      </c>
      <c r="H83" s="496"/>
      <c r="I83" s="496"/>
      <c r="J83" s="496"/>
      <c r="K83" s="496"/>
      <c r="L83" s="496"/>
      <c r="M83" s="1263"/>
      <c r="N83" s="2951"/>
      <c r="O83" s="2951"/>
      <c r="P83" s="2959"/>
      <c r="Q83" s="2936"/>
      <c r="R83" s="2922"/>
      <c r="S83" s="2922"/>
      <c r="T83" s="2922"/>
      <c r="U83" s="2922"/>
      <c r="V83" s="2922"/>
      <c r="W83" s="2922"/>
      <c r="X83" s="2922"/>
      <c r="Y83" s="2922"/>
      <c r="Z83" s="2922"/>
      <c r="AA83" s="2922"/>
      <c r="AB83" s="2922"/>
      <c r="AC83" s="2922"/>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1"/>
      <c r="O84" s="2951"/>
      <c r="P84" s="2959"/>
      <c r="Q84" s="2936"/>
      <c r="R84" s="2922"/>
      <c r="S84" s="2922"/>
      <c r="T84" s="2922"/>
      <c r="U84" s="2922"/>
      <c r="V84" s="2922"/>
      <c r="W84" s="2922"/>
      <c r="X84" s="2922"/>
      <c r="Y84" s="2922"/>
      <c r="Z84" s="2922"/>
      <c r="AA84" s="2922"/>
      <c r="AB84" s="2922"/>
      <c r="AC84" s="2922"/>
    </row>
    <row r="85" spans="1:29" ht="15.75" thickTop="1">
      <c r="A85" s="491"/>
      <c r="B85" s="495" t="s">
        <v>2458</v>
      </c>
      <c r="C85" s="535" t="s">
        <v>2357</v>
      </c>
      <c r="D85" s="535" t="s">
        <v>2358</v>
      </c>
      <c r="E85" s="535" t="s">
        <v>2359</v>
      </c>
      <c r="F85" s="535" t="s">
        <v>2360</v>
      </c>
      <c r="G85" s="535" t="s">
        <v>2361</v>
      </c>
      <c r="H85" s="496"/>
      <c r="I85" s="496"/>
      <c r="J85" s="496"/>
      <c r="K85" s="497"/>
      <c r="L85" s="498"/>
      <c r="M85" s="499"/>
      <c r="N85" s="2950"/>
      <c r="O85" s="2950"/>
      <c r="P85" s="2959"/>
      <c r="Q85" s="2936"/>
      <c r="R85" s="2922"/>
      <c r="S85" s="2922"/>
      <c r="T85" s="2922"/>
      <c r="U85" s="2922"/>
      <c r="V85" s="2922"/>
      <c r="W85" s="2922"/>
      <c r="X85" s="2922"/>
      <c r="Y85" s="2922"/>
      <c r="Z85" s="2922"/>
      <c r="AA85" s="2922"/>
      <c r="AB85" s="2922"/>
      <c r="AC85" s="2922"/>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1"/>
      <c r="O86" s="2951"/>
      <c r="P86" s="2959"/>
      <c r="Q86" s="2936"/>
      <c r="R86" s="2922"/>
      <c r="S86" s="2922"/>
      <c r="T86" s="2922"/>
      <c r="U86" s="2922"/>
      <c r="V86" s="2922"/>
      <c r="W86" s="2922"/>
      <c r="X86" s="2922"/>
      <c r="Y86" s="2922"/>
      <c r="Z86" s="2922"/>
      <c r="AA86" s="2922"/>
      <c r="AB86" s="2922"/>
      <c r="AC86" s="2922"/>
    </row>
    <row r="87" spans="1:29" s="113" customFormat="1" ht="27.75" thickTop="1">
      <c r="A87" s="536"/>
      <c r="B87" s="495" t="s">
        <v>2459</v>
      </c>
      <c r="C87" s="511"/>
      <c r="D87" s="511"/>
      <c r="E87" s="511"/>
      <c r="F87" s="511"/>
      <c r="G87" s="511"/>
      <c r="H87" s="511"/>
      <c r="I87" s="511"/>
      <c r="J87" s="511"/>
      <c r="K87" s="511"/>
      <c r="L87" s="537"/>
      <c r="M87" s="538"/>
      <c r="N87" s="2949"/>
      <c r="O87" s="2949"/>
      <c r="P87" s="2959"/>
      <c r="Q87" s="2936"/>
      <c r="R87" s="2856"/>
      <c r="S87" s="2856"/>
      <c r="T87" s="2856"/>
      <c r="U87" s="2856"/>
      <c r="V87" s="2856"/>
      <c r="W87" s="2856"/>
      <c r="X87" s="2856"/>
      <c r="Y87" s="2856"/>
      <c r="Z87" s="2856"/>
      <c r="AA87" s="2856"/>
      <c r="AB87" s="2856"/>
      <c r="AC87" s="2856"/>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1"/>
      <c r="O88" s="2951"/>
      <c r="P88" s="2959"/>
      <c r="Q88" s="2936"/>
      <c r="R88" s="2856"/>
      <c r="S88" s="2856"/>
      <c r="T88" s="2856"/>
      <c r="U88" s="2856"/>
      <c r="V88" s="2856"/>
      <c r="W88" s="2856"/>
      <c r="X88" s="2856"/>
      <c r="Y88" s="2856"/>
      <c r="Z88" s="2856"/>
      <c r="AA88" s="2856"/>
      <c r="AB88" s="2856"/>
      <c r="AC88" s="2856"/>
    </row>
    <row r="89" spans="1:29" s="113" customFormat="1" ht="15.75" thickTop="1">
      <c r="A89" s="536"/>
      <c r="B89" s="495" t="str">
        <f>B27</f>
        <v>楼层</v>
      </c>
      <c r="C89" s="511"/>
      <c r="D89" s="511"/>
      <c r="E89" s="511"/>
      <c r="F89" s="2083"/>
      <c r="G89" s="511"/>
      <c r="H89" s="511"/>
      <c r="I89" s="511"/>
      <c r="J89" s="511"/>
      <c r="K89" s="511"/>
      <c r="L89" s="511"/>
      <c r="M89" s="538"/>
      <c r="N89" s="2949"/>
      <c r="O89" s="2949"/>
      <c r="P89" s="2959"/>
      <c r="Q89" s="2936"/>
      <c r="R89" s="2856"/>
      <c r="S89" s="2856"/>
      <c r="T89" s="2856"/>
      <c r="U89" s="2856"/>
      <c r="V89" s="2856"/>
      <c r="W89" s="2856"/>
      <c r="X89" s="2856"/>
      <c r="Y89" s="2856"/>
      <c r="Z89" s="2856"/>
      <c r="AA89" s="2856"/>
      <c r="AB89" s="2856"/>
      <c r="AC89" s="2856"/>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1"/>
      <c r="O90" s="2951"/>
      <c r="P90" s="2959"/>
      <c r="Q90" s="2936"/>
      <c r="R90" s="2856"/>
      <c r="S90" s="2856"/>
      <c r="T90" s="2856"/>
      <c r="U90" s="2856"/>
      <c r="V90" s="2856"/>
      <c r="W90" s="2856"/>
      <c r="X90" s="2856"/>
      <c r="Y90" s="2856"/>
      <c r="Z90" s="2856"/>
      <c r="AA90" s="2856"/>
      <c r="AB90" s="2856"/>
      <c r="AC90" s="2856"/>
    </row>
    <row r="91" spans="1:29" s="430" customFormat="1" ht="15.75" thickTop="1">
      <c r="A91" s="510"/>
      <c r="B91" s="495" t="str">
        <f>B28</f>
        <v>朝向</v>
      </c>
      <c r="C91" s="511"/>
      <c r="D91" s="511"/>
      <c r="E91" s="511"/>
      <c r="F91" s="511"/>
      <c r="G91" s="511"/>
      <c r="H91" s="512"/>
      <c r="I91" s="512"/>
      <c r="J91" s="512"/>
      <c r="K91" s="512"/>
      <c r="L91" s="513"/>
      <c r="M91" s="514"/>
      <c r="N91" s="2952"/>
      <c r="O91" s="2952"/>
      <c r="P91" s="2960"/>
      <c r="Q91" s="2943"/>
      <c r="R91" s="2944"/>
      <c r="S91" s="2944"/>
      <c r="T91" s="2944"/>
      <c r="U91" s="2944"/>
      <c r="V91" s="2944"/>
      <c r="W91" s="2944"/>
      <c r="X91" s="2944"/>
      <c r="Y91" s="2944"/>
      <c r="Z91" s="2944"/>
      <c r="AA91" s="2944"/>
      <c r="AB91" s="2944"/>
      <c r="AC91" s="2944"/>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2"/>
      <c r="O92" s="2952"/>
      <c r="P92" s="2960"/>
      <c r="Q92" s="2943"/>
      <c r="R92" s="2944"/>
      <c r="S92" s="2944"/>
      <c r="T92" s="2944"/>
      <c r="U92" s="2944"/>
      <c r="V92" s="2944"/>
      <c r="W92" s="2944"/>
      <c r="X92" s="2944"/>
      <c r="Y92" s="2944"/>
      <c r="Z92" s="2944"/>
      <c r="AA92" s="2944"/>
      <c r="AB92" s="2944"/>
      <c r="AC92" s="2944"/>
    </row>
    <row r="93" spans="1:29" ht="15.75" thickTop="1">
      <c r="A93" s="491"/>
      <c r="B93" s="495">
        <f>B29</f>
        <v>111</v>
      </c>
      <c r="C93" s="511"/>
      <c r="D93" s="511"/>
      <c r="E93" s="511"/>
      <c r="F93" s="511"/>
      <c r="G93" s="511"/>
      <c r="H93" s="511"/>
      <c r="I93" s="511"/>
      <c r="J93" s="511"/>
      <c r="K93" s="511"/>
      <c r="L93" s="537"/>
      <c r="M93" s="538"/>
      <c r="N93" s="2950"/>
      <c r="O93" s="2950"/>
      <c r="P93" s="2959"/>
      <c r="Q93" s="2936"/>
      <c r="R93" s="2922"/>
      <c r="S93" s="2922"/>
      <c r="T93" s="2922"/>
      <c r="U93" s="2922"/>
      <c r="V93" s="2922"/>
      <c r="W93" s="2922"/>
      <c r="X93" s="2922"/>
      <c r="Y93" s="2922"/>
      <c r="Z93" s="2922"/>
      <c r="AA93" s="2922"/>
      <c r="AB93" s="2922"/>
      <c r="AC93" s="2922"/>
    </row>
    <row r="94" spans="1:29" ht="15.75" thickBot="1">
      <c r="A94" s="491"/>
      <c r="B94" s="500"/>
      <c r="C94" s="517"/>
      <c r="D94" s="493"/>
      <c r="E94" s="493"/>
      <c r="F94" s="493"/>
      <c r="G94" s="493"/>
      <c r="H94" s="493"/>
      <c r="I94" s="493"/>
      <c r="J94" s="493"/>
      <c r="K94" s="493"/>
      <c r="L94" s="493"/>
      <c r="M94" s="494"/>
      <c r="N94" s="2951"/>
      <c r="O94" s="2951"/>
      <c r="P94" s="2959"/>
      <c r="Q94" s="2936"/>
      <c r="R94" s="2922"/>
      <c r="S94" s="2922"/>
      <c r="T94" s="2922"/>
      <c r="U94" s="2922"/>
      <c r="V94" s="2922"/>
      <c r="W94" s="2922"/>
      <c r="X94" s="2922"/>
      <c r="Y94" s="2922"/>
      <c r="Z94" s="2922"/>
      <c r="AA94" s="2922"/>
      <c r="AB94" s="2922"/>
      <c r="AC94" s="2922"/>
    </row>
    <row r="95" spans="1:29" ht="15.75" thickTop="1">
      <c r="A95" s="491"/>
      <c r="B95" s="495">
        <f>B30</f>
        <v>111</v>
      </c>
      <c r="C95" s="511"/>
      <c r="D95" s="511"/>
      <c r="E95" s="511"/>
      <c r="F95" s="511"/>
      <c r="G95" s="540"/>
      <c r="H95" s="540"/>
      <c r="I95" s="540"/>
      <c r="J95" s="540"/>
      <c r="K95" s="541"/>
      <c r="L95" s="542"/>
      <c r="M95" s="543"/>
      <c r="N95" s="2950"/>
      <c r="O95" s="2950"/>
      <c r="P95" s="2959"/>
      <c r="Q95" s="2936"/>
      <c r="R95" s="2922"/>
      <c r="S95" s="2922"/>
      <c r="T95" s="2922"/>
      <c r="U95" s="2922"/>
      <c r="V95" s="2922"/>
      <c r="W95" s="2922"/>
      <c r="X95" s="2922"/>
      <c r="Y95" s="2922"/>
      <c r="Z95" s="2922"/>
      <c r="AA95" s="2922"/>
      <c r="AB95" s="2922"/>
      <c r="AC95" s="2922"/>
    </row>
    <row r="96" spans="1:29" ht="15.75" thickBot="1">
      <c r="A96" s="491"/>
      <c r="B96" s="500"/>
      <c r="C96" s="517"/>
      <c r="D96" s="517"/>
      <c r="E96" s="517"/>
      <c r="F96" s="517"/>
      <c r="G96" s="493"/>
      <c r="H96" s="493"/>
      <c r="I96" s="493"/>
      <c r="J96" s="493"/>
      <c r="K96" s="493"/>
      <c r="L96" s="493"/>
      <c r="M96" s="494"/>
      <c r="N96" s="2951"/>
      <c r="O96" s="2951"/>
      <c r="P96" s="2959"/>
      <c r="Q96" s="2936"/>
      <c r="R96" s="2922"/>
      <c r="S96" s="2922"/>
      <c r="T96" s="2922"/>
      <c r="U96" s="2922"/>
      <c r="V96" s="2922"/>
      <c r="W96" s="2922"/>
      <c r="X96" s="2922"/>
      <c r="Y96" s="2922"/>
      <c r="Z96" s="2922"/>
      <c r="AA96" s="2922"/>
      <c r="AB96" s="2922"/>
      <c r="AC96" s="2922"/>
    </row>
    <row r="97" spans="1:29" ht="15.75" thickTop="1">
      <c r="A97" s="491"/>
      <c r="B97" s="495">
        <f>B31</f>
        <v>111</v>
      </c>
      <c r="C97" s="511"/>
      <c r="D97" s="511"/>
      <c r="E97" s="511"/>
      <c r="F97" s="511"/>
      <c r="G97" s="540"/>
      <c r="H97" s="540"/>
      <c r="I97" s="540"/>
      <c r="J97" s="540"/>
      <c r="K97" s="541"/>
      <c r="L97" s="542"/>
      <c r="M97" s="543"/>
      <c r="N97" s="2950"/>
      <c r="O97" s="2950"/>
      <c r="P97" s="2959"/>
      <c r="Q97" s="2936"/>
      <c r="R97" s="2922"/>
      <c r="S97" s="2922"/>
      <c r="T97" s="2922"/>
      <c r="U97" s="2922"/>
      <c r="V97" s="2922"/>
      <c r="W97" s="2922"/>
      <c r="X97" s="2922"/>
      <c r="Y97" s="2922"/>
      <c r="Z97" s="2922"/>
      <c r="AA97" s="2922"/>
      <c r="AB97" s="2922"/>
      <c r="AC97" s="2922"/>
    </row>
    <row r="98" spans="1:29" ht="15.75" thickBot="1">
      <c r="A98" s="491"/>
      <c r="B98" s="500"/>
      <c r="C98" s="517"/>
      <c r="D98" s="493"/>
      <c r="E98" s="493"/>
      <c r="F98" s="493"/>
      <c r="G98" s="493"/>
      <c r="H98" s="493"/>
      <c r="I98" s="493"/>
      <c r="J98" s="493"/>
      <c r="K98" s="493"/>
      <c r="L98" s="493"/>
      <c r="M98" s="494"/>
      <c r="N98" s="2951"/>
      <c r="O98" s="2951"/>
      <c r="P98" s="2959"/>
      <c r="Q98" s="2936"/>
      <c r="R98" s="2922"/>
      <c r="S98" s="2922"/>
      <c r="T98" s="2922"/>
      <c r="U98" s="2922"/>
      <c r="V98" s="2922"/>
      <c r="W98" s="2922"/>
      <c r="X98" s="2922"/>
      <c r="Y98" s="2922"/>
      <c r="Z98" s="2922"/>
      <c r="AA98" s="2922"/>
      <c r="AB98" s="2922"/>
      <c r="AC98" s="2922"/>
    </row>
    <row r="99" spans="1:29" ht="15.75" thickTop="1">
      <c r="A99" s="491"/>
      <c r="B99" s="503">
        <f>B32</f>
        <v>111</v>
      </c>
      <c r="C99" s="480"/>
      <c r="D99" s="480"/>
      <c r="E99" s="480"/>
      <c r="F99" s="480"/>
      <c r="G99" s="544"/>
      <c r="H99" s="544"/>
      <c r="I99" s="544"/>
      <c r="J99" s="544"/>
      <c r="K99" s="545"/>
      <c r="L99" s="546"/>
      <c r="M99" s="547"/>
      <c r="N99" s="2950"/>
      <c r="O99" s="2950"/>
      <c r="P99" s="2959"/>
      <c r="Q99" s="2936"/>
      <c r="R99" s="2922"/>
      <c r="S99" s="2922"/>
      <c r="T99" s="2922"/>
      <c r="U99" s="2922"/>
      <c r="V99" s="2922"/>
      <c r="W99" s="2922"/>
      <c r="X99" s="2922"/>
      <c r="Y99" s="2922"/>
      <c r="Z99" s="2922"/>
      <c r="AA99" s="2922"/>
      <c r="AB99" s="2922"/>
      <c r="AC99" s="2922"/>
    </row>
    <row r="100" spans="1:29" ht="15.75" thickBot="1">
      <c r="A100" s="2084"/>
      <c r="B100" s="526"/>
      <c r="C100" s="527"/>
      <c r="D100" s="527"/>
      <c r="E100" s="527"/>
      <c r="F100" s="527"/>
      <c r="G100" s="548"/>
      <c r="H100" s="548"/>
      <c r="I100" s="548"/>
      <c r="J100" s="548"/>
      <c r="K100" s="548"/>
      <c r="L100" s="548"/>
      <c r="M100" s="549"/>
      <c r="N100" s="2951"/>
      <c r="O100" s="2951"/>
      <c r="P100" s="2959"/>
      <c r="Q100" s="2936"/>
      <c r="R100" s="2922"/>
      <c r="S100" s="2922"/>
      <c r="T100" s="2922"/>
      <c r="U100" s="2922"/>
      <c r="V100" s="2922"/>
      <c r="W100" s="2922"/>
      <c r="X100" s="2922"/>
      <c r="Y100" s="2922"/>
      <c r="Z100" s="2922"/>
      <c r="AA100" s="2922"/>
      <c r="AB100" s="2922"/>
      <c r="AC100" s="2922"/>
    </row>
    <row r="101" spans="1:29">
      <c r="A101" s="484" t="s">
        <v>2323</v>
      </c>
      <c r="B101" s="485" t="s">
        <v>2372</v>
      </c>
      <c r="C101" s="487"/>
      <c r="D101" s="487"/>
      <c r="E101" s="487"/>
      <c r="F101" s="487"/>
      <c r="G101" s="487"/>
      <c r="H101" s="487"/>
      <c r="I101" s="487"/>
      <c r="J101" s="487"/>
      <c r="K101" s="488"/>
      <c r="L101" s="489"/>
      <c r="M101" s="490"/>
      <c r="N101" s="2950"/>
      <c r="O101" s="2950"/>
      <c r="P101" s="2959"/>
      <c r="Q101" s="2936"/>
      <c r="R101" s="2922"/>
      <c r="S101" s="2922"/>
      <c r="T101" s="2922"/>
      <c r="U101" s="2922"/>
      <c r="V101" s="2922"/>
      <c r="W101" s="2922"/>
      <c r="X101" s="2922"/>
      <c r="Y101" s="2922"/>
      <c r="Z101" s="2922"/>
      <c r="AA101" s="2922"/>
      <c r="AB101" s="2922"/>
      <c r="AC101" s="2922"/>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1"/>
      <c r="O102" s="2951"/>
      <c r="P102" s="2959"/>
      <c r="Q102" s="2936"/>
      <c r="R102" s="2922"/>
      <c r="S102" s="2922"/>
      <c r="T102" s="2922"/>
      <c r="U102" s="2922"/>
      <c r="V102" s="2922"/>
      <c r="W102" s="2922"/>
      <c r="X102" s="2922"/>
      <c r="Y102" s="2922"/>
      <c r="Z102" s="2922"/>
      <c r="AA102" s="2922"/>
      <c r="AB102" s="2922"/>
      <c r="AC102" s="2922"/>
    </row>
    <row r="103" spans="1:29" ht="15.75" thickTop="1">
      <c r="A103" s="491"/>
      <c r="B103" s="495" t="s">
        <v>2373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49"/>
      <c r="O103" s="2949"/>
      <c r="P103" s="2959"/>
      <c r="Q103" s="2936"/>
      <c r="R103" s="2922"/>
      <c r="S103" s="2922"/>
      <c r="T103" s="2922"/>
      <c r="U103" s="2922"/>
      <c r="V103" s="2922"/>
      <c r="W103" s="2922"/>
      <c r="X103" s="2922"/>
      <c r="Y103" s="2922"/>
      <c r="Z103" s="2922"/>
      <c r="AA103" s="2922"/>
      <c r="AB103" s="2922"/>
      <c r="AC103" s="2922"/>
    </row>
    <row r="104" spans="1:29" s="430" customFormat="1">
      <c r="A104" s="550"/>
      <c r="B104" s="551"/>
      <c r="C104" s="552"/>
      <c r="D104" s="552"/>
      <c r="E104" s="552"/>
      <c r="F104" s="552"/>
      <c r="G104" s="552"/>
      <c r="H104" s="552"/>
      <c r="I104" s="552"/>
      <c r="J104" s="553"/>
      <c r="K104" s="553"/>
      <c r="L104" s="554"/>
      <c r="M104" s="555"/>
      <c r="N104" s="2952"/>
      <c r="O104" s="2952"/>
      <c r="P104" s="2960"/>
      <c r="Q104" s="2943"/>
      <c r="R104" s="2944"/>
      <c r="S104" s="2944"/>
      <c r="T104" s="2944"/>
      <c r="U104" s="2944"/>
      <c r="V104" s="2944"/>
      <c r="W104" s="2944"/>
      <c r="X104" s="2944"/>
      <c r="Y104" s="2944"/>
      <c r="Z104" s="2944"/>
      <c r="AA104" s="2944"/>
      <c r="AB104" s="2944"/>
      <c r="AC104" s="2944"/>
    </row>
    <row r="105" spans="1:29" s="430" customFormat="1" ht="15.75" thickBot="1">
      <c r="A105" s="510"/>
      <c r="B105" s="500"/>
      <c r="C105" s="517"/>
      <c r="D105" s="493"/>
      <c r="E105" s="493"/>
      <c r="F105" s="493"/>
      <c r="G105" s="493"/>
      <c r="H105" s="493"/>
      <c r="I105" s="493"/>
      <c r="J105" s="493"/>
      <c r="K105" s="493"/>
      <c r="L105" s="493"/>
      <c r="M105" s="494"/>
      <c r="N105" s="2951"/>
      <c r="O105" s="2951"/>
      <c r="P105" s="2960"/>
      <c r="Q105" s="2943"/>
      <c r="R105" s="2944"/>
      <c r="S105" s="2944"/>
      <c r="T105" s="2944"/>
      <c r="U105" s="2944"/>
      <c r="V105" s="2944"/>
      <c r="W105" s="2944"/>
      <c r="X105" s="2944"/>
      <c r="Y105" s="2944"/>
      <c r="Z105" s="2944"/>
      <c r="AA105" s="2944"/>
      <c r="AB105" s="2944"/>
      <c r="AC105" s="2944"/>
    </row>
    <row r="106" spans="1:29" ht="15" thickTop="1">
      <c r="A106" s="556"/>
      <c r="B106" s="495" t="s">
        <v>2374</v>
      </c>
      <c r="C106" s="511"/>
      <c r="D106" s="511"/>
      <c r="E106" s="540"/>
      <c r="F106" s="540"/>
      <c r="G106" s="540"/>
      <c r="H106" s="540"/>
      <c r="I106" s="540"/>
      <c r="J106" s="540"/>
      <c r="K106" s="541"/>
      <c r="L106" s="542"/>
      <c r="M106" s="543"/>
      <c r="N106" s="2950"/>
      <c r="O106" s="2950"/>
      <c r="P106" s="2959"/>
      <c r="Q106" s="2936"/>
      <c r="R106" s="2922"/>
      <c r="S106" s="2922"/>
      <c r="T106" s="2922"/>
      <c r="U106" s="2922"/>
      <c r="V106" s="2922"/>
      <c r="W106" s="2922"/>
      <c r="X106" s="2922"/>
      <c r="Y106" s="2922"/>
      <c r="Z106" s="2922"/>
      <c r="AA106" s="2922"/>
      <c r="AB106" s="2922"/>
      <c r="AC106" s="2922"/>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1"/>
      <c r="O107" s="2951"/>
      <c r="P107" s="2959"/>
      <c r="Q107" s="2936"/>
      <c r="R107" s="2922"/>
      <c r="S107" s="2922"/>
      <c r="T107" s="2922"/>
      <c r="U107" s="2922"/>
      <c r="V107" s="2922"/>
      <c r="W107" s="2922"/>
      <c r="X107" s="2922"/>
      <c r="Y107" s="2922"/>
      <c r="Z107" s="2922"/>
      <c r="AA107" s="2922"/>
      <c r="AB107" s="2922"/>
      <c r="AC107" s="2922"/>
    </row>
    <row r="108" spans="1:29" ht="15" thickTop="1">
      <c r="A108" s="556"/>
      <c r="B108" s="495" t="s">
        <v>2376</v>
      </c>
      <c r="C108" s="511"/>
      <c r="D108" s="511"/>
      <c r="E108" s="511"/>
      <c r="F108" s="540"/>
      <c r="G108" s="540"/>
      <c r="H108" s="540"/>
      <c r="I108" s="540"/>
      <c r="J108" s="540"/>
      <c r="K108" s="541"/>
      <c r="L108" s="542"/>
      <c r="M108" s="543"/>
      <c r="N108" s="2950"/>
      <c r="O108" s="2950"/>
      <c r="P108" s="2959"/>
      <c r="Q108" s="2936"/>
      <c r="R108" s="2922"/>
      <c r="S108" s="2922"/>
      <c r="T108" s="2922"/>
      <c r="U108" s="2922"/>
      <c r="V108" s="2922"/>
      <c r="W108" s="2922"/>
      <c r="X108" s="2922"/>
      <c r="Y108" s="2922"/>
      <c r="Z108" s="2922"/>
      <c r="AA108" s="2922"/>
      <c r="AB108" s="2922"/>
      <c r="AC108" s="2922"/>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1"/>
      <c r="O109" s="2951"/>
      <c r="P109" s="2959"/>
      <c r="Q109" s="2936"/>
      <c r="R109" s="2922"/>
      <c r="S109" s="2922"/>
      <c r="T109" s="2922"/>
      <c r="U109" s="2922"/>
      <c r="V109" s="2922"/>
      <c r="W109" s="2922"/>
      <c r="X109" s="2922"/>
      <c r="Y109" s="2922"/>
      <c r="Z109" s="2922"/>
      <c r="AA109" s="2922"/>
      <c r="AB109" s="2922"/>
      <c r="AC109" s="2922"/>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0"/>
      <c r="O110" s="2950"/>
      <c r="P110" s="2959"/>
      <c r="Q110" s="2936"/>
      <c r="R110" s="2922"/>
      <c r="S110" s="2922"/>
      <c r="T110" s="2922"/>
      <c r="U110" s="2922"/>
      <c r="V110" s="2922"/>
      <c r="W110" s="2922"/>
      <c r="X110" s="2922"/>
      <c r="Y110" s="2922"/>
      <c r="Z110" s="2922"/>
      <c r="AA110" s="2922"/>
      <c r="AB110" s="2922"/>
      <c r="AC110" s="2922"/>
    </row>
    <row r="111" spans="1:29">
      <c r="A111" s="556"/>
      <c r="B111" s="503"/>
      <c r="C111" s="560">
        <v>0.5</v>
      </c>
      <c r="D111" s="560">
        <v>0.6</v>
      </c>
      <c r="E111" s="560">
        <v>0.7</v>
      </c>
      <c r="F111" s="560">
        <v>0.8</v>
      </c>
      <c r="G111" s="560">
        <v>0.9</v>
      </c>
      <c r="H111" s="560">
        <v>1.0001</v>
      </c>
      <c r="I111" s="579"/>
      <c r="J111" s="579"/>
      <c r="K111" s="580"/>
      <c r="L111" s="581"/>
      <c r="M111" s="582"/>
      <c r="N111" s="2950"/>
      <c r="O111" s="2950"/>
      <c r="P111" s="2959"/>
      <c r="Q111" s="2936"/>
      <c r="R111" s="2922"/>
      <c r="S111" s="2922"/>
      <c r="T111" s="2922"/>
      <c r="U111" s="2922"/>
      <c r="V111" s="2922"/>
      <c r="W111" s="2922"/>
      <c r="X111" s="2922"/>
      <c r="Y111" s="2922"/>
      <c r="Z111" s="2922"/>
      <c r="AA111" s="2922"/>
      <c r="AB111" s="2922"/>
      <c r="AC111" s="2922"/>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1"/>
      <c r="O112" s="2951"/>
      <c r="P112" s="2959"/>
      <c r="Q112" s="2936"/>
      <c r="R112" s="2922"/>
      <c r="S112" s="2922"/>
      <c r="T112" s="2922"/>
      <c r="U112" s="2922"/>
      <c r="V112" s="2922"/>
      <c r="W112" s="2922"/>
      <c r="X112" s="2922"/>
      <c r="Y112" s="2922"/>
      <c r="Z112" s="2922"/>
      <c r="AA112" s="2922"/>
      <c r="AB112" s="2922"/>
      <c r="AC112" s="2922"/>
    </row>
    <row r="113" spans="1:29" s="430" customFormat="1" ht="15" thickTop="1">
      <c r="A113" s="550"/>
      <c r="B113" s="495" t="s">
        <v>2460</v>
      </c>
      <c r="C113" s="511"/>
      <c r="D113" s="511"/>
      <c r="E113" s="511"/>
      <c r="F113" s="511"/>
      <c r="G113" s="511"/>
      <c r="H113" s="540"/>
      <c r="I113" s="540"/>
      <c r="J113" s="540"/>
      <c r="K113" s="541"/>
      <c r="L113" s="542"/>
      <c r="M113" s="543"/>
      <c r="N113" s="2952"/>
      <c r="O113" s="2952"/>
      <c r="P113" s="2960"/>
      <c r="Q113" s="2943"/>
      <c r="R113" s="2944"/>
      <c r="S113" s="2944"/>
      <c r="T113" s="2944"/>
      <c r="U113" s="2944"/>
      <c r="V113" s="2944"/>
      <c r="W113" s="2944"/>
      <c r="X113" s="2944"/>
      <c r="Y113" s="2944"/>
      <c r="Z113" s="2944"/>
      <c r="AA113" s="2944"/>
      <c r="AB113" s="2944"/>
      <c r="AC113" s="2944"/>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2"/>
      <c r="O114" s="2952"/>
      <c r="P114" s="2960"/>
      <c r="Q114" s="2943"/>
      <c r="R114" s="2944"/>
      <c r="S114" s="2944"/>
      <c r="T114" s="2944"/>
      <c r="U114" s="2944"/>
      <c r="V114" s="2944"/>
      <c r="W114" s="2944"/>
      <c r="X114" s="2944"/>
      <c r="Y114" s="2944"/>
      <c r="Z114" s="2944"/>
      <c r="AA114" s="2944"/>
      <c r="AB114" s="2944"/>
      <c r="AC114" s="2944"/>
    </row>
    <row r="115" spans="1:29" ht="15" thickTop="1">
      <c r="A115" s="556"/>
      <c r="B115" s="495" t="s">
        <v>2377</v>
      </c>
      <c r="C115" s="511"/>
      <c r="D115" s="511"/>
      <c r="E115" s="540"/>
      <c r="F115" s="540"/>
      <c r="G115" s="540"/>
      <c r="H115" s="540"/>
      <c r="I115" s="540"/>
      <c r="J115" s="540"/>
      <c r="K115" s="541"/>
      <c r="L115" s="542"/>
      <c r="M115" s="543"/>
      <c r="N115" s="2950"/>
      <c r="O115" s="2950"/>
      <c r="P115" s="2959"/>
      <c r="Q115" s="2936"/>
      <c r="R115" s="2922"/>
      <c r="S115" s="2922"/>
      <c r="T115" s="2922"/>
      <c r="U115" s="2922"/>
      <c r="V115" s="2922"/>
      <c r="W115" s="2922"/>
      <c r="X115" s="2922"/>
      <c r="Y115" s="2922"/>
      <c r="Z115" s="2922"/>
      <c r="AA115" s="2922"/>
      <c r="AB115" s="2922"/>
      <c r="AC115" s="2922"/>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1"/>
      <c r="O116" s="2951"/>
      <c r="P116" s="2959"/>
      <c r="Q116" s="2936"/>
      <c r="R116" s="2922"/>
      <c r="S116" s="2922"/>
      <c r="T116" s="2922"/>
      <c r="U116" s="2922"/>
      <c r="V116" s="2922"/>
      <c r="W116" s="2922"/>
      <c r="X116" s="2922"/>
      <c r="Y116" s="2922"/>
      <c r="Z116" s="2922"/>
      <c r="AA116" s="2922"/>
      <c r="AB116" s="2922"/>
      <c r="AC116" s="2922"/>
    </row>
    <row r="117" spans="1:29" ht="15" thickTop="1">
      <c r="A117" s="556"/>
      <c r="B117" s="495" t="s">
        <v>2378</v>
      </c>
      <c r="C117" s="511"/>
      <c r="D117" s="511"/>
      <c r="E117" s="511"/>
      <c r="F117" s="511"/>
      <c r="G117" s="511"/>
      <c r="H117" s="540"/>
      <c r="I117" s="540"/>
      <c r="J117" s="540"/>
      <c r="K117" s="541"/>
      <c r="L117" s="542"/>
      <c r="M117" s="543"/>
      <c r="N117" s="2950"/>
      <c r="O117" s="2950"/>
      <c r="P117" s="2959"/>
      <c r="Q117" s="2936"/>
      <c r="R117" s="2922"/>
      <c r="S117" s="2922"/>
      <c r="T117" s="2922"/>
      <c r="U117" s="2922"/>
      <c r="V117" s="2922"/>
      <c r="W117" s="2922"/>
      <c r="X117" s="2922"/>
      <c r="Y117" s="2922"/>
      <c r="Z117" s="2922"/>
      <c r="AA117" s="2922"/>
      <c r="AB117" s="2922"/>
      <c r="AC117" s="2922"/>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1"/>
      <c r="O118" s="2951"/>
      <c r="P118" s="2959"/>
      <c r="Q118" s="2936"/>
      <c r="R118" s="2922"/>
      <c r="S118" s="2922"/>
      <c r="T118" s="2922"/>
      <c r="U118" s="2922"/>
      <c r="V118" s="2922"/>
      <c r="W118" s="2922"/>
      <c r="X118" s="2922"/>
      <c r="Y118" s="2922"/>
      <c r="Z118" s="2922"/>
      <c r="AA118" s="2922"/>
      <c r="AB118" s="2922"/>
      <c r="AC118" s="2922"/>
    </row>
    <row r="119" spans="1:29" ht="15" thickTop="1">
      <c r="A119" s="556"/>
      <c r="B119" s="592" t="s">
        <v>2461</v>
      </c>
      <c r="C119" s="540"/>
      <c r="D119" s="540"/>
      <c r="E119" s="540"/>
      <c r="F119" s="540"/>
      <c r="G119" s="540"/>
      <c r="H119" s="540"/>
      <c r="I119" s="540"/>
      <c r="J119" s="540"/>
      <c r="K119" s="540"/>
      <c r="L119" s="2124"/>
      <c r="M119" s="2125"/>
      <c r="N119" s="2951"/>
      <c r="O119" s="2951"/>
      <c r="P119" s="2964"/>
      <c r="Q119" s="2965"/>
      <c r="R119" s="2922"/>
      <c r="S119" s="2922"/>
      <c r="T119" s="2922"/>
      <c r="U119" s="2922"/>
      <c r="V119" s="2922"/>
      <c r="W119" s="2922"/>
      <c r="X119" s="2922"/>
      <c r="Y119" s="2922"/>
      <c r="Z119" s="2922"/>
      <c r="AA119" s="2922"/>
      <c r="AB119" s="2922"/>
      <c r="AC119" s="2922"/>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1"/>
      <c r="O120" s="2951"/>
      <c r="P120" s="2959"/>
      <c r="Q120" s="2936"/>
      <c r="R120" s="2922"/>
      <c r="S120" s="2922"/>
      <c r="T120" s="2922"/>
      <c r="U120" s="2922"/>
      <c r="V120" s="2922"/>
      <c r="W120" s="2922"/>
      <c r="X120" s="2922"/>
      <c r="Y120" s="2922"/>
      <c r="Z120" s="2922"/>
      <c r="AA120" s="2922"/>
      <c r="AB120" s="2922"/>
      <c r="AC120" s="2922"/>
    </row>
    <row r="121" spans="1:29" s="430" customFormat="1" ht="15" thickTop="1">
      <c r="A121" s="550"/>
      <c r="B121" s="495" t="s">
        <v>2444</v>
      </c>
      <c r="C121" s="511"/>
      <c r="D121" s="511"/>
      <c r="E121" s="511"/>
      <c r="F121" s="540"/>
      <c r="G121" s="512"/>
      <c r="H121" s="512"/>
      <c r="I121" s="512"/>
      <c r="J121" s="512"/>
      <c r="K121" s="512"/>
      <c r="L121" s="513"/>
      <c r="M121" s="514"/>
      <c r="N121" s="2952"/>
      <c r="O121" s="2952"/>
      <c r="P121" s="2960"/>
      <c r="Q121" s="2943"/>
      <c r="R121" s="2944"/>
      <c r="S121" s="2944"/>
      <c r="T121" s="2944"/>
      <c r="U121" s="2944"/>
      <c r="V121" s="2944"/>
      <c r="W121" s="2944"/>
      <c r="X121" s="2944"/>
      <c r="Y121" s="2944"/>
      <c r="Z121" s="2944"/>
      <c r="AA121" s="2944"/>
      <c r="AB121" s="2944"/>
      <c r="AC121" s="2944"/>
    </row>
    <row r="122" spans="1:29" s="430" customFormat="1" ht="15.75" thickBot="1">
      <c r="A122" s="510"/>
      <c r="B122" s="492"/>
      <c r="C122" s="517"/>
      <c r="D122" s="517"/>
      <c r="E122" s="517"/>
      <c r="F122" s="517"/>
      <c r="G122" s="517"/>
      <c r="H122" s="517"/>
      <c r="I122" s="517"/>
      <c r="J122" s="517"/>
      <c r="K122" s="517"/>
      <c r="L122" s="517"/>
      <c r="M122" s="517"/>
      <c r="N122" s="2952"/>
      <c r="O122" s="2952"/>
      <c r="P122" s="2960"/>
      <c r="Q122" s="2943"/>
      <c r="R122" s="2944"/>
      <c r="S122" s="2944"/>
      <c r="T122" s="2944"/>
      <c r="U122" s="2944"/>
      <c r="V122" s="2944"/>
      <c r="W122" s="2944"/>
      <c r="X122" s="2944"/>
      <c r="Y122" s="2944"/>
      <c r="Z122" s="2944"/>
      <c r="AA122" s="2944"/>
      <c r="AB122" s="2944"/>
      <c r="AC122" s="2944"/>
    </row>
    <row r="123" spans="1:29" ht="15" thickTop="1">
      <c r="A123" s="556"/>
      <c r="B123" s="495" t="s">
        <v>2380</v>
      </c>
      <c r="C123" s="511"/>
      <c r="D123" s="511"/>
      <c r="E123" s="511"/>
      <c r="F123" s="540"/>
      <c r="G123" s="540"/>
      <c r="H123" s="540"/>
      <c r="I123" s="540"/>
      <c r="J123" s="540"/>
      <c r="K123" s="541"/>
      <c r="L123" s="542"/>
      <c r="M123" s="543"/>
      <c r="N123" s="2950"/>
      <c r="O123" s="2950"/>
      <c r="P123" s="2959"/>
      <c r="Q123" s="2936"/>
      <c r="R123" s="2922"/>
      <c r="S123" s="2922"/>
      <c r="T123" s="2922"/>
      <c r="U123" s="2922"/>
      <c r="V123" s="2922"/>
      <c r="W123" s="2922"/>
      <c r="X123" s="2922"/>
      <c r="Y123" s="2922"/>
      <c r="Z123" s="2922"/>
      <c r="AA123" s="2922"/>
      <c r="AB123" s="2922"/>
      <c r="AC123" s="2922"/>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1"/>
      <c r="O124" s="2951"/>
      <c r="P124" s="2959"/>
      <c r="Q124" s="2936"/>
      <c r="R124" s="2922"/>
      <c r="S124" s="2922"/>
      <c r="T124" s="2922"/>
      <c r="U124" s="2922"/>
      <c r="V124" s="2922"/>
      <c r="W124" s="2922"/>
      <c r="X124" s="2922"/>
      <c r="Y124" s="2922"/>
      <c r="Z124" s="2922"/>
      <c r="AA124" s="2922"/>
      <c r="AB124" s="2922"/>
      <c r="AC124" s="2922"/>
    </row>
    <row r="125" spans="1:29" ht="15" thickTop="1">
      <c r="A125" s="556"/>
      <c r="B125" s="495" t="s">
        <v>2381</v>
      </c>
      <c r="C125" s="535" t="s">
        <v>2357</v>
      </c>
      <c r="D125" s="535" t="s">
        <v>2358</v>
      </c>
      <c r="E125" s="535" t="s">
        <v>2359</v>
      </c>
      <c r="F125" s="535" t="s">
        <v>2360</v>
      </c>
      <c r="G125" s="535" t="s">
        <v>2361</v>
      </c>
      <c r="H125" s="496"/>
      <c r="I125" s="496"/>
      <c r="J125" s="496"/>
      <c r="K125" s="497"/>
      <c r="L125" s="498"/>
      <c r="M125" s="499"/>
      <c r="N125" s="2950"/>
      <c r="O125" s="2950"/>
      <c r="P125" s="2960"/>
      <c r="Q125" s="2936"/>
      <c r="R125" s="2922"/>
      <c r="S125" s="2922"/>
      <c r="T125" s="2922"/>
      <c r="U125" s="2922"/>
      <c r="V125" s="2922"/>
      <c r="W125" s="2922"/>
      <c r="X125" s="2922"/>
      <c r="Y125" s="2922"/>
      <c r="Z125" s="2922"/>
      <c r="AA125" s="2922"/>
      <c r="AB125" s="2922"/>
      <c r="AC125" s="2922"/>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1"/>
      <c r="O126" s="2951"/>
      <c r="P126" s="2959"/>
      <c r="Q126" s="2936"/>
      <c r="R126" s="2922"/>
      <c r="S126" s="2922"/>
      <c r="T126" s="2922"/>
      <c r="U126" s="2922"/>
      <c r="V126" s="2922"/>
      <c r="W126" s="2922"/>
      <c r="X126" s="2922"/>
      <c r="Y126" s="2922"/>
      <c r="Z126" s="2922"/>
      <c r="AA126" s="2922"/>
      <c r="AB126" s="2922"/>
      <c r="AC126" s="2922"/>
    </row>
    <row r="127" spans="1:29" s="430" customFormat="1" ht="15" thickTop="1">
      <c r="A127" s="550"/>
      <c r="B127" s="495">
        <f>B45</f>
        <v>111</v>
      </c>
      <c r="C127" s="511"/>
      <c r="D127" s="511"/>
      <c r="E127" s="511"/>
      <c r="F127" s="511"/>
      <c r="G127" s="511"/>
      <c r="H127" s="512"/>
      <c r="I127" s="512"/>
      <c r="J127" s="512"/>
      <c r="K127" s="512"/>
      <c r="L127" s="513"/>
      <c r="M127" s="514"/>
      <c r="N127" s="2952"/>
      <c r="O127" s="2952"/>
      <c r="P127" s="2960"/>
      <c r="Q127" s="2943"/>
      <c r="R127" s="2944"/>
      <c r="S127" s="2944"/>
      <c r="T127" s="2944"/>
      <c r="U127" s="2944"/>
      <c r="V127" s="2944"/>
      <c r="W127" s="2944"/>
      <c r="X127" s="2944"/>
      <c r="Y127" s="2944"/>
      <c r="Z127" s="2944"/>
      <c r="AA127" s="2944"/>
      <c r="AB127" s="2944"/>
      <c r="AC127" s="2944"/>
    </row>
    <row r="128" spans="1:29" s="430" customFormat="1" ht="15.75" thickBot="1">
      <c r="A128" s="510"/>
      <c r="B128" s="500"/>
      <c r="C128" s="517"/>
      <c r="D128" s="493"/>
      <c r="E128" s="493"/>
      <c r="F128" s="493"/>
      <c r="G128" s="517"/>
      <c r="H128" s="519"/>
      <c r="I128" s="519"/>
      <c r="J128" s="519"/>
      <c r="K128" s="519"/>
      <c r="L128" s="519"/>
      <c r="M128" s="520"/>
      <c r="N128" s="2952"/>
      <c r="O128" s="2952"/>
      <c r="P128" s="2960"/>
      <c r="Q128" s="2943"/>
      <c r="R128" s="2944"/>
      <c r="S128" s="2944"/>
      <c r="T128" s="2944"/>
      <c r="U128" s="2944"/>
      <c r="V128" s="2944"/>
      <c r="W128" s="2944"/>
      <c r="X128" s="2944"/>
      <c r="Y128" s="2944"/>
      <c r="Z128" s="2944"/>
      <c r="AA128" s="2944"/>
      <c r="AB128" s="2944"/>
      <c r="AC128" s="2944"/>
    </row>
    <row r="129" spans="1:29" ht="15" thickTop="1">
      <c r="A129" s="556"/>
      <c r="B129" s="495">
        <f>B46</f>
        <v>111</v>
      </c>
      <c r="C129" s="511"/>
      <c r="D129" s="511"/>
      <c r="E129" s="511"/>
      <c r="F129" s="511"/>
      <c r="G129" s="540"/>
      <c r="H129" s="540"/>
      <c r="I129" s="540"/>
      <c r="J129" s="540"/>
      <c r="K129" s="541"/>
      <c r="L129" s="542"/>
      <c r="M129" s="543"/>
      <c r="N129" s="2950"/>
      <c r="O129" s="2950"/>
      <c r="P129" s="2959"/>
      <c r="Q129" s="2936"/>
      <c r="R129" s="2922"/>
      <c r="S129" s="2922"/>
      <c r="T129" s="2922"/>
      <c r="U129" s="2922"/>
      <c r="V129" s="2922"/>
      <c r="W129" s="2922"/>
      <c r="X129" s="2922"/>
      <c r="Y129" s="2922"/>
      <c r="Z129" s="2922"/>
      <c r="AA129" s="2922"/>
      <c r="AB129" s="2922"/>
      <c r="AC129" s="2922"/>
    </row>
    <row r="130" spans="1:29" ht="15.75" thickBot="1">
      <c r="A130" s="491"/>
      <c r="B130" s="500"/>
      <c r="C130" s="517"/>
      <c r="D130" s="517"/>
      <c r="E130" s="517"/>
      <c r="F130" s="517"/>
      <c r="G130" s="493"/>
      <c r="H130" s="493"/>
      <c r="I130" s="493"/>
      <c r="J130" s="493"/>
      <c r="K130" s="493"/>
      <c r="L130" s="493"/>
      <c r="M130" s="494"/>
      <c r="N130" s="2951"/>
      <c r="O130" s="2951"/>
      <c r="P130" s="2959"/>
      <c r="Q130" s="2936"/>
      <c r="R130" s="2922"/>
      <c r="S130" s="2922"/>
      <c r="T130" s="2922"/>
      <c r="U130" s="2922"/>
      <c r="V130" s="2922"/>
      <c r="W130" s="2922"/>
      <c r="X130" s="2922"/>
      <c r="Y130" s="2922"/>
      <c r="Z130" s="2922"/>
      <c r="AA130" s="2922"/>
      <c r="AB130" s="2922"/>
      <c r="AC130" s="2922"/>
    </row>
    <row r="131" spans="1:29" ht="15" thickTop="1">
      <c r="A131" s="556"/>
      <c r="B131" s="503">
        <f>B47</f>
        <v>111</v>
      </c>
      <c r="C131" s="480"/>
      <c r="D131" s="480"/>
      <c r="E131" s="480"/>
      <c r="F131" s="480"/>
      <c r="G131" s="544"/>
      <c r="H131" s="544"/>
      <c r="I131" s="544"/>
      <c r="J131" s="544"/>
      <c r="K131" s="480"/>
      <c r="L131" s="481"/>
      <c r="M131" s="547"/>
      <c r="N131" s="2950"/>
      <c r="O131" s="2950"/>
      <c r="P131" s="2959"/>
      <c r="Q131" s="2936"/>
      <c r="R131" s="2922"/>
      <c r="S131" s="2922"/>
      <c r="T131" s="2922"/>
      <c r="U131" s="2922"/>
      <c r="V131" s="2922"/>
      <c r="W131" s="2922"/>
      <c r="X131" s="2922"/>
      <c r="Y131" s="2922"/>
      <c r="Z131" s="2922"/>
      <c r="AA131" s="2922"/>
      <c r="AB131" s="2922"/>
      <c r="AC131" s="2922"/>
    </row>
    <row r="132" spans="1:29" ht="15.75" thickBot="1">
      <c r="A132" s="2084"/>
      <c r="B132" s="526"/>
      <c r="C132" s="527"/>
      <c r="D132" s="527"/>
      <c r="E132" s="527"/>
      <c r="F132" s="527"/>
      <c r="G132" s="548"/>
      <c r="H132" s="548"/>
      <c r="I132" s="548"/>
      <c r="J132" s="548"/>
      <c r="K132" s="548"/>
      <c r="L132" s="548"/>
      <c r="M132" s="549"/>
      <c r="N132" s="2951"/>
      <c r="O132" s="2951"/>
      <c r="P132" s="2959"/>
      <c r="Q132" s="2936"/>
      <c r="R132" s="2922"/>
      <c r="S132" s="2922"/>
      <c r="T132" s="2922"/>
      <c r="U132" s="2922"/>
      <c r="V132" s="2922"/>
      <c r="W132" s="2922"/>
      <c r="X132" s="2922"/>
      <c r="Y132" s="2922"/>
      <c r="Z132" s="2922"/>
      <c r="AA132" s="2922"/>
      <c r="AB132" s="2922"/>
      <c r="AC132" s="292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中冶地（北京）房地产开发有限公司：</v>
      </c>
    </row>
    <row r="4" spans="1:1" ht="36">
      <c r="A4" s="1635" t="str">
        <f>"受贵公司委托，我公司对"&amp;项目基本情况!S1&amp;"进行了预评估。"</f>
        <v>受贵公司委托，我公司对北京市东城区东直门外大街42号房地产抵押价值进行了预评估。</v>
      </c>
    </row>
    <row r="5" spans="1:1" ht="18.75">
      <c r="A5" s="1636" t="s">
        <v>1517</v>
      </c>
    </row>
    <row r="6" spans="1:1" ht="18.75">
      <c r="A6" s="1637" t="s">
        <v>1518</v>
      </c>
    </row>
    <row r="7" spans="1:1" ht="54">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东城区东直门外大街42号房地产，为中冶地（北京）房地产开发有限公司所有。根据《国有土地使用证》[]，估价对象（分摊）出让国有建设用地使用权面积为1741.52平方米，建筑面积为11340.73平方米。</v>
      </c>
    </row>
    <row r="8" spans="1:1" ht="57.75">
      <c r="A8" s="1638" t="s">
        <v>1519</v>
      </c>
    </row>
    <row r="9" spans="1:1" ht="18.75">
      <c r="A9" s="1637" t="s">
        <v>1520</v>
      </c>
    </row>
    <row r="10" spans="1:1" ht="72">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东城区东直门外大街42号房地产,为中冶地（北京）房地产开发有限公司开发建设的商业项目，该项目尚在开发建设中。根据《国有土地使用证》[]，估价对象（分摊）出让国有建设用地使用权面积为1741.52平方米，规划建筑面积为11340.73平方米。</v>
      </c>
    </row>
    <row r="11" spans="1:1" ht="76.5">
      <c r="A11" s="1638" t="s">
        <v>1521</v>
      </c>
    </row>
    <row r="12" spans="1:1" ht="18.75">
      <c r="A12" s="1636" t="s">
        <v>1522</v>
      </c>
    </row>
    <row r="13" spans="1:1" ht="38.25" customHeight="1">
      <c r="A13" s="1639" t="str">
        <f>IF(项目基本情况!B8="抵押",IF(项目基本情况!B5=项目基本情况!B6,定义!C51,定义!B51),定义!D51)</f>
        <v>为估价委托人在向渤海银行北京航天桥支行办理贷款手续过程中，确定房地产抵押贷款额度提供参考依据而评估房地产抵押价值。</v>
      </c>
    </row>
    <row r="14" spans="1:1" ht="18.75">
      <c r="A14" s="1640" t="s">
        <v>1523</v>
      </c>
    </row>
    <row r="15" spans="1:1" ht="18">
      <c r="A15" s="1641" t="str">
        <f>TEXT(项目基本情况!D3,"yyyy年m月d日;;")&amp;IF(项目基本情况!D3=项目基本情况!B3,"（评估专业人员实地查勘之日）","")</f>
        <v>2022年3月21日（评估专业人员实地查勘之日）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3月21日，估价对象规划用途为商业、地下车库，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地下车库，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63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35" t="str">
        <f>IF(项目基本情况!B9="房地产市场价值","——",IF(项目基本情况!E9="——","",定义!C57))</f>
        <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2462</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IF(C2="——",ROUND(C43*D3/10000,0),ROUND(C43*D3/10000,0)-D2)</f>
        <v>#DIV/0!</v>
      </c>
      <c r="C2" s="2037"/>
      <c r="D2" s="1038" t="e">
        <f ca="1">SUMIF(INDIRECT("'"&amp;F2&amp;"'"&amp;"!A:A"),"承租人权益价值",INDIRECT("'"&amp;F2&amp;"'"&amp;"!c:c"))</f>
        <v>#REF!</v>
      </c>
      <c r="E2" s="2038" t="s">
        <v>2088</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2089</v>
      </c>
      <c r="B3" s="566" t="e">
        <f ca="1">IF(C2="——",C43,ROUND(B2*10000/D3,0))</f>
        <v>#DIV/0!</v>
      </c>
      <c r="C3" s="360" t="s">
        <v>2404</v>
      </c>
      <c r="D3" s="359">
        <f>IF(D1="",'数据-汇总表'!E3,SUMIF('数据-汇总表'!$C19:$C33,D1,'数据-汇总表'!$E19:$E33))</f>
        <v>11340.73</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1044"/>
      <c r="M4" s="1045"/>
      <c r="N4" s="1045"/>
      <c r="O4" s="1045"/>
      <c r="P4" s="3453" t="s">
        <v>2411</v>
      </c>
      <c r="Q4" s="3454"/>
      <c r="R4" s="3436" t="s">
        <v>2407</v>
      </c>
      <c r="S4" s="3437"/>
      <c r="T4" s="3436" t="s">
        <v>2408</v>
      </c>
      <c r="U4" s="3437"/>
      <c r="V4" s="3461" t="s">
        <v>2409</v>
      </c>
      <c r="W4" s="3461"/>
      <c r="X4" s="1509"/>
      <c r="Y4" s="3436" t="s">
        <v>2411</v>
      </c>
      <c r="Z4" s="3437"/>
      <c r="AA4" s="3431" t="s">
        <v>2407</v>
      </c>
      <c r="AB4" s="3432" t="s">
        <v>2408</v>
      </c>
      <c r="AC4" s="3431" t="s">
        <v>2409</v>
      </c>
    </row>
    <row r="5" spans="1:29" ht="15">
      <c r="A5" s="364"/>
      <c r="B5" s="365"/>
      <c r="C5" s="3442" t="s">
        <v>2302</v>
      </c>
      <c r="D5" s="3443"/>
      <c r="E5" s="3440" t="s">
        <v>2303</v>
      </c>
      <c r="F5" s="3441"/>
      <c r="G5" s="3442" t="s">
        <v>2304</v>
      </c>
      <c r="H5" s="3443"/>
      <c r="I5" s="3442" t="s">
        <v>2305</v>
      </c>
      <c r="J5" s="3443"/>
      <c r="K5" s="567"/>
      <c r="L5" s="1044"/>
      <c r="M5" s="1045"/>
      <c r="N5" s="1045"/>
      <c r="O5" s="1045"/>
      <c r="P5" s="3455"/>
      <c r="Q5" s="3456"/>
      <c r="R5" s="3438"/>
      <c r="S5" s="3439"/>
      <c r="T5" s="3438"/>
      <c r="U5" s="3439"/>
      <c r="V5" s="3461"/>
      <c r="W5" s="3461"/>
      <c r="X5" s="1509"/>
      <c r="Y5" s="3438"/>
      <c r="Z5" s="3439"/>
      <c r="AA5" s="3432"/>
      <c r="AB5" s="3432"/>
      <c r="AC5" s="3432"/>
    </row>
    <row r="6" spans="1:29" ht="15.75" thickBot="1">
      <c r="A6" s="366"/>
      <c r="B6" s="367"/>
      <c r="C6" s="3444" t="s">
        <v>2306</v>
      </c>
      <c r="D6" s="3445"/>
      <c r="E6" s="3446" t="s">
        <v>2306</v>
      </c>
      <c r="F6" s="3447"/>
      <c r="G6" s="3444" t="s">
        <v>2306</v>
      </c>
      <c r="H6" s="3445"/>
      <c r="I6" s="3444" t="s">
        <v>2306</v>
      </c>
      <c r="J6" s="3445"/>
      <c r="K6" s="567" t="s">
        <v>2307</v>
      </c>
      <c r="L6" s="1044"/>
      <c r="M6" s="1045"/>
      <c r="N6" s="1045"/>
      <c r="O6" s="1045"/>
      <c r="P6" s="3457"/>
      <c r="Q6" s="3458"/>
      <c r="R6" s="3438"/>
      <c r="S6" s="3439"/>
      <c r="T6" s="3459"/>
      <c r="U6" s="3460"/>
      <c r="V6" s="3461"/>
      <c r="W6" s="3461"/>
      <c r="X6" s="1509"/>
      <c r="Y6" s="3459"/>
      <c r="Z6" s="3460"/>
      <c r="AA6" s="3433"/>
      <c r="AB6" s="3433"/>
      <c r="AC6" s="3433"/>
    </row>
    <row r="7" spans="1:29" s="113" customFormat="1" ht="15.75" thickBot="1">
      <c r="A7" s="368" t="s">
        <v>2308</v>
      </c>
      <c r="B7" s="369"/>
      <c r="C7" s="370">
        <f>'数据-取费表'!B2</f>
        <v>44641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34" t="s">
        <v>2309</v>
      </c>
      <c r="Q7" s="3462"/>
      <c r="R7" s="710" t="s">
        <v>17</v>
      </c>
      <c r="S7" s="711">
        <f t="shared" ref="S7:S15" si="0">F7</f>
        <v>0</v>
      </c>
      <c r="T7" s="710" t="s">
        <v>17</v>
      </c>
      <c r="U7" s="711">
        <f t="shared" ref="U7:U15" si="1">H7</f>
        <v>0</v>
      </c>
      <c r="V7" s="710" t="s">
        <v>17</v>
      </c>
      <c r="W7" s="711">
        <f t="shared" ref="W7:W15" si="2">J7</f>
        <v>0</v>
      </c>
      <c r="X7" s="712"/>
      <c r="Y7" s="3434" t="s">
        <v>2309</v>
      </c>
      <c r="Z7" s="3435"/>
      <c r="AA7" s="713" t="e">
        <f>D7/F7</f>
        <v>#DIV/0!</v>
      </c>
      <c r="AB7" s="713" t="e">
        <f>D7/H7</f>
        <v>#DIV/0!</v>
      </c>
      <c r="AC7" s="713" t="e">
        <f>D7/J7</f>
        <v>#DIV/0!</v>
      </c>
    </row>
    <row r="8" spans="1:29" s="113" customFormat="1" ht="15.75" thickBot="1">
      <c r="A8" s="368" t="s">
        <v>2310</v>
      </c>
      <c r="B8" s="369"/>
      <c r="C8" s="374" t="s">
        <v>2311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34" t="s">
        <v>2312</v>
      </c>
      <c r="Q8" s="3435"/>
      <c r="R8" s="710" t="s">
        <v>17</v>
      </c>
      <c r="S8" s="711">
        <f t="shared" si="0"/>
        <v>0</v>
      </c>
      <c r="T8" s="710" t="s">
        <v>17</v>
      </c>
      <c r="U8" s="711">
        <f t="shared" si="1"/>
        <v>0</v>
      </c>
      <c r="V8" s="710" t="s">
        <v>17</v>
      </c>
      <c r="W8" s="711">
        <f t="shared" si="2"/>
        <v>0</v>
      </c>
      <c r="X8" s="712"/>
      <c r="Y8" s="3434" t="s">
        <v>2312</v>
      </c>
      <c r="Z8" s="3435"/>
      <c r="AA8" s="713" t="e">
        <f t="shared" ref="AA8:AA40" si="3">D8/F8</f>
        <v>#DIV/0!</v>
      </c>
      <c r="AB8" s="713" t="e">
        <f t="shared" ref="AB8:AB40" si="4">D8/H8</f>
        <v>#DIV/0!</v>
      </c>
      <c r="AC8" s="713" t="e">
        <f t="shared" ref="AC8:AC40" si="5">D8/J8</f>
        <v>#DIV/0!</v>
      </c>
    </row>
    <row r="9" spans="1:29" s="113" customFormat="1">
      <c r="A9" s="375" t="s">
        <v>2313</v>
      </c>
      <c r="B9" s="67" t="s">
        <v>2314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66"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66"/>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66"/>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66"/>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66"/>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66"/>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57">
      <c r="A15" s="399" t="s">
        <v>2319</v>
      </c>
      <c r="B15" s="65" t="s">
        <v>2463</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68" t="s">
        <v>2320</v>
      </c>
      <c r="Q15" s="1506" t="str">
        <f t="shared" si="6"/>
        <v>产业集聚程度</v>
      </c>
      <c r="R15" s="714" t="s">
        <v>17</v>
      </c>
      <c r="S15" s="715">
        <f t="shared" si="0"/>
        <v>100</v>
      </c>
      <c r="T15" s="714" t="s">
        <v>17</v>
      </c>
      <c r="U15" s="715">
        <f t="shared" si="1"/>
        <v>100</v>
      </c>
      <c r="V15" s="714" t="s">
        <v>17</v>
      </c>
      <c r="W15" s="715">
        <f t="shared" si="2"/>
        <v>100</v>
      </c>
      <c r="X15" s="1509"/>
      <c r="Y15" s="3468" t="s">
        <v>2320</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69"/>
      <c r="Q16" s="1506"/>
      <c r="R16" s="714"/>
      <c r="S16" s="715"/>
      <c r="T16" s="714"/>
      <c r="U16" s="715"/>
      <c r="V16" s="714"/>
      <c r="W16" s="715"/>
      <c r="X16" s="1509"/>
      <c r="Y16" s="3469"/>
      <c r="Z16" s="1510"/>
      <c r="AA16" s="1507">
        <v>1</v>
      </c>
      <c r="AB16" s="1507">
        <v>1</v>
      </c>
      <c r="AC16" s="1507">
        <v>1</v>
      </c>
    </row>
    <row r="17" spans="1:29" ht="85.5">
      <c r="A17" s="387"/>
      <c r="B17" s="410" t="s">
        <v>1884</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69"/>
      <c r="Q17" s="1506" t="str">
        <f>B17</f>
        <v>交通便捷度</v>
      </c>
      <c r="R17" s="714" t="s">
        <v>17</v>
      </c>
      <c r="S17" s="715">
        <f>F17</f>
        <v>100</v>
      </c>
      <c r="T17" s="714" t="s">
        <v>17</v>
      </c>
      <c r="U17" s="715">
        <f>H17</f>
        <v>100</v>
      </c>
      <c r="V17" s="714" t="s">
        <v>17</v>
      </c>
      <c r="W17" s="715">
        <f>J17</f>
        <v>100</v>
      </c>
      <c r="X17" s="1509"/>
      <c r="Y17" s="3469"/>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69"/>
      <c r="Q18" s="1506"/>
      <c r="R18" s="714"/>
      <c r="S18" s="715"/>
      <c r="T18" s="714"/>
      <c r="U18" s="715"/>
      <c r="V18" s="714"/>
      <c r="W18" s="715"/>
      <c r="X18" s="1509"/>
      <c r="Y18" s="3469"/>
      <c r="Z18" s="1510"/>
      <c r="AA18" s="1507">
        <v>1</v>
      </c>
      <c r="AB18" s="1507">
        <v>1</v>
      </c>
      <c r="AC18" s="1507">
        <v>1</v>
      </c>
    </row>
    <row r="19" spans="1:29" ht="42.75">
      <c r="A19" s="387"/>
      <c r="B19" s="410" t="s">
        <v>2448</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69"/>
      <c r="Q19" s="1506" t="str">
        <f>B19</f>
        <v>公共配套设施</v>
      </c>
      <c r="R19" s="714" t="s">
        <v>17</v>
      </c>
      <c r="S19" s="715">
        <f>F19</f>
        <v>100</v>
      </c>
      <c r="T19" s="714" t="s">
        <v>17</v>
      </c>
      <c r="U19" s="715">
        <f>H19</f>
        <v>100</v>
      </c>
      <c r="V19" s="714" t="s">
        <v>17</v>
      </c>
      <c r="W19" s="715">
        <f>J19</f>
        <v>100</v>
      </c>
      <c r="X19" s="1509"/>
      <c r="Y19" s="3469"/>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69"/>
      <c r="Q20" s="1506"/>
      <c r="R20" s="714"/>
      <c r="S20" s="715"/>
      <c r="T20" s="714"/>
      <c r="U20" s="715"/>
      <c r="V20" s="714"/>
      <c r="W20" s="715"/>
      <c r="X20" s="1509"/>
      <c r="Y20" s="3469"/>
      <c r="Z20" s="1510"/>
      <c r="AA20" s="1507">
        <v>1</v>
      </c>
      <c r="AB20" s="1507">
        <v>1</v>
      </c>
      <c r="AC20" s="1507">
        <v>1</v>
      </c>
    </row>
    <row r="21" spans="1:29" ht="28.5">
      <c r="A21" s="387"/>
      <c r="B21" s="1265" t="s">
        <v>2449</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69"/>
      <c r="Q21" s="1506" t="str">
        <f>B21</f>
        <v>基础设施水平</v>
      </c>
      <c r="R21" s="714" t="s">
        <v>17</v>
      </c>
      <c r="S21" s="715">
        <f>F21</f>
        <v>100</v>
      </c>
      <c r="T21" s="714" t="s">
        <v>17</v>
      </c>
      <c r="U21" s="715">
        <f>H21</f>
        <v>100</v>
      </c>
      <c r="V21" s="714" t="s">
        <v>17</v>
      </c>
      <c r="W21" s="715">
        <f>J21</f>
        <v>100</v>
      </c>
      <c r="X21" s="1509"/>
      <c r="Y21" s="346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69"/>
      <c r="Q22" s="1506"/>
      <c r="R22" s="714"/>
      <c r="S22" s="715"/>
      <c r="T22" s="714"/>
      <c r="U22" s="715"/>
      <c r="V22" s="714"/>
      <c r="W22" s="715"/>
      <c r="X22" s="1509"/>
      <c r="Y22" s="3469"/>
      <c r="Z22" s="1510"/>
      <c r="AA22" s="1507">
        <v>1</v>
      </c>
      <c r="AB22" s="1507">
        <v>1</v>
      </c>
      <c r="AC22" s="1507">
        <v>1</v>
      </c>
    </row>
    <row r="23" spans="1:29" ht="71.25">
      <c r="A23" s="387"/>
      <c r="B23" s="410" t="s">
        <v>2450</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69"/>
      <c r="Q23" s="1506" t="str">
        <f>B23</f>
        <v>环境质量</v>
      </c>
      <c r="R23" s="714" t="s">
        <v>17</v>
      </c>
      <c r="S23" s="715">
        <f>F23</f>
        <v>100</v>
      </c>
      <c r="T23" s="714" t="s">
        <v>17</v>
      </c>
      <c r="U23" s="715">
        <f>H23</f>
        <v>100</v>
      </c>
      <c r="V23" s="714" t="s">
        <v>17</v>
      </c>
      <c r="W23" s="715">
        <f>J23</f>
        <v>100</v>
      </c>
      <c r="X23" s="1509"/>
      <c r="Y23" s="3469"/>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69"/>
      <c r="Q24" s="1506"/>
      <c r="R24" s="714"/>
      <c r="S24" s="715"/>
      <c r="T24" s="714"/>
      <c r="U24" s="715"/>
      <c r="V24" s="714"/>
      <c r="W24" s="715"/>
      <c r="X24" s="1509"/>
      <c r="Y24" s="3469"/>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69"/>
      <c r="Q25" s="1506">
        <f>B25</f>
        <v>111</v>
      </c>
      <c r="R25" s="714" t="s">
        <v>17</v>
      </c>
      <c r="S25" s="715">
        <f>F25</f>
        <v>100</v>
      </c>
      <c r="T25" s="714" t="s">
        <v>17</v>
      </c>
      <c r="U25" s="715">
        <f>H25</f>
        <v>100</v>
      </c>
      <c r="V25" s="714" t="s">
        <v>17</v>
      </c>
      <c r="W25" s="715">
        <f>J25</f>
        <v>100</v>
      </c>
      <c r="X25" s="1509"/>
      <c r="Y25" s="3469"/>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69"/>
      <c r="Q26" s="1506">
        <f t="shared" ref="Q26:Q40" si="11">B26</f>
        <v>111</v>
      </c>
      <c r="R26" s="714" t="s">
        <v>17</v>
      </c>
      <c r="S26" s="715">
        <f>F26</f>
        <v>100</v>
      </c>
      <c r="T26" s="714" t="s">
        <v>17</v>
      </c>
      <c r="U26" s="715">
        <f>H26</f>
        <v>100</v>
      </c>
      <c r="V26" s="714" t="s">
        <v>17</v>
      </c>
      <c r="W26" s="715">
        <f>J26</f>
        <v>100</v>
      </c>
      <c r="X26" s="1509"/>
      <c r="Y26" s="3469"/>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69"/>
      <c r="Q27" s="1497">
        <f t="shared" si="11"/>
        <v>111</v>
      </c>
      <c r="R27" s="710" t="s">
        <v>17</v>
      </c>
      <c r="S27" s="711">
        <f>F27</f>
        <v>100</v>
      </c>
      <c r="T27" s="710" t="s">
        <v>17</v>
      </c>
      <c r="U27" s="711">
        <f>H27</f>
        <v>100</v>
      </c>
      <c r="V27" s="710" t="s">
        <v>17</v>
      </c>
      <c r="W27" s="711">
        <f>J27</f>
        <v>100</v>
      </c>
      <c r="X27" s="712"/>
      <c r="Y27" s="3469"/>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69"/>
      <c r="Q28" s="1506">
        <f t="shared" si="11"/>
        <v>111</v>
      </c>
      <c r="R28" s="714" t="s">
        <v>17</v>
      </c>
      <c r="S28" s="715">
        <f t="shared" ref="S28:S40" si="12">F28</f>
        <v>100</v>
      </c>
      <c r="T28" s="714" t="s">
        <v>17</v>
      </c>
      <c r="U28" s="715">
        <f t="shared" ref="U28:U40" si="13">H28</f>
        <v>100</v>
      </c>
      <c r="V28" s="714" t="s">
        <v>17</v>
      </c>
      <c r="W28" s="715">
        <f t="shared" ref="W28:W40" si="14">J28</f>
        <v>100</v>
      </c>
      <c r="X28" s="1509"/>
      <c r="Y28" s="3469"/>
      <c r="Z28" s="1510">
        <f t="shared" ref="Z28:Z40" si="15">Q28</f>
        <v>111</v>
      </c>
      <c r="AA28" s="1507">
        <f t="shared" si="3"/>
        <v>1</v>
      </c>
      <c r="AB28" s="1507">
        <f t="shared" si="4"/>
        <v>1</v>
      </c>
      <c r="AC28" s="1507">
        <f t="shared" si="5"/>
        <v>1</v>
      </c>
    </row>
    <row r="29" spans="1:29" ht="28.5">
      <c r="A29" s="425" t="s">
        <v>2323</v>
      </c>
      <c r="B29" s="67" t="s">
        <v>2453</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92" t="s">
        <v>2325</v>
      </c>
      <c r="Q29" s="1506" t="str">
        <f t="shared" si="11"/>
        <v>建筑类型</v>
      </c>
      <c r="R29" s="714" t="s">
        <v>17</v>
      </c>
      <c r="S29" s="715">
        <f t="shared" si="12"/>
        <v>100</v>
      </c>
      <c r="T29" s="714" t="s">
        <v>17</v>
      </c>
      <c r="U29" s="715">
        <f t="shared" si="13"/>
        <v>100</v>
      </c>
      <c r="V29" s="714" t="s">
        <v>17</v>
      </c>
      <c r="W29" s="715">
        <f t="shared" si="14"/>
        <v>100</v>
      </c>
      <c r="X29" s="1509"/>
      <c r="Y29" s="3473" t="s">
        <v>2325</v>
      </c>
      <c r="Z29" s="1510" t="str">
        <f t="shared" si="15"/>
        <v>建筑类型</v>
      </c>
      <c r="AA29" s="1507">
        <f t="shared" si="3"/>
        <v>1</v>
      </c>
      <c r="AB29" s="1507">
        <f t="shared" si="4"/>
        <v>1</v>
      </c>
      <c r="AC29" s="1507">
        <f t="shared" si="5"/>
        <v>1</v>
      </c>
    </row>
    <row r="30" spans="1:29" s="430" customFormat="1" ht="15">
      <c r="A30" s="427"/>
      <c r="B30" s="381" t="s">
        <v>2326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73"/>
      <c r="Q30" s="716" t="str">
        <f t="shared" si="11"/>
        <v>项目建筑规模</v>
      </c>
      <c r="R30" s="717" t="s">
        <v>17</v>
      </c>
      <c r="S30" s="718" t="e">
        <f t="shared" si="12"/>
        <v>#N/A</v>
      </c>
      <c r="T30" s="717" t="s">
        <v>17</v>
      </c>
      <c r="U30" s="718" t="e">
        <f t="shared" si="13"/>
        <v>#N/A</v>
      </c>
      <c r="V30" s="717" t="s">
        <v>17</v>
      </c>
      <c r="W30" s="718" t="e">
        <f t="shared" si="14"/>
        <v>#N/A</v>
      </c>
      <c r="X30" s="719"/>
      <c r="Y30" s="3473"/>
      <c r="Z30" s="720" t="str">
        <f t="shared" si="15"/>
        <v>项目建筑规模</v>
      </c>
      <c r="AA30" s="1507" t="e">
        <f t="shared" si="3"/>
        <v>#N/A</v>
      </c>
      <c r="AB30" s="1507" t="e">
        <f t="shared" si="4"/>
        <v>#N/A</v>
      </c>
      <c r="AC30" s="1507" t="e">
        <f t="shared" si="5"/>
        <v>#N/A</v>
      </c>
    </row>
    <row r="31" spans="1:29" ht="15">
      <c r="A31" s="431"/>
      <c r="B31" s="381" t="s">
        <v>2327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73"/>
      <c r="Q31" s="1506" t="str">
        <f t="shared" si="11"/>
        <v>建筑结构</v>
      </c>
      <c r="R31" s="714" t="s">
        <v>17</v>
      </c>
      <c r="S31" s="715">
        <f t="shared" si="12"/>
        <v>100</v>
      </c>
      <c r="T31" s="714" t="s">
        <v>17</v>
      </c>
      <c r="U31" s="715">
        <f t="shared" si="13"/>
        <v>100</v>
      </c>
      <c r="V31" s="714" t="s">
        <v>17</v>
      </c>
      <c r="W31" s="715">
        <f t="shared" si="14"/>
        <v>100</v>
      </c>
      <c r="X31" s="1509"/>
      <c r="Y31" s="3473"/>
      <c r="Z31" s="1510" t="str">
        <f t="shared" si="15"/>
        <v>建筑结构</v>
      </c>
      <c r="AA31" s="1507">
        <f t="shared" si="3"/>
        <v>1</v>
      </c>
      <c r="AB31" s="1507">
        <f t="shared" si="4"/>
        <v>1</v>
      </c>
      <c r="AC31" s="1507">
        <f t="shared" si="5"/>
        <v>1</v>
      </c>
    </row>
    <row r="32" spans="1:29" ht="15">
      <c r="A32" s="431"/>
      <c r="B32" s="381" t="s">
        <v>2421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73"/>
      <c r="Q32" s="1506" t="str">
        <f t="shared" si="11"/>
        <v>公共部分装修</v>
      </c>
      <c r="R32" s="714" t="s">
        <v>17</v>
      </c>
      <c r="S32" s="715">
        <f t="shared" si="12"/>
        <v>100</v>
      </c>
      <c r="T32" s="714" t="s">
        <v>17</v>
      </c>
      <c r="U32" s="715">
        <f t="shared" si="13"/>
        <v>100</v>
      </c>
      <c r="V32" s="714" t="s">
        <v>17</v>
      </c>
      <c r="W32" s="715">
        <f t="shared" si="14"/>
        <v>100</v>
      </c>
      <c r="X32" s="1509"/>
      <c r="Y32" s="3473"/>
      <c r="Z32" s="1510" t="str">
        <f t="shared" si="15"/>
        <v>公共部分装修</v>
      </c>
      <c r="AA32" s="1507">
        <f t="shared" si="3"/>
        <v>1</v>
      </c>
      <c r="AB32" s="1507">
        <f t="shared" si="4"/>
        <v>1</v>
      </c>
      <c r="AC32" s="1507">
        <f t="shared" si="5"/>
        <v>1</v>
      </c>
    </row>
    <row r="33" spans="1:29" ht="15">
      <c r="A33" s="431"/>
      <c r="B33" s="381" t="s">
        <v>2422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73"/>
      <c r="Q33" s="1506" t="str">
        <f t="shared" si="11"/>
        <v>成新度</v>
      </c>
      <c r="R33" s="714" t="s">
        <v>17</v>
      </c>
      <c r="S33" s="715" t="e">
        <f t="shared" si="12"/>
        <v>#N/A</v>
      </c>
      <c r="T33" s="714" t="s">
        <v>17</v>
      </c>
      <c r="U33" s="715" t="e">
        <f t="shared" si="13"/>
        <v>#N/A</v>
      </c>
      <c r="V33" s="714" t="s">
        <v>17</v>
      </c>
      <c r="W33" s="715" t="e">
        <f t="shared" si="14"/>
        <v>#N/A</v>
      </c>
      <c r="X33" s="1509"/>
      <c r="Y33" s="3473"/>
      <c r="Z33" s="1510" t="str">
        <f t="shared" si="15"/>
        <v>成新度</v>
      </c>
      <c r="AA33" s="1507" t="e">
        <f t="shared" si="3"/>
        <v>#N/A</v>
      </c>
      <c r="AB33" s="1507" t="e">
        <f t="shared" si="4"/>
        <v>#N/A</v>
      </c>
      <c r="AC33" s="1507" t="e">
        <f t="shared" si="5"/>
        <v>#N/A</v>
      </c>
    </row>
    <row r="34" spans="1:29" s="113" customFormat="1" ht="15">
      <c r="A34" s="432"/>
      <c r="B34" s="381" t="s">
        <v>2455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73"/>
      <c r="Q34" s="1497" t="str">
        <f t="shared" si="11"/>
        <v>物业管理</v>
      </c>
      <c r="R34" s="710" t="s">
        <v>17</v>
      </c>
      <c r="S34" s="711">
        <f t="shared" si="12"/>
        <v>100</v>
      </c>
      <c r="T34" s="710" t="s">
        <v>17</v>
      </c>
      <c r="U34" s="711">
        <f t="shared" si="13"/>
        <v>100</v>
      </c>
      <c r="V34" s="710" t="s">
        <v>17</v>
      </c>
      <c r="W34" s="711">
        <f t="shared" si="14"/>
        <v>100</v>
      </c>
      <c r="X34" s="712"/>
      <c r="Y34" s="3473"/>
      <c r="Z34" s="55" t="str">
        <f t="shared" si="15"/>
        <v>物业管理</v>
      </c>
      <c r="AA34" s="713">
        <f t="shared" si="3"/>
        <v>1</v>
      </c>
      <c r="AB34" s="713">
        <f t="shared" si="4"/>
        <v>1</v>
      </c>
      <c r="AC34" s="713">
        <f t="shared" si="5"/>
        <v>1</v>
      </c>
    </row>
    <row r="35" spans="1:29" ht="15">
      <c r="A35" s="431"/>
      <c r="B35" s="381" t="s">
        <v>2423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73" t="s">
        <v>2325</v>
      </c>
      <c r="Q35" s="1506" t="str">
        <f t="shared" si="11"/>
        <v>市政基础设施</v>
      </c>
      <c r="R35" s="714" t="s">
        <v>17</v>
      </c>
      <c r="S35" s="715">
        <f t="shared" si="12"/>
        <v>100</v>
      </c>
      <c r="T35" s="714" t="s">
        <v>17</v>
      </c>
      <c r="U35" s="715">
        <f t="shared" si="13"/>
        <v>100</v>
      </c>
      <c r="V35" s="714" t="s">
        <v>17</v>
      </c>
      <c r="W35" s="715">
        <f t="shared" si="14"/>
        <v>100</v>
      </c>
      <c r="X35" s="1509"/>
      <c r="Y35" s="3473" t="s">
        <v>2325</v>
      </c>
      <c r="Z35" s="1510" t="str">
        <f t="shared" si="15"/>
        <v>市政基础设施</v>
      </c>
      <c r="AA35" s="1507">
        <f t="shared" si="3"/>
        <v>1</v>
      </c>
      <c r="AB35" s="1507">
        <f t="shared" si="4"/>
        <v>1</v>
      </c>
      <c r="AC35" s="1507">
        <f t="shared" si="5"/>
        <v>1</v>
      </c>
    </row>
    <row r="36" spans="1:29" ht="15">
      <c r="A36" s="431"/>
      <c r="B36" s="381" t="s">
        <v>2428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73"/>
      <c r="Q36" s="1506" t="str">
        <f t="shared" si="11"/>
        <v>内部装修</v>
      </c>
      <c r="R36" s="714" t="s">
        <v>17</v>
      </c>
      <c r="S36" s="715">
        <f t="shared" si="12"/>
        <v>100</v>
      </c>
      <c r="T36" s="714" t="s">
        <v>17</v>
      </c>
      <c r="U36" s="715">
        <f t="shared" si="13"/>
        <v>100</v>
      </c>
      <c r="V36" s="714" t="s">
        <v>17</v>
      </c>
      <c r="W36" s="715">
        <f t="shared" si="14"/>
        <v>100</v>
      </c>
      <c r="X36" s="1509"/>
      <c r="Y36" s="3473"/>
      <c r="Z36" s="1510" t="str">
        <f t="shared" si="15"/>
        <v>内部装修</v>
      </c>
      <c r="AA36" s="1507">
        <f t="shared" si="3"/>
        <v>1</v>
      </c>
      <c r="AB36" s="1507">
        <f t="shared" si="4"/>
        <v>1</v>
      </c>
      <c r="AC36" s="1507">
        <f t="shared" si="5"/>
        <v>1</v>
      </c>
    </row>
    <row r="37" spans="1:29" ht="15">
      <c r="A37" s="431"/>
      <c r="B37" s="381" t="s">
        <v>2464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73"/>
      <c r="Q37" s="1506" t="str">
        <f t="shared" si="11"/>
        <v>内部装修状况</v>
      </c>
      <c r="R37" s="714" t="s">
        <v>17</v>
      </c>
      <c r="S37" s="715">
        <f t="shared" si="12"/>
        <v>100</v>
      </c>
      <c r="T37" s="714" t="s">
        <v>17</v>
      </c>
      <c r="U37" s="715">
        <f t="shared" si="13"/>
        <v>100</v>
      </c>
      <c r="V37" s="714" t="s">
        <v>17</v>
      </c>
      <c r="W37" s="715">
        <f t="shared" si="14"/>
        <v>100</v>
      </c>
      <c r="X37" s="1509"/>
      <c r="Y37" s="3473"/>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73"/>
      <c r="Q38" s="716">
        <f t="shared" si="11"/>
        <v>111</v>
      </c>
      <c r="R38" s="717" t="s">
        <v>17</v>
      </c>
      <c r="S38" s="718">
        <f t="shared" si="12"/>
        <v>100</v>
      </c>
      <c r="T38" s="717" t="s">
        <v>17</v>
      </c>
      <c r="U38" s="718">
        <f t="shared" si="13"/>
        <v>100</v>
      </c>
      <c r="V38" s="717" t="s">
        <v>17</v>
      </c>
      <c r="W38" s="718">
        <f t="shared" si="14"/>
        <v>100</v>
      </c>
      <c r="X38" s="719"/>
      <c r="Y38" s="3473"/>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73"/>
      <c r="Q39" s="1506">
        <f t="shared" si="11"/>
        <v>111</v>
      </c>
      <c r="R39" s="714" t="s">
        <v>17</v>
      </c>
      <c r="S39" s="715">
        <f t="shared" si="12"/>
        <v>100</v>
      </c>
      <c r="T39" s="714" t="s">
        <v>17</v>
      </c>
      <c r="U39" s="715">
        <f t="shared" si="13"/>
        <v>100</v>
      </c>
      <c r="V39" s="714" t="s">
        <v>17</v>
      </c>
      <c r="W39" s="715">
        <f t="shared" si="14"/>
        <v>100</v>
      </c>
      <c r="X39" s="1509"/>
      <c r="Y39" s="3473"/>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74"/>
      <c r="Q40" s="1506">
        <f t="shared" si="11"/>
        <v>111</v>
      </c>
      <c r="R40" s="714" t="s">
        <v>17</v>
      </c>
      <c r="S40" s="715">
        <f t="shared" si="12"/>
        <v>100</v>
      </c>
      <c r="T40" s="714" t="s">
        <v>17</v>
      </c>
      <c r="U40" s="715">
        <f t="shared" si="13"/>
        <v>100</v>
      </c>
      <c r="V40" s="714" t="s">
        <v>17</v>
      </c>
      <c r="W40" s="715">
        <f t="shared" si="14"/>
        <v>100</v>
      </c>
      <c r="X40" s="1509"/>
      <c r="Y40" s="3474"/>
      <c r="Z40" s="1510">
        <f t="shared" si="15"/>
        <v>111</v>
      </c>
      <c r="AA40" s="1507">
        <f t="shared" si="3"/>
        <v>1</v>
      </c>
      <c r="AB40" s="1507">
        <f t="shared" si="4"/>
        <v>1</v>
      </c>
      <c r="AC40" s="1507">
        <f t="shared" si="5"/>
        <v>1</v>
      </c>
    </row>
    <row r="41" spans="1:29" ht="15">
      <c r="A41" s="438" t="s">
        <v>2337</v>
      </c>
      <c r="B41" s="439"/>
      <c r="C41" s="1288" t="s">
        <v>1</v>
      </c>
      <c r="D41" s="1289"/>
      <c r="E41" s="1290"/>
      <c r="F41" s="1291"/>
      <c r="G41" s="1292"/>
      <c r="H41" s="1293"/>
      <c r="I41" s="1290"/>
      <c r="J41" s="1293"/>
      <c r="K41" s="723"/>
      <c r="L41" s="1057"/>
      <c r="M41" s="1058"/>
      <c r="N41" s="1045"/>
      <c r="O41" s="1058"/>
      <c r="P41" s="3466" t="str">
        <f>A41</f>
        <v>成交单价（元/平方米）</v>
      </c>
      <c r="Q41" s="3466"/>
      <c r="R41" s="3467">
        <f>E41</f>
        <v>0</v>
      </c>
      <c r="S41" s="3467"/>
      <c r="T41" s="3467">
        <f>G41</f>
        <v>0</v>
      </c>
      <c r="U41" s="3467"/>
      <c r="V41" s="3467">
        <f>I41</f>
        <v>0</v>
      </c>
      <c r="W41" s="3467"/>
      <c r="X41" s="699"/>
      <c r="Y41" s="721"/>
      <c r="Z41" s="699"/>
      <c r="AA41" s="699"/>
      <c r="AB41" s="699"/>
      <c r="AC41" s="699"/>
    </row>
    <row r="42" spans="1:29" ht="15.75" thickBot="1">
      <c r="A42" s="445" t="s">
        <v>2429</v>
      </c>
      <c r="B42" s="446"/>
      <c r="C42" s="1294" t="e">
        <f>R43</f>
        <v>#DIV/0!</v>
      </c>
      <c r="D42" s="2508" t="s">
        <v>2820</v>
      </c>
      <c r="E42" s="1295" t="e">
        <f>R42</f>
        <v>#DIV/0!</v>
      </c>
      <c r="F42" s="2509"/>
      <c r="G42" s="1294" t="e">
        <f>T42</f>
        <v>#DIV/0!</v>
      </c>
      <c r="H42" s="2509"/>
      <c r="I42" s="1295" t="e">
        <f>V42</f>
        <v>#DIV/0!</v>
      </c>
      <c r="J42" s="2509"/>
      <c r="K42" s="2511">
        <f>F42+H42+J42</f>
        <v>0</v>
      </c>
      <c r="L42" s="1057"/>
      <c r="M42" s="1058"/>
      <c r="N42" s="1045"/>
      <c r="O42" s="1058"/>
      <c r="P42" s="3466" t="str">
        <f>A42</f>
        <v>比较价值（元/平方米）</v>
      </c>
      <c r="Q42" s="3466"/>
      <c r="R42" s="3467" t="e">
        <f>IF(F1="售价",ROUND(PRODUCT(R41,AA7:AA40),0),ROUND(PRODUCT(R41,AA7:AA40),1))</f>
        <v>#DIV/0!</v>
      </c>
      <c r="S42" s="3467"/>
      <c r="T42" s="3467" t="e">
        <f>IF(F1="售价",ROUND(PRODUCT(T41,AB7:AB40),0),ROUND(PRODUCT(T41,AB7:AB40),1))</f>
        <v>#DIV/0!</v>
      </c>
      <c r="U42" s="3467"/>
      <c r="V42" s="3467" t="e">
        <f>IF(F1="售价",ROUND(PRODUCT(V41,AC7:AC40),0),ROUND(PRODUCT(V41,AC7:AC40),1))</f>
        <v>#DIV/0!</v>
      </c>
      <c r="W42" s="3467"/>
      <c r="X42" s="699"/>
      <c r="Y42" s="699"/>
      <c r="Z42" s="699"/>
      <c r="AA42" s="699"/>
      <c r="AB42" s="699"/>
      <c r="AC42" s="699"/>
    </row>
    <row r="43" spans="1:29" ht="15.75" thickBot="1">
      <c r="A43" s="449" t="s">
        <v>2430</v>
      </c>
      <c r="B43" s="450"/>
      <c r="C43" s="1297" t="e">
        <f>R43</f>
        <v>#DIV/0!</v>
      </c>
      <c r="D43" s="1297"/>
      <c r="E43" s="1297"/>
      <c r="F43" s="1297"/>
      <c r="G43" s="1297"/>
      <c r="H43" s="1297"/>
      <c r="I43" s="1297"/>
      <c r="J43" s="1297"/>
      <c r="K43" s="724"/>
      <c r="L43" s="1057"/>
      <c r="M43" s="1058"/>
      <c r="N43" s="1058"/>
      <c r="O43" s="1058"/>
      <c r="P43" s="3463" t="str">
        <f>A43</f>
        <v>估价对象XX用房的比较价值（楼面单价，元/平方米）</v>
      </c>
      <c r="Q43" s="3464"/>
      <c r="R43" s="3465" t="e">
        <f>IF(F1="售价",ROUND(IF(D42="简单平均",AVERAGE(R42:V42),R42*F42+T42*H42+V42*J42),0),ROUND(IF(D42="简单平均",AVERAGE(R42:V42),R42*F42+T42*H42+V42*J42),1))</f>
        <v>#DIV/0!</v>
      </c>
      <c r="S43" s="3465"/>
      <c r="T43" s="3465"/>
      <c r="U43" s="3465"/>
      <c r="V43" s="3465"/>
      <c r="W43" s="3465"/>
      <c r="X43" s="699"/>
      <c r="Y43" s="699"/>
      <c r="Z43" s="699"/>
      <c r="AA43" s="699"/>
      <c r="AB43" s="699"/>
      <c r="AC43" s="699"/>
    </row>
    <row r="44" spans="1:29">
      <c r="A44" s="2922"/>
      <c r="B44" s="2922"/>
      <c r="C44" s="2922"/>
      <c r="D44" s="2922"/>
      <c r="E44" s="2922"/>
      <c r="F44" s="2922"/>
      <c r="G44" s="2926"/>
      <c r="H44" s="2922"/>
      <c r="I44" s="2922"/>
      <c r="J44" s="2922"/>
      <c r="K44" s="2927"/>
      <c r="L44" s="1020"/>
      <c r="M44" s="1058"/>
      <c r="N44" s="1058"/>
      <c r="O44" s="1058"/>
    </row>
    <row r="45" spans="1:29">
      <c r="A45" s="2922"/>
      <c r="B45" s="2922"/>
      <c r="C45" s="2922"/>
      <c r="D45" s="2922"/>
      <c r="E45" s="2922"/>
      <c r="F45" s="2922"/>
      <c r="G45" s="2922"/>
      <c r="H45" s="2922"/>
      <c r="I45" s="2922"/>
      <c r="J45" s="2922"/>
      <c r="K45" s="2927"/>
      <c r="L45" s="1020"/>
      <c r="M45" s="1058"/>
      <c r="N45" s="1058"/>
      <c r="O45" s="1058"/>
    </row>
    <row r="46" spans="1:29" ht="13.5" customHeight="1">
      <c r="A46" s="2922"/>
      <c r="B46" s="2922"/>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7"/>
      <c r="L46" s="1020"/>
      <c r="M46" s="1058"/>
      <c r="N46" s="1058"/>
      <c r="O46" s="1058"/>
    </row>
    <row r="47" spans="1:29" ht="13.5" customHeight="1">
      <c r="A47" s="2922"/>
      <c r="B47" s="2922"/>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7"/>
      <c r="L47" s="1020"/>
      <c r="M47" s="1058"/>
      <c r="N47" s="1058"/>
      <c r="O47" s="1058"/>
    </row>
    <row r="48" spans="1:29" s="459" customFormat="1" ht="13.5" customHeight="1">
      <c r="A48" s="2925"/>
      <c r="B48" s="2925"/>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0"/>
      <c r="L48" s="1061"/>
      <c r="M48" s="1059"/>
      <c r="N48" s="1059"/>
      <c r="O48" s="1059"/>
    </row>
    <row r="49" spans="1:17" s="459" customFormat="1">
      <c r="A49" s="2925"/>
      <c r="B49" s="2928"/>
      <c r="C49" s="2929"/>
      <c r="D49" s="2925"/>
      <c r="E49" s="2925"/>
      <c r="F49" s="2925"/>
      <c r="G49" s="2925"/>
      <c r="H49" s="2925"/>
      <c r="I49" s="2925"/>
      <c r="J49" s="2925"/>
      <c r="K49" s="2930"/>
      <c r="L49" s="1061"/>
      <c r="M49" s="1059"/>
      <c r="N49" s="1059"/>
      <c r="O49" s="1059"/>
    </row>
    <row r="50" spans="1:17">
      <c r="A50" s="2922"/>
      <c r="B50" s="2928"/>
      <c r="C50" s="2929"/>
      <c r="D50" s="2922"/>
      <c r="E50" s="2922"/>
      <c r="F50" s="2922"/>
      <c r="G50" s="2922"/>
      <c r="H50" s="2922"/>
      <c r="I50" s="2922"/>
      <c r="J50" s="2922"/>
      <c r="K50" s="2927"/>
      <c r="L50" s="1020"/>
      <c r="M50" s="1058"/>
      <c r="N50" s="1058"/>
      <c r="O50" s="1058"/>
    </row>
    <row r="51" spans="1:17" ht="21.75" thickBot="1">
      <c r="A51" s="703" t="s">
        <v>2434</v>
      </c>
      <c r="B51" s="699"/>
      <c r="C51" s="704"/>
      <c r="D51" s="704"/>
      <c r="E51" s="704"/>
      <c r="F51" s="705"/>
      <c r="G51" s="705"/>
      <c r="H51" s="704"/>
      <c r="I51" s="704"/>
      <c r="J51" s="704"/>
      <c r="K51" s="1072"/>
      <c r="L51" s="1073"/>
      <c r="M51" s="1071"/>
      <c r="N51" s="1071"/>
      <c r="O51" s="1071"/>
      <c r="P51" s="460"/>
      <c r="Q51" s="461"/>
    </row>
    <row r="52" spans="1:17" s="465" customFormat="1" ht="15">
      <c r="A52" s="462" t="s">
        <v>2308</v>
      </c>
      <c r="B52" s="463"/>
      <c r="C52" s="1318" t="str">
        <f>YEAR(C7)&amp;"-"&amp;MONTH(C7)</f>
        <v>2022-3</v>
      </c>
      <c r="D52" s="1319">
        <f>EDATE(C52,-1)</f>
        <v>44593</v>
      </c>
      <c r="E52" s="1319">
        <f t="shared" ref="E52:O52" si="16">EDATE(D52,-1)</f>
        <v>44562</v>
      </c>
      <c r="F52" s="1319">
        <f t="shared" si="16"/>
        <v>44531</v>
      </c>
      <c r="G52" s="1319">
        <f t="shared" si="16"/>
        <v>44501</v>
      </c>
      <c r="H52" s="1319">
        <f t="shared" si="16"/>
        <v>44470</v>
      </c>
      <c r="I52" s="1319">
        <f t="shared" si="16"/>
        <v>44440</v>
      </c>
      <c r="J52" s="1319">
        <f t="shared" si="16"/>
        <v>44409</v>
      </c>
      <c r="K52" s="1319">
        <f t="shared" si="16"/>
        <v>44378</v>
      </c>
      <c r="L52" s="1319">
        <f t="shared" si="16"/>
        <v>44348</v>
      </c>
      <c r="M52" s="1319">
        <f t="shared" si="16"/>
        <v>44317</v>
      </c>
      <c r="N52" s="1319">
        <f t="shared" si="16"/>
        <v>44287</v>
      </c>
      <c r="O52" s="1319">
        <f t="shared" si="16"/>
        <v>44256</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2345</v>
      </c>
      <c r="B54" s="473"/>
      <c r="C54" s="474"/>
      <c r="D54" s="475"/>
      <c r="E54" s="475"/>
      <c r="F54" s="475"/>
      <c r="G54" s="475"/>
      <c r="H54" s="475"/>
      <c r="I54" s="475"/>
      <c r="J54" s="475"/>
      <c r="K54" s="475"/>
      <c r="L54" s="475"/>
      <c r="M54" s="476"/>
      <c r="N54" s="2967"/>
      <c r="O54" s="2968"/>
      <c r="P54" s="461"/>
      <c r="Q54" s="461"/>
    </row>
    <row r="55" spans="1:17" s="113" customFormat="1" ht="15">
      <c r="A55" s="478" t="s">
        <v>2310</v>
      </c>
      <c r="B55" s="467"/>
      <c r="C55" s="479" t="s">
        <v>2412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2348</v>
      </c>
      <c r="B57" s="485" t="s">
        <v>2314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2317</v>
      </c>
      <c r="C59" s="496" t="s">
        <v>2349</v>
      </c>
      <c r="D59" s="496" t="s">
        <v>2350</v>
      </c>
      <c r="E59" s="496" t="s">
        <v>2351</v>
      </c>
      <c r="F59" s="496" t="s">
        <v>2352</v>
      </c>
      <c r="G59" s="496" t="s">
        <v>2353</v>
      </c>
      <c r="H59" s="496" t="s">
        <v>2354</v>
      </c>
      <c r="I59" s="496" t="s">
        <v>2355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2319</v>
      </c>
      <c r="B70" s="485" t="s">
        <v>2465</v>
      </c>
      <c r="C70" s="530" t="s">
        <v>2357</v>
      </c>
      <c r="D70" s="530" t="s">
        <v>2358</v>
      </c>
      <c r="E70" s="530" t="s">
        <v>2359</v>
      </c>
      <c r="F70" s="530" t="s">
        <v>2360</v>
      </c>
      <c r="G70" s="530" t="s">
        <v>2361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2362</v>
      </c>
      <c r="C72" s="535" t="s">
        <v>2357</v>
      </c>
      <c r="D72" s="535" t="s">
        <v>2358</v>
      </c>
      <c r="E72" s="535" t="s">
        <v>2359</v>
      </c>
      <c r="F72" s="535" t="s">
        <v>2360</v>
      </c>
      <c r="G72" s="535" t="s">
        <v>2361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2363</v>
      </c>
      <c r="C74" s="535" t="s">
        <v>2357</v>
      </c>
      <c r="D74" s="535" t="s">
        <v>2358</v>
      </c>
      <c r="E74" s="535" t="s">
        <v>2359</v>
      </c>
      <c r="F74" s="535" t="s">
        <v>2360</v>
      </c>
      <c r="G74" s="535" t="s">
        <v>2361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2449</v>
      </c>
      <c r="C76" s="616" t="s">
        <v>2435</v>
      </c>
      <c r="D76" s="616" t="s">
        <v>2436</v>
      </c>
      <c r="E76" s="616" t="s">
        <v>2437</v>
      </c>
      <c r="F76" s="616" t="s">
        <v>2438</v>
      </c>
      <c r="G76" s="616" t="s">
        <v>2439</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2458</v>
      </c>
      <c r="C78" s="535" t="s">
        <v>2357</v>
      </c>
      <c r="D78" s="535" t="s">
        <v>2358</v>
      </c>
      <c r="E78" s="535" t="s">
        <v>2359</v>
      </c>
      <c r="F78" s="535" t="s">
        <v>2360</v>
      </c>
      <c r="G78" s="535" t="s">
        <v>2361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2323</v>
      </c>
      <c r="B88" s="485" t="s">
        <v>2372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2466</v>
      </c>
      <c r="C106" s="535" t="s">
        <v>2357</v>
      </c>
      <c r="D106" s="535" t="s">
        <v>2358</v>
      </c>
      <c r="E106" s="535" t="s">
        <v>2359</v>
      </c>
      <c r="F106" s="535" t="s">
        <v>2360</v>
      </c>
      <c r="G106" s="535" t="s">
        <v>2361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66"/>
      <c r="F1" s="2035"/>
      <c r="G1" s="1367" t="s">
        <v>2403</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2087</v>
      </c>
      <c r="B2" s="1298" t="e">
        <f ca="1">IF(C2="——",IF(B37="元/平方米",ROUND(C39*D3/10000,0),ROUND(F3*C39/10000,0)),IF(B37="元/平方米",ROUND(C39*D3/10000,0),ROUND(F3*C39/10000,0))-D2)</f>
        <v>#DIV/0!</v>
      </c>
      <c r="C2" s="2037"/>
      <c r="D2" s="1038" t="e">
        <f ca="1">SUMIF(INDIRECT("'"&amp;F2&amp;"'"&amp;"!A:A"),"承租人权益价值",INDIRECT("'"&amp;F2&amp;"'"&amp;"!c:c"))</f>
        <v>#REF!</v>
      </c>
      <c r="E2" s="2038" t="s">
        <v>2088</v>
      </c>
      <c r="F2" s="2039"/>
      <c r="G2" s="1039"/>
      <c r="H2" s="1039"/>
      <c r="I2" s="1039"/>
      <c r="J2" s="1039"/>
      <c r="K2" s="1041"/>
      <c r="L2" s="2931"/>
      <c r="M2" s="2932"/>
      <c r="N2" s="2932"/>
      <c r="O2" s="2932"/>
      <c r="P2" s="1299"/>
      <c r="Q2" s="708"/>
      <c r="R2" s="708"/>
      <c r="S2" s="708"/>
      <c r="T2" s="708"/>
      <c r="U2" s="708"/>
      <c r="V2" s="708"/>
      <c r="W2" s="708"/>
      <c r="X2" s="708"/>
      <c r="Y2" s="708"/>
      <c r="Z2" s="708"/>
      <c r="AA2" s="708"/>
      <c r="AB2" s="708"/>
      <c r="AC2" s="709"/>
    </row>
    <row r="3" spans="1:29" s="358" customFormat="1" ht="28.5" customHeight="1" thickBot="1">
      <c r="A3" s="209" t="s">
        <v>2089</v>
      </c>
      <c r="B3" s="566" t="e">
        <f ca="1">IF(AND(C2="——",B37="元/平方米"),C39,ROUND(B2*10000/D3,0))</f>
        <v>#DIV/0!</v>
      </c>
      <c r="C3" s="360" t="s">
        <v>2404</v>
      </c>
      <c r="D3" s="359">
        <f>SUMIF('数据-汇总表'!$C19:$C33,D1,'数据-汇总表'!$E19:$E33)</f>
        <v>0</v>
      </c>
      <c r="E3" s="360" t="s">
        <v>2468</v>
      </c>
      <c r="F3" s="359">
        <f>SUMIF('数据-取费表'!A5:A15,D1,'数据-取费表'!AH5:AH15)</f>
        <v>0</v>
      </c>
      <c r="G3" s="1039"/>
      <c r="H3" s="1039"/>
      <c r="I3" s="1039"/>
      <c r="J3" s="1039"/>
      <c r="K3" s="1041"/>
      <c r="L3" s="2931"/>
      <c r="M3" s="2932"/>
      <c r="N3" s="2932"/>
      <c r="O3" s="2932"/>
      <c r="P3" s="1299"/>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2"/>
      <c r="M4" s="2913"/>
      <c r="N4" s="2913"/>
      <c r="O4" s="2913"/>
      <c r="P4" s="3453" t="s">
        <v>2411</v>
      </c>
      <c r="Q4" s="3454"/>
      <c r="R4" s="3436" t="s">
        <v>2407</v>
      </c>
      <c r="S4" s="3437"/>
      <c r="T4" s="3436" t="s">
        <v>2408</v>
      </c>
      <c r="U4" s="3437"/>
      <c r="V4" s="3461" t="s">
        <v>2409</v>
      </c>
      <c r="W4" s="3461"/>
      <c r="X4" s="1509"/>
      <c r="Y4" s="3436" t="s">
        <v>2411</v>
      </c>
      <c r="Z4" s="3437"/>
      <c r="AA4" s="3431" t="s">
        <v>2407</v>
      </c>
      <c r="AB4" s="3432" t="s">
        <v>2408</v>
      </c>
      <c r="AC4" s="3431" t="s">
        <v>2409</v>
      </c>
    </row>
    <row r="5" spans="1:29" ht="15">
      <c r="A5" s="364"/>
      <c r="B5" s="365"/>
      <c r="C5" s="3442" t="s">
        <v>2302</v>
      </c>
      <c r="D5" s="3443"/>
      <c r="E5" s="3440" t="s">
        <v>2303</v>
      </c>
      <c r="F5" s="3441"/>
      <c r="G5" s="3442" t="s">
        <v>2304</v>
      </c>
      <c r="H5" s="3443"/>
      <c r="I5" s="3442" t="s">
        <v>2305</v>
      </c>
      <c r="J5" s="3443"/>
      <c r="K5" s="567"/>
      <c r="L5" s="2912"/>
      <c r="M5" s="2913"/>
      <c r="N5" s="2913"/>
      <c r="O5" s="2913"/>
      <c r="P5" s="3455"/>
      <c r="Q5" s="3456"/>
      <c r="R5" s="3438"/>
      <c r="S5" s="3439"/>
      <c r="T5" s="3438"/>
      <c r="U5" s="3439"/>
      <c r="V5" s="3461"/>
      <c r="W5" s="3461"/>
      <c r="X5" s="1509"/>
      <c r="Y5" s="3438"/>
      <c r="Z5" s="3439"/>
      <c r="AA5" s="3432"/>
      <c r="AB5" s="3432"/>
      <c r="AC5" s="3432"/>
    </row>
    <row r="6" spans="1:29" ht="15.75" thickBot="1">
      <c r="A6" s="366"/>
      <c r="B6" s="367"/>
      <c r="C6" s="3444" t="s">
        <v>2306</v>
      </c>
      <c r="D6" s="3445"/>
      <c r="E6" s="3446" t="s">
        <v>2306</v>
      </c>
      <c r="F6" s="3447"/>
      <c r="G6" s="3444" t="s">
        <v>2306</v>
      </c>
      <c r="H6" s="3445"/>
      <c r="I6" s="3444" t="s">
        <v>2306</v>
      </c>
      <c r="J6" s="3445"/>
      <c r="K6" s="567" t="s">
        <v>2307</v>
      </c>
      <c r="L6" s="2912"/>
      <c r="M6" s="2913"/>
      <c r="N6" s="2913"/>
      <c r="O6" s="2913"/>
      <c r="P6" s="3457"/>
      <c r="Q6" s="3458"/>
      <c r="R6" s="3438"/>
      <c r="S6" s="3439"/>
      <c r="T6" s="3459"/>
      <c r="U6" s="3460"/>
      <c r="V6" s="3461"/>
      <c r="W6" s="3461"/>
      <c r="X6" s="1509"/>
      <c r="Y6" s="3459"/>
      <c r="Z6" s="3460"/>
      <c r="AA6" s="3433"/>
      <c r="AB6" s="3433"/>
      <c r="AC6" s="3433"/>
    </row>
    <row r="7" spans="1:29" s="113" customFormat="1" ht="15.75" thickBot="1">
      <c r="A7" s="368" t="s">
        <v>2308</v>
      </c>
      <c r="B7" s="369"/>
      <c r="C7" s="370">
        <f>'数据-取费表'!B2</f>
        <v>44641</v>
      </c>
      <c r="D7" s="371">
        <v>100</v>
      </c>
      <c r="E7" s="372"/>
      <c r="F7" s="373">
        <f>SUMIF(48:48,YEAR(E7)&amp;"-"&amp;MONTH(E7),49:49)</f>
        <v>0</v>
      </c>
      <c r="G7" s="372"/>
      <c r="H7" s="371">
        <f>SUMIF(48:48,YEAR(G7)&amp;"-"&amp;MONTH(G7),49:49)</f>
        <v>0</v>
      </c>
      <c r="I7" s="372"/>
      <c r="J7" s="371">
        <f>SUMIF(48:48,YEAR(I7)&amp;"-"&amp;MONTH(I7),49:49)</f>
        <v>0</v>
      </c>
      <c r="K7" s="568"/>
      <c r="L7" s="2914"/>
      <c r="M7" s="2915"/>
      <c r="N7" s="2915"/>
      <c r="O7" s="2915"/>
      <c r="P7" s="3434" t="s">
        <v>2309</v>
      </c>
      <c r="Q7" s="3462"/>
      <c r="R7" s="710" t="s">
        <v>17</v>
      </c>
      <c r="S7" s="711">
        <f t="shared" ref="S7:S14" si="0">F7</f>
        <v>0</v>
      </c>
      <c r="T7" s="710" t="s">
        <v>17</v>
      </c>
      <c r="U7" s="711">
        <f t="shared" ref="U7:U14" si="1">H7</f>
        <v>0</v>
      </c>
      <c r="V7" s="710" t="s">
        <v>17</v>
      </c>
      <c r="W7" s="711">
        <f t="shared" ref="W7:W14" si="2">J7</f>
        <v>0</v>
      </c>
      <c r="X7" s="712"/>
      <c r="Y7" s="3434" t="s">
        <v>2309</v>
      </c>
      <c r="Z7" s="3435"/>
      <c r="AA7" s="713" t="e">
        <f>D7/F7</f>
        <v>#DIV/0!</v>
      </c>
      <c r="AB7" s="713" t="e">
        <f>D7/H7</f>
        <v>#DIV/0!</v>
      </c>
      <c r="AC7" s="713" t="e">
        <f>D7/J7</f>
        <v>#DIV/0!</v>
      </c>
    </row>
    <row r="8" spans="1:29" s="113" customFormat="1" ht="15.75" thickBot="1">
      <c r="A8" s="368" t="s">
        <v>2310</v>
      </c>
      <c r="B8" s="369"/>
      <c r="C8" s="374" t="s">
        <v>2412</v>
      </c>
      <c r="D8" s="371">
        <v>100</v>
      </c>
      <c r="E8" s="374"/>
      <c r="F8" s="373">
        <f>SUMIF(51:51,E8,52:52)-SUMIF(51:51,C8,52:52)+100</f>
        <v>0</v>
      </c>
      <c r="G8" s="374"/>
      <c r="H8" s="371">
        <f>SUMIF(51:51,G8,52:52)-SUMIF(51:51,C8,52:52)+100</f>
        <v>0</v>
      </c>
      <c r="I8" s="374"/>
      <c r="J8" s="371">
        <f>SUMIF(51:51,I8,52:52)-SUMIF(51:51,C8,52:52)+100</f>
        <v>0</v>
      </c>
      <c r="K8" s="568"/>
      <c r="L8" s="2914"/>
      <c r="M8" s="2915"/>
      <c r="N8" s="2915"/>
      <c r="O8" s="2915"/>
      <c r="P8" s="3434" t="s">
        <v>2312</v>
      </c>
      <c r="Q8" s="3435"/>
      <c r="R8" s="710" t="s">
        <v>17</v>
      </c>
      <c r="S8" s="711">
        <f t="shared" si="0"/>
        <v>0</v>
      </c>
      <c r="T8" s="710" t="s">
        <v>17</v>
      </c>
      <c r="U8" s="711">
        <f t="shared" si="1"/>
        <v>0</v>
      </c>
      <c r="V8" s="710" t="s">
        <v>17</v>
      </c>
      <c r="W8" s="711">
        <f t="shared" si="2"/>
        <v>0</v>
      </c>
      <c r="X8" s="712"/>
      <c r="Y8" s="3434" t="s">
        <v>2312</v>
      </c>
      <c r="Z8" s="3435"/>
      <c r="AA8" s="713" t="e">
        <f t="shared" ref="AA8:AA36" si="3">D8/F8</f>
        <v>#DIV/0!</v>
      </c>
      <c r="AB8" s="713" t="e">
        <f t="shared" ref="AB8:AB36" si="4">D8/H8</f>
        <v>#DIV/0!</v>
      </c>
      <c r="AC8" s="713" t="e">
        <f t="shared" ref="AC8:AC36" si="5">D8/J8</f>
        <v>#DIV/0!</v>
      </c>
    </row>
    <row r="9" spans="1:29" s="113" customFormat="1">
      <c r="A9" s="64" t="s">
        <v>2313</v>
      </c>
      <c r="B9" s="596" t="s">
        <v>2314</v>
      </c>
      <c r="C9" s="376"/>
      <c r="D9" s="131">
        <v>100</v>
      </c>
      <c r="E9" s="379"/>
      <c r="F9" s="131">
        <f>SUMIF(53:53,E9,54:54)-SUMIF(53:53,C9,54:54)+100</f>
        <v>100</v>
      </c>
      <c r="G9" s="377"/>
      <c r="H9" s="131">
        <f>SUMIF(53:53,G9,54:54)-SUMIF(53:53,C9,54:54)+100</f>
        <v>100</v>
      </c>
      <c r="I9" s="377"/>
      <c r="J9" s="131">
        <f>SUMIF(53:53,I9,54:54)-SUMIF(53:53,C9,54:54)+100</f>
        <v>100</v>
      </c>
      <c r="K9" s="568"/>
      <c r="L9" s="2914"/>
      <c r="M9" s="2915"/>
      <c r="N9" s="2915"/>
      <c r="O9" s="2915"/>
      <c r="P9" s="3466" t="s">
        <v>2315</v>
      </c>
      <c r="Q9" s="1497" t="str">
        <f t="shared" ref="Q9:Q14" si="6">B9</f>
        <v>用途</v>
      </c>
      <c r="R9" s="710" t="s">
        <v>17</v>
      </c>
      <c r="S9" s="711">
        <f t="shared" si="0"/>
        <v>100</v>
      </c>
      <c r="T9" s="710" t="s">
        <v>17</v>
      </c>
      <c r="U9" s="711">
        <f t="shared" si="1"/>
        <v>100</v>
      </c>
      <c r="V9" s="710" t="s">
        <v>17</v>
      </c>
      <c r="W9" s="711">
        <f t="shared" si="2"/>
        <v>100</v>
      </c>
      <c r="X9" s="712"/>
      <c r="Y9" s="3378" t="s">
        <v>2316</v>
      </c>
      <c r="Z9" s="55" t="str">
        <f t="shared" ref="Z9:Z14" si="7">Q9</f>
        <v>用途</v>
      </c>
      <c r="AA9" s="713">
        <f t="shared" si="3"/>
        <v>1</v>
      </c>
      <c r="AB9" s="713">
        <f t="shared" si="4"/>
        <v>1</v>
      </c>
      <c r="AC9" s="713">
        <f t="shared" si="5"/>
        <v>1</v>
      </c>
    </row>
    <row r="10" spans="1:29" s="386" customFormat="1" ht="27">
      <c r="A10" s="597"/>
      <c r="B10" s="598" t="s">
        <v>2317</v>
      </c>
      <c r="C10" s="382"/>
      <c r="D10" s="132">
        <v>100</v>
      </c>
      <c r="E10" s="382"/>
      <c r="F10" s="132">
        <f>SUMIF(55:55,E10,56:56)-SUMIF(55:55,C10,56:56)+100</f>
        <v>100</v>
      </c>
      <c r="G10" s="383"/>
      <c r="H10" s="132">
        <f>SUMIF(55:55,G10,56:56)-SUMIF(55:55,C10,56:56)+100</f>
        <v>100</v>
      </c>
      <c r="I10" s="382"/>
      <c r="J10" s="132">
        <f>SUMIF(55:55,I10,56:56)-SUMIF(55:55,C10,56:56)+100</f>
        <v>100</v>
      </c>
      <c r="K10" s="569"/>
      <c r="L10" s="2916"/>
      <c r="M10" s="2917"/>
      <c r="N10" s="2917"/>
      <c r="O10" s="2917"/>
      <c r="P10" s="3466"/>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8"/>
      <c r="M11" s="2913"/>
      <c r="N11" s="2913"/>
      <c r="O11" s="2913"/>
      <c r="P11" s="3466"/>
      <c r="Q11" s="1497">
        <f t="shared" si="6"/>
        <v>111</v>
      </c>
      <c r="R11" s="710" t="s">
        <v>17</v>
      </c>
      <c r="S11" s="711">
        <f t="shared" si="0"/>
        <v>100</v>
      </c>
      <c r="T11" s="710" t="s">
        <v>17</v>
      </c>
      <c r="U11" s="711">
        <f t="shared" si="1"/>
        <v>100</v>
      </c>
      <c r="V11" s="710" t="s">
        <v>17</v>
      </c>
      <c r="W11" s="711">
        <f t="shared" si="2"/>
        <v>100</v>
      </c>
      <c r="X11" s="712"/>
      <c r="Y11" s="3378"/>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4"/>
      <c r="M12" s="2915"/>
      <c r="N12" s="2915"/>
      <c r="O12" s="2915"/>
      <c r="P12" s="3466"/>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19"/>
      <c r="M13" s="2913"/>
      <c r="N13" s="2913"/>
      <c r="O13" s="2913"/>
      <c r="P13" s="3466"/>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85.5">
      <c r="A14" s="361" t="s">
        <v>2319</v>
      </c>
      <c r="B14" s="585" t="s">
        <v>2469</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19"/>
      <c r="M14" s="2913"/>
      <c r="N14" s="2913"/>
      <c r="O14" s="2913"/>
      <c r="P14" s="3468" t="s">
        <v>2320</v>
      </c>
      <c r="Q14" s="1506" t="str">
        <f t="shared" si="6"/>
        <v>交通便捷度</v>
      </c>
      <c r="R14" s="714" t="s">
        <v>17</v>
      </c>
      <c r="S14" s="715">
        <f t="shared" si="0"/>
        <v>100</v>
      </c>
      <c r="T14" s="714" t="s">
        <v>17</v>
      </c>
      <c r="U14" s="715">
        <f t="shared" si="1"/>
        <v>100</v>
      </c>
      <c r="V14" s="714" t="s">
        <v>17</v>
      </c>
      <c r="W14" s="715">
        <f t="shared" si="2"/>
        <v>100</v>
      </c>
      <c r="X14" s="1509"/>
      <c r="Y14" s="3468" t="s">
        <v>2320</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19"/>
      <c r="M15" s="2913"/>
      <c r="N15" s="2913"/>
      <c r="O15" s="2913"/>
      <c r="P15" s="3469"/>
      <c r="Q15" s="1506"/>
      <c r="R15" s="714"/>
      <c r="S15" s="715"/>
      <c r="T15" s="714"/>
      <c r="U15" s="715"/>
      <c r="V15" s="714"/>
      <c r="W15" s="715"/>
      <c r="X15" s="1509"/>
      <c r="Y15" s="3469"/>
      <c r="Z15" s="1510"/>
      <c r="AA15" s="1507">
        <v>1</v>
      </c>
      <c r="AB15" s="1507">
        <v>1</v>
      </c>
      <c r="AC15" s="1507">
        <v>1</v>
      </c>
    </row>
    <row r="16" spans="1:29" ht="42.75">
      <c r="A16" s="364"/>
      <c r="B16" s="587" t="s">
        <v>2448</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19"/>
      <c r="M16" s="2913"/>
      <c r="N16" s="2913"/>
      <c r="O16" s="2913"/>
      <c r="P16" s="3469"/>
      <c r="Q16" s="1506" t="str">
        <f>B16</f>
        <v>公共配套设施</v>
      </c>
      <c r="R16" s="714" t="s">
        <v>17</v>
      </c>
      <c r="S16" s="715">
        <f>F16</f>
        <v>100</v>
      </c>
      <c r="T16" s="714" t="s">
        <v>17</v>
      </c>
      <c r="U16" s="715">
        <f>H16</f>
        <v>100</v>
      </c>
      <c r="V16" s="714" t="s">
        <v>17</v>
      </c>
      <c r="W16" s="715">
        <f>J16</f>
        <v>100</v>
      </c>
      <c r="X16" s="1509"/>
      <c r="Y16" s="3469"/>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19"/>
      <c r="M17" s="2913"/>
      <c r="N17" s="2913"/>
      <c r="O17" s="2913"/>
      <c r="P17" s="3469"/>
      <c r="Q17" s="1506"/>
      <c r="R17" s="714"/>
      <c r="S17" s="715"/>
      <c r="T17" s="714"/>
      <c r="U17" s="715"/>
      <c r="V17" s="714"/>
      <c r="W17" s="715"/>
      <c r="X17" s="1509"/>
      <c r="Y17" s="3469"/>
      <c r="Z17" s="1510"/>
      <c r="AA17" s="1507">
        <v>1</v>
      </c>
      <c r="AB17" s="1507">
        <v>1</v>
      </c>
      <c r="AC17" s="1507">
        <v>1</v>
      </c>
    </row>
    <row r="18" spans="1:29" ht="28.5">
      <c r="A18" s="364"/>
      <c r="B18" s="589" t="s">
        <v>2449</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19"/>
      <c r="M18" s="2913"/>
      <c r="N18" s="2913"/>
      <c r="O18" s="2913"/>
      <c r="P18" s="3469"/>
      <c r="Q18" s="1506" t="str">
        <f>B18</f>
        <v>基础设施水平</v>
      </c>
      <c r="R18" s="714" t="s">
        <v>17</v>
      </c>
      <c r="S18" s="715">
        <f>F18</f>
        <v>100</v>
      </c>
      <c r="T18" s="714" t="s">
        <v>17</v>
      </c>
      <c r="U18" s="715">
        <f>H18</f>
        <v>100</v>
      </c>
      <c r="V18" s="714" t="s">
        <v>17</v>
      </c>
      <c r="W18" s="715">
        <f>J18</f>
        <v>100</v>
      </c>
      <c r="X18" s="1509"/>
      <c r="Y18" s="3469"/>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19"/>
      <c r="M19" s="2913"/>
      <c r="N19" s="2913"/>
      <c r="O19" s="2913"/>
      <c r="P19" s="3469"/>
      <c r="Q19" s="1506"/>
      <c r="R19" s="714"/>
      <c r="S19" s="715"/>
      <c r="T19" s="714"/>
      <c r="U19" s="715"/>
      <c r="V19" s="714"/>
      <c r="W19" s="715"/>
      <c r="X19" s="1509"/>
      <c r="Y19" s="3469"/>
      <c r="Z19" s="1510"/>
      <c r="AA19" s="1507">
        <v>1</v>
      </c>
      <c r="AB19" s="1507">
        <v>1</v>
      </c>
      <c r="AC19" s="1507">
        <v>1</v>
      </c>
    </row>
    <row r="20" spans="1:29" ht="57">
      <c r="A20" s="364"/>
      <c r="B20" s="587" t="s">
        <v>2470</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19"/>
      <c r="M20" s="2913"/>
      <c r="N20" s="2913"/>
      <c r="O20" s="2913"/>
      <c r="P20" s="3469"/>
      <c r="Q20" s="1506" t="str">
        <f>B20</f>
        <v>自然及人文环境</v>
      </c>
      <c r="R20" s="714" t="s">
        <v>17</v>
      </c>
      <c r="S20" s="715">
        <f>F20</f>
        <v>100</v>
      </c>
      <c r="T20" s="714" t="s">
        <v>17</v>
      </c>
      <c r="U20" s="715">
        <f>H20</f>
        <v>100</v>
      </c>
      <c r="V20" s="714" t="s">
        <v>17</v>
      </c>
      <c r="W20" s="715">
        <f>J20</f>
        <v>100</v>
      </c>
      <c r="X20" s="1509"/>
      <c r="Y20" s="3469"/>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19"/>
      <c r="M21" s="2913"/>
      <c r="N21" s="2913"/>
      <c r="O21" s="2913"/>
      <c r="P21" s="3469"/>
      <c r="Q21" s="1506"/>
      <c r="R21" s="714"/>
      <c r="S21" s="715"/>
      <c r="T21" s="714"/>
      <c r="U21" s="715"/>
      <c r="V21" s="714"/>
      <c r="W21" s="715"/>
      <c r="X21" s="1509"/>
      <c r="Y21" s="3469"/>
      <c r="Z21" s="1510"/>
      <c r="AA21" s="1507">
        <v>1</v>
      </c>
      <c r="AB21" s="1507">
        <v>1</v>
      </c>
      <c r="AC21" s="1507">
        <v>1</v>
      </c>
    </row>
    <row r="22" spans="1:29" ht="15">
      <c r="A22" s="364"/>
      <c r="B22" s="587" t="s">
        <v>2471</v>
      </c>
      <c r="C22" s="573"/>
      <c r="D22" s="409">
        <v>100</v>
      </c>
      <c r="E22" s="573"/>
      <c r="F22" s="420">
        <f>SUMIF(71:71,E22,72:72)-SUMIF(71:71,C22,72:72)+100</f>
        <v>100</v>
      </c>
      <c r="G22" s="573"/>
      <c r="H22" s="394">
        <f>SUMIF(71:71,G22,72:72)-SUMIF(71:71,C22,72:72)+100</f>
        <v>100</v>
      </c>
      <c r="I22" s="573"/>
      <c r="J22" s="394">
        <f>SUMIF(71:71,I22,72:72)-SUMIF(71:71,C22,72:72)+100</f>
        <v>100</v>
      </c>
      <c r="K22" s="569"/>
      <c r="L22" s="2919"/>
      <c r="M22" s="2913"/>
      <c r="N22" s="2913"/>
      <c r="O22" s="2913"/>
      <c r="P22" s="3469"/>
      <c r="Q22" s="1506" t="str">
        <f>B22</f>
        <v>楼层</v>
      </c>
      <c r="R22" s="714" t="s">
        <v>17</v>
      </c>
      <c r="S22" s="715">
        <f>F22</f>
        <v>100</v>
      </c>
      <c r="T22" s="714" t="s">
        <v>17</v>
      </c>
      <c r="U22" s="715">
        <f>H22</f>
        <v>100</v>
      </c>
      <c r="V22" s="714" t="s">
        <v>17</v>
      </c>
      <c r="W22" s="715">
        <f>J22</f>
        <v>100</v>
      </c>
      <c r="X22" s="1509"/>
      <c r="Y22" s="3469"/>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19"/>
      <c r="M23" s="2913"/>
      <c r="N23" s="2913"/>
      <c r="O23" s="2913"/>
      <c r="P23" s="3469"/>
      <c r="Q23" s="1506">
        <f>B23</f>
        <v>111</v>
      </c>
      <c r="R23" s="714" t="s">
        <v>17</v>
      </c>
      <c r="S23" s="715">
        <f>F23</f>
        <v>100</v>
      </c>
      <c r="T23" s="714" t="s">
        <v>17</v>
      </c>
      <c r="U23" s="715">
        <f>H23</f>
        <v>100</v>
      </c>
      <c r="V23" s="714" t="s">
        <v>17</v>
      </c>
      <c r="W23" s="715">
        <f>J23</f>
        <v>100</v>
      </c>
      <c r="X23" s="1509"/>
      <c r="Y23" s="3469"/>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19"/>
      <c r="M24" s="2913"/>
      <c r="N24" s="2913"/>
      <c r="O24" s="2913"/>
      <c r="P24" s="3469"/>
      <c r="Q24" s="1506">
        <f t="shared" ref="Q24:Q36" si="11">B24</f>
        <v>111</v>
      </c>
      <c r="R24" s="714" t="s">
        <v>17</v>
      </c>
      <c r="S24" s="715">
        <f>F24</f>
        <v>100</v>
      </c>
      <c r="T24" s="714" t="s">
        <v>17</v>
      </c>
      <c r="U24" s="715">
        <f>H24</f>
        <v>100</v>
      </c>
      <c r="V24" s="714" t="s">
        <v>17</v>
      </c>
      <c r="W24" s="715">
        <f>J24</f>
        <v>100</v>
      </c>
      <c r="X24" s="1509"/>
      <c r="Y24" s="3469"/>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4"/>
      <c r="M25" s="2915"/>
      <c r="N25" s="2915"/>
      <c r="O25" s="2915"/>
      <c r="P25" s="3469"/>
      <c r="Q25" s="1497">
        <f t="shared" si="11"/>
        <v>111</v>
      </c>
      <c r="R25" s="710" t="s">
        <v>17</v>
      </c>
      <c r="S25" s="711">
        <f>F25</f>
        <v>100</v>
      </c>
      <c r="T25" s="710" t="s">
        <v>17</v>
      </c>
      <c r="U25" s="711">
        <f>H25</f>
        <v>100</v>
      </c>
      <c r="V25" s="710" t="s">
        <v>17</v>
      </c>
      <c r="W25" s="711">
        <f>J25</f>
        <v>100</v>
      </c>
      <c r="X25" s="712"/>
      <c r="Y25" s="3469"/>
      <c r="Z25" s="55">
        <f>Q25</f>
        <v>111</v>
      </c>
      <c r="AA25" s="1507">
        <f>D25/F25</f>
        <v>1</v>
      </c>
      <c r="AB25" s="1507">
        <f>D25/H25</f>
        <v>1</v>
      </c>
      <c r="AC25" s="1507">
        <f>D25/J25</f>
        <v>1</v>
      </c>
    </row>
    <row r="26" spans="1:29" ht="28.5">
      <c r="A26" s="608" t="s">
        <v>2323</v>
      </c>
      <c r="B26" s="66" t="s">
        <v>2472</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19"/>
      <c r="M26" s="2913"/>
      <c r="N26" s="2913"/>
      <c r="O26" s="2913"/>
      <c r="P26" s="3492" t="s">
        <v>2325</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73" t="s">
        <v>2325</v>
      </c>
      <c r="Z26" s="1510" t="str">
        <f t="shared" ref="Z26:Z36" si="15">Q26</f>
        <v>配套类型</v>
      </c>
      <c r="AA26" s="1507">
        <f t="shared" si="3"/>
        <v>1</v>
      </c>
      <c r="AB26" s="1507">
        <f t="shared" si="4"/>
        <v>1</v>
      </c>
      <c r="AC26" s="1507">
        <f t="shared" si="5"/>
        <v>1</v>
      </c>
    </row>
    <row r="27" spans="1:29" s="430" customFormat="1" ht="15">
      <c r="A27" s="609"/>
      <c r="B27" s="610" t="s">
        <v>2473</v>
      </c>
      <c r="C27" s="611"/>
      <c r="D27" s="132">
        <v>100</v>
      </c>
      <c r="E27" s="611"/>
      <c r="F27" s="420">
        <f>SUMIF(81:81,E27,82:82)-SUMIF(81:81,C27,82:82)+100</f>
        <v>100</v>
      </c>
      <c r="G27" s="611"/>
      <c r="H27" s="394">
        <f>SUMIF(81:81,G27,82:82)-SUMIF(81:81,C27,82:82)+100</f>
        <v>100</v>
      </c>
      <c r="I27" s="611"/>
      <c r="J27" s="394">
        <f>SUMIF(81:81,I27,82:82)-SUMIF(81:81,C27,82:82)+100</f>
        <v>100</v>
      </c>
      <c r="K27" s="570"/>
      <c r="L27" s="2918"/>
      <c r="M27" s="2920"/>
      <c r="N27" s="2920"/>
      <c r="O27" s="2920"/>
      <c r="P27" s="3473"/>
      <c r="Q27" s="716" t="str">
        <f t="shared" si="11"/>
        <v>项目停车位配比</v>
      </c>
      <c r="R27" s="717" t="s">
        <v>17</v>
      </c>
      <c r="S27" s="718">
        <f t="shared" si="12"/>
        <v>100</v>
      </c>
      <c r="T27" s="717" t="s">
        <v>17</v>
      </c>
      <c r="U27" s="718">
        <f t="shared" si="13"/>
        <v>100</v>
      </c>
      <c r="V27" s="717" t="s">
        <v>17</v>
      </c>
      <c r="W27" s="718">
        <f t="shared" si="14"/>
        <v>100</v>
      </c>
      <c r="X27" s="719"/>
      <c r="Y27" s="3473"/>
      <c r="Z27" s="720" t="str">
        <f t="shared" si="15"/>
        <v>项目停车位配比</v>
      </c>
      <c r="AA27" s="1507">
        <f t="shared" si="3"/>
        <v>1</v>
      </c>
      <c r="AB27" s="1507">
        <f t="shared" si="4"/>
        <v>1</v>
      </c>
      <c r="AC27" s="1507">
        <f t="shared" si="5"/>
        <v>1</v>
      </c>
    </row>
    <row r="28" spans="1:29" ht="15">
      <c r="A28" s="612"/>
      <c r="B28" s="610" t="s">
        <v>2474</v>
      </c>
      <c r="C28" s="419"/>
      <c r="D28" s="394">
        <v>100</v>
      </c>
      <c r="E28" s="419"/>
      <c r="F28" s="420">
        <f>SUMIF(83:83,E28,84:84)-SUMIF(83:83,C28,84:84)+100</f>
        <v>100</v>
      </c>
      <c r="G28" s="419"/>
      <c r="H28" s="394">
        <f>SUMIF(83:83,G28,84:84)-SUMIF(83:83,C28,84:84)+100</f>
        <v>100</v>
      </c>
      <c r="I28" s="419"/>
      <c r="J28" s="394">
        <f>SUMIF(83:83,I28,84:84)-SUMIF(83:83,C28,84:84)+100</f>
        <v>100</v>
      </c>
      <c r="K28" s="569"/>
      <c r="L28" s="2919"/>
      <c r="M28" s="2913"/>
      <c r="N28" s="2913"/>
      <c r="O28" s="2913"/>
      <c r="P28" s="3473"/>
      <c r="Q28" s="1506" t="str">
        <f t="shared" si="11"/>
        <v>公共部分装修</v>
      </c>
      <c r="R28" s="714" t="s">
        <v>17</v>
      </c>
      <c r="S28" s="715">
        <f t="shared" si="12"/>
        <v>100</v>
      </c>
      <c r="T28" s="714" t="s">
        <v>17</v>
      </c>
      <c r="U28" s="715">
        <f t="shared" si="13"/>
        <v>100</v>
      </c>
      <c r="V28" s="714" t="s">
        <v>17</v>
      </c>
      <c r="W28" s="715">
        <f t="shared" si="14"/>
        <v>100</v>
      </c>
      <c r="X28" s="1509"/>
      <c r="Y28" s="3473"/>
      <c r="Z28" s="1510" t="str">
        <f t="shared" si="15"/>
        <v>公共部分装修</v>
      </c>
      <c r="AA28" s="1507">
        <f t="shared" si="3"/>
        <v>1</v>
      </c>
      <c r="AB28" s="1507">
        <f t="shared" si="4"/>
        <v>1</v>
      </c>
      <c r="AC28" s="1507">
        <f t="shared" si="5"/>
        <v>1</v>
      </c>
    </row>
    <row r="29" spans="1:29" ht="15">
      <c r="A29" s="612"/>
      <c r="B29" s="610" t="s">
        <v>2475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19"/>
      <c r="M29" s="2913"/>
      <c r="N29" s="2913"/>
      <c r="O29" s="2913"/>
      <c r="P29" s="3473"/>
      <c r="Q29" s="1506" t="str">
        <f t="shared" si="11"/>
        <v>成新率</v>
      </c>
      <c r="R29" s="714" t="s">
        <v>17</v>
      </c>
      <c r="S29" s="715" t="e">
        <f t="shared" si="12"/>
        <v>#N/A</v>
      </c>
      <c r="T29" s="714" t="s">
        <v>17</v>
      </c>
      <c r="U29" s="715" t="e">
        <f t="shared" si="13"/>
        <v>#N/A</v>
      </c>
      <c r="V29" s="714" t="s">
        <v>17</v>
      </c>
      <c r="W29" s="715" t="e">
        <f t="shared" si="14"/>
        <v>#N/A</v>
      </c>
      <c r="X29" s="1509"/>
      <c r="Y29" s="3473"/>
      <c r="Z29" s="1510" t="str">
        <f t="shared" si="15"/>
        <v>成新率</v>
      </c>
      <c r="AA29" s="1507" t="e">
        <f t="shared" si="3"/>
        <v>#N/A</v>
      </c>
      <c r="AB29" s="1507" t="e">
        <f t="shared" si="4"/>
        <v>#N/A</v>
      </c>
      <c r="AC29" s="1507" t="e">
        <f t="shared" si="5"/>
        <v>#N/A</v>
      </c>
    </row>
    <row r="30" spans="1:29" ht="15">
      <c r="A30" s="612"/>
      <c r="B30" s="610" t="s">
        <v>2476</v>
      </c>
      <c r="C30" s="613"/>
      <c r="D30" s="394">
        <v>100</v>
      </c>
      <c r="E30" s="613"/>
      <c r="F30" s="420">
        <f>SUMIF(88:88,E30,89:89)-SUMIF(88:88,C30,89:89)+100</f>
        <v>100</v>
      </c>
      <c r="G30" s="613"/>
      <c r="H30" s="394">
        <f>SUMIF(88:88,E30,89:89)-SUMIF(88:88,C30,89:89)+100</f>
        <v>100</v>
      </c>
      <c r="I30" s="613"/>
      <c r="J30" s="394">
        <f>SUMIF(88:88,E30,89:89)-SUMIF(88:88,C30,89:89)+100</f>
        <v>100</v>
      </c>
      <c r="K30" s="569"/>
      <c r="L30" s="2919"/>
      <c r="M30" s="2913"/>
      <c r="N30" s="2913"/>
      <c r="O30" s="2913"/>
      <c r="P30" s="3473"/>
      <c r="Q30" s="1506" t="str">
        <f t="shared" si="11"/>
        <v>物业等级</v>
      </c>
      <c r="R30" s="714" t="s">
        <v>17</v>
      </c>
      <c r="S30" s="715">
        <f t="shared" si="12"/>
        <v>100</v>
      </c>
      <c r="T30" s="714" t="s">
        <v>17</v>
      </c>
      <c r="U30" s="715">
        <f t="shared" si="13"/>
        <v>100</v>
      </c>
      <c r="V30" s="714" t="s">
        <v>17</v>
      </c>
      <c r="W30" s="715">
        <f t="shared" si="14"/>
        <v>100</v>
      </c>
      <c r="X30" s="1509"/>
      <c r="Y30" s="3473"/>
      <c r="Z30" s="1510" t="str">
        <f t="shared" si="15"/>
        <v>物业等级</v>
      </c>
      <c r="AA30" s="1507">
        <f t="shared" si="3"/>
        <v>1</v>
      </c>
      <c r="AB30" s="1507">
        <f t="shared" si="4"/>
        <v>1</v>
      </c>
      <c r="AC30" s="1507">
        <f t="shared" si="5"/>
        <v>1</v>
      </c>
    </row>
    <row r="31" spans="1:29" s="113" customFormat="1" ht="15">
      <c r="A31" s="614"/>
      <c r="B31" s="610" t="s">
        <v>2477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4"/>
      <c r="M31" s="2915"/>
      <c r="N31" s="2915"/>
      <c r="O31" s="2915"/>
      <c r="P31" s="3473"/>
      <c r="Q31" s="1497" t="str">
        <f t="shared" si="11"/>
        <v>停车位面积</v>
      </c>
      <c r="R31" s="710" t="s">
        <v>17</v>
      </c>
      <c r="S31" s="711" t="e">
        <f t="shared" si="12"/>
        <v>#N/A</v>
      </c>
      <c r="T31" s="710" t="s">
        <v>17</v>
      </c>
      <c r="U31" s="711" t="e">
        <f t="shared" si="13"/>
        <v>#N/A</v>
      </c>
      <c r="V31" s="710" t="s">
        <v>17</v>
      </c>
      <c r="W31" s="711" t="e">
        <f t="shared" si="14"/>
        <v>#N/A</v>
      </c>
      <c r="X31" s="712"/>
      <c r="Y31" s="3473"/>
      <c r="Z31" s="55" t="str">
        <f t="shared" si="15"/>
        <v>停车位面积</v>
      </c>
      <c r="AA31" s="713" t="e">
        <f t="shared" si="3"/>
        <v>#N/A</v>
      </c>
      <c r="AB31" s="713" t="e">
        <f t="shared" si="4"/>
        <v>#N/A</v>
      </c>
      <c r="AC31" s="713" t="e">
        <f t="shared" si="5"/>
        <v>#N/A</v>
      </c>
    </row>
    <row r="32" spans="1:29" ht="15">
      <c r="A32" s="612"/>
      <c r="B32" s="610" t="s">
        <v>2478</v>
      </c>
      <c r="C32" s="419"/>
      <c r="D32" s="394">
        <v>100</v>
      </c>
      <c r="E32" s="419"/>
      <c r="F32" s="420">
        <f>SUMIF(93:93,E32,94:94)-SUMIF(93:93,C32,94:94)+100</f>
        <v>100</v>
      </c>
      <c r="G32" s="419"/>
      <c r="H32" s="394">
        <f>SUMIF(93:93,G32,94:94)-SUMIF(93:93,C32,94:94)+100</f>
        <v>100</v>
      </c>
      <c r="I32" s="419"/>
      <c r="J32" s="394">
        <f>SUMIF(93:93,I32,94:94)-SUMIF(93:93,C32,94:94)+100</f>
        <v>100</v>
      </c>
      <c r="K32" s="569"/>
      <c r="L32" s="2919"/>
      <c r="M32" s="2913"/>
      <c r="N32" s="2913"/>
      <c r="O32" s="2913"/>
      <c r="P32" s="3473" t="s">
        <v>2325</v>
      </c>
      <c r="Q32" s="1506" t="str">
        <f t="shared" si="11"/>
        <v>车位类型</v>
      </c>
      <c r="R32" s="714" t="s">
        <v>17</v>
      </c>
      <c r="S32" s="715">
        <f t="shared" si="12"/>
        <v>100</v>
      </c>
      <c r="T32" s="714" t="s">
        <v>17</v>
      </c>
      <c r="U32" s="715">
        <f t="shared" si="13"/>
        <v>100</v>
      </c>
      <c r="V32" s="714" t="s">
        <v>17</v>
      </c>
      <c r="W32" s="715">
        <f t="shared" si="14"/>
        <v>100</v>
      </c>
      <c r="X32" s="1509"/>
      <c r="Y32" s="3473" t="s">
        <v>2325</v>
      </c>
      <c r="Z32" s="1510" t="str">
        <f t="shared" si="15"/>
        <v>车位类型</v>
      </c>
      <c r="AA32" s="1507">
        <f t="shared" si="3"/>
        <v>1</v>
      </c>
      <c r="AB32" s="1507">
        <f t="shared" si="4"/>
        <v>1</v>
      </c>
      <c r="AC32" s="1507">
        <f t="shared" si="5"/>
        <v>1</v>
      </c>
    </row>
    <row r="33" spans="1:29" ht="15">
      <c r="A33" s="612"/>
      <c r="B33" s="610" t="s">
        <v>2479</v>
      </c>
      <c r="C33" s="419"/>
      <c r="D33" s="394">
        <v>100</v>
      </c>
      <c r="E33" s="419"/>
      <c r="F33" s="420">
        <f>SUMIF(95:95,E33,96:96)-SUMIF(95:95,C33,96:96)+100</f>
        <v>100</v>
      </c>
      <c r="G33" s="419"/>
      <c r="H33" s="394">
        <f>SUMIF(95:95,G33,96:96)-SUMIF(95:95,C33,96:96)+100</f>
        <v>100</v>
      </c>
      <c r="I33" s="419"/>
      <c r="J33" s="394">
        <f>SUMIF(95:95,I33,96:96)-SUMIF(95:95,C33,96:96)+100</f>
        <v>100</v>
      </c>
      <c r="K33" s="569"/>
      <c r="L33" s="2919"/>
      <c r="M33" s="2913"/>
      <c r="N33" s="2913"/>
      <c r="O33" s="2913"/>
      <c r="P33" s="3473"/>
      <c r="Q33" s="1506" t="str">
        <f t="shared" si="11"/>
        <v>是否直接入户</v>
      </c>
      <c r="R33" s="714" t="s">
        <v>17</v>
      </c>
      <c r="S33" s="715">
        <f t="shared" si="12"/>
        <v>100</v>
      </c>
      <c r="T33" s="714" t="s">
        <v>17</v>
      </c>
      <c r="U33" s="715">
        <f t="shared" si="13"/>
        <v>100</v>
      </c>
      <c r="V33" s="714" t="s">
        <v>17</v>
      </c>
      <c r="W33" s="715">
        <f t="shared" si="14"/>
        <v>100</v>
      </c>
      <c r="X33" s="1509"/>
      <c r="Y33" s="3473"/>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19"/>
      <c r="M34" s="2913"/>
      <c r="N34" s="2913"/>
      <c r="O34" s="2913"/>
      <c r="P34" s="3473"/>
      <c r="Q34" s="1506">
        <f t="shared" si="11"/>
        <v>111</v>
      </c>
      <c r="R34" s="714" t="s">
        <v>17</v>
      </c>
      <c r="S34" s="715">
        <f t="shared" si="12"/>
        <v>100</v>
      </c>
      <c r="T34" s="714" t="s">
        <v>17</v>
      </c>
      <c r="U34" s="715">
        <f t="shared" si="13"/>
        <v>100</v>
      </c>
      <c r="V34" s="714" t="s">
        <v>17</v>
      </c>
      <c r="W34" s="715">
        <f t="shared" si="14"/>
        <v>100</v>
      </c>
      <c r="X34" s="1509"/>
      <c r="Y34" s="3473"/>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8"/>
      <c r="M35" s="2920"/>
      <c r="N35" s="2920"/>
      <c r="O35" s="2920"/>
      <c r="P35" s="3473"/>
      <c r="Q35" s="716">
        <f t="shared" si="11"/>
        <v>111</v>
      </c>
      <c r="R35" s="717" t="s">
        <v>17</v>
      </c>
      <c r="S35" s="718">
        <f t="shared" si="12"/>
        <v>100</v>
      </c>
      <c r="T35" s="717" t="s">
        <v>17</v>
      </c>
      <c r="U35" s="718">
        <f t="shared" si="13"/>
        <v>100</v>
      </c>
      <c r="V35" s="717" t="s">
        <v>17</v>
      </c>
      <c r="W35" s="718">
        <f t="shared" si="14"/>
        <v>100</v>
      </c>
      <c r="X35" s="719"/>
      <c r="Y35" s="3473"/>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19"/>
      <c r="M36" s="2913"/>
      <c r="N36" s="2913"/>
      <c r="O36" s="2913"/>
      <c r="P36" s="3473"/>
      <c r="Q36" s="1506">
        <f t="shared" si="11"/>
        <v>111</v>
      </c>
      <c r="R36" s="714" t="s">
        <v>17</v>
      </c>
      <c r="S36" s="715">
        <f t="shared" si="12"/>
        <v>100</v>
      </c>
      <c r="T36" s="714" t="s">
        <v>17</v>
      </c>
      <c r="U36" s="715">
        <f t="shared" si="13"/>
        <v>100</v>
      </c>
      <c r="V36" s="714" t="s">
        <v>17</v>
      </c>
      <c r="W36" s="715">
        <f t="shared" si="14"/>
        <v>100</v>
      </c>
      <c r="X36" s="1509"/>
      <c r="Y36" s="3473"/>
      <c r="Z36" s="1510">
        <f t="shared" si="15"/>
        <v>111</v>
      </c>
      <c r="AA36" s="1507">
        <f t="shared" si="3"/>
        <v>1</v>
      </c>
      <c r="AB36" s="1507">
        <f t="shared" si="4"/>
        <v>1</v>
      </c>
      <c r="AC36" s="1507">
        <f t="shared" si="5"/>
        <v>1</v>
      </c>
    </row>
    <row r="37" spans="1:29" ht="15">
      <c r="A37" s="438" t="s">
        <v>2480</v>
      </c>
      <c r="B37" s="2129" t="s">
        <v>2481</v>
      </c>
      <c r="C37" s="1288" t="s">
        <v>1</v>
      </c>
      <c r="D37" s="1289"/>
      <c r="E37" s="1290"/>
      <c r="F37" s="1291"/>
      <c r="G37" s="1292"/>
      <c r="H37" s="1293"/>
      <c r="I37" s="1290"/>
      <c r="J37" s="1293"/>
      <c r="K37" s="576"/>
      <c r="L37" s="2921"/>
      <c r="M37" s="2922"/>
      <c r="N37" s="2913"/>
      <c r="O37" s="2922"/>
      <c r="P37" s="3466" t="str">
        <f>A37</f>
        <v>成交单价</v>
      </c>
      <c r="Q37" s="3466"/>
      <c r="R37" s="3467">
        <f>E37</f>
        <v>0</v>
      </c>
      <c r="S37" s="3467"/>
      <c r="T37" s="3467">
        <f>G37</f>
        <v>0</v>
      </c>
      <c r="U37" s="3467"/>
      <c r="V37" s="3467">
        <f>I37</f>
        <v>0</v>
      </c>
      <c r="W37" s="3467"/>
      <c r="X37" s="699"/>
      <c r="Y37" s="721"/>
      <c r="Z37" s="699"/>
      <c r="AA37" s="699"/>
      <c r="AB37" s="699"/>
      <c r="AC37" s="699"/>
    </row>
    <row r="38" spans="1:29" ht="15.75" thickBot="1">
      <c r="A38" s="445" t="s">
        <v>2482</v>
      </c>
      <c r="B38" s="446" t="str">
        <f>B37</f>
        <v>元/车位</v>
      </c>
      <c r="C38" s="1294" t="e">
        <f>R39</f>
        <v>#DIV/0!</v>
      </c>
      <c r="D38" s="2508" t="s">
        <v>2820</v>
      </c>
      <c r="E38" s="1295" t="e">
        <f>R38</f>
        <v>#DIV/0!</v>
      </c>
      <c r="F38" s="2509"/>
      <c r="G38" s="1294" t="e">
        <f>T38</f>
        <v>#DIV/0!</v>
      </c>
      <c r="H38" s="2509"/>
      <c r="I38" s="1295" t="e">
        <f>V38</f>
        <v>#DIV/0!</v>
      </c>
      <c r="J38" s="2509"/>
      <c r="K38" s="2511">
        <f>F38+H38+J38</f>
        <v>0</v>
      </c>
      <c r="L38" s="2921"/>
      <c r="M38" s="2922"/>
      <c r="N38" s="2922"/>
      <c r="O38" s="2922"/>
      <c r="P38" s="3466" t="str">
        <f>A38</f>
        <v>比较价值（元/平方米）</v>
      </c>
      <c r="Q38" s="3466"/>
      <c r="R38" s="3467" t="e">
        <f>IF(F1="售价",ROUND(PRODUCT(R37,AA7:AA36),0),ROUND(PRODUCT(R37,AA7:AA36),1))</f>
        <v>#DIV/0!</v>
      </c>
      <c r="S38" s="3467"/>
      <c r="T38" s="3467" t="e">
        <f>IF(F1="售价",ROUND(PRODUCT(T37,AB7:AB36),0),ROUND(PRODUCT(T37,AB7:AB36),1))</f>
        <v>#DIV/0!</v>
      </c>
      <c r="U38" s="3467"/>
      <c r="V38" s="3467" t="e">
        <f>IF(F1="售价",ROUND(PRODUCT(V37,AC7:AC36),0),ROUND(PRODUCT(V37,AC7:AC36),1))</f>
        <v>#DIV/0!</v>
      </c>
      <c r="W38" s="3467"/>
      <c r="X38" s="699"/>
      <c r="Y38" s="699"/>
      <c r="Z38" s="699"/>
      <c r="AA38" s="699"/>
      <c r="AB38" s="699"/>
      <c r="AC38" s="699"/>
    </row>
    <row r="39" spans="1:29" ht="15.75" thickBot="1">
      <c r="A39" s="449" t="s">
        <v>2483</v>
      </c>
      <c r="B39" s="450"/>
      <c r="C39" s="1297" t="e">
        <f>R39</f>
        <v>#DIV/0!</v>
      </c>
      <c r="D39" s="1297"/>
      <c r="E39" s="1297"/>
      <c r="F39" s="1297"/>
      <c r="G39" s="1297"/>
      <c r="H39" s="1297"/>
      <c r="I39" s="1297"/>
      <c r="J39" s="1297"/>
      <c r="K39" s="577"/>
      <c r="L39" s="2921"/>
      <c r="M39" s="2922"/>
      <c r="N39" s="2922"/>
      <c r="O39" s="2922"/>
      <c r="P39" s="3463" t="str">
        <f>A39</f>
        <v>估价对象XX用房的比较价值（楼面单价，元/平方米）</v>
      </c>
      <c r="Q39" s="3464"/>
      <c r="R39" s="3493" t="e">
        <f>IF(F1="售价",ROUND(IF(D38="简单平均",AVERAGE(R38:W38),R38*F38+T38*H38+V38*J38),0),ROUND(IF(D38="简单平均",AVERAGE(R38:V38),R38*F38+T38*H38+V38*J38),1))</f>
        <v>#DIV/0!</v>
      </c>
      <c r="S39" s="3493"/>
      <c r="T39" s="3493"/>
      <c r="U39" s="3493"/>
      <c r="V39" s="3493"/>
      <c r="W39" s="3493"/>
      <c r="X39" s="699"/>
      <c r="Y39" s="699"/>
      <c r="Z39" s="699"/>
      <c r="AA39" s="699"/>
      <c r="AB39" s="699"/>
      <c r="AC39" s="699"/>
    </row>
    <row r="40" spans="1:29">
      <c r="A40" s="2922"/>
      <c r="B40" s="2922"/>
      <c r="C40" s="2922"/>
      <c r="D40" s="2922"/>
      <c r="E40" s="2922"/>
      <c r="F40" s="2922"/>
      <c r="G40" s="2926"/>
      <c r="H40" s="2922"/>
      <c r="I40" s="2922"/>
      <c r="J40" s="2922"/>
      <c r="K40" s="2927"/>
      <c r="L40" s="2923"/>
      <c r="M40" s="2922"/>
      <c r="N40" s="2922"/>
      <c r="O40" s="2922"/>
      <c r="P40" s="2953"/>
      <c r="Q40" s="2922"/>
      <c r="R40" s="2922"/>
      <c r="S40" s="2922"/>
      <c r="T40" s="2922"/>
      <c r="U40" s="2922"/>
      <c r="V40" s="2922"/>
      <c r="W40" s="2922"/>
      <c r="X40" s="2922"/>
      <c r="Y40" s="2922"/>
      <c r="Z40" s="2922"/>
      <c r="AA40" s="2922"/>
      <c r="AB40" s="2922"/>
      <c r="AC40" s="2922"/>
    </row>
    <row r="41" spans="1:29">
      <c r="A41" s="2922"/>
      <c r="B41" s="2922"/>
      <c r="C41" s="2922"/>
      <c r="D41" s="2922"/>
      <c r="E41" s="2922"/>
      <c r="F41" s="2922"/>
      <c r="G41" s="2922"/>
      <c r="H41" s="2922"/>
      <c r="I41" s="2922"/>
      <c r="J41" s="2922"/>
      <c r="K41" s="2927"/>
      <c r="L41" s="2923"/>
      <c r="M41" s="2922"/>
      <c r="N41" s="2922"/>
      <c r="O41" s="2922"/>
      <c r="P41" s="2953"/>
      <c r="Q41" s="2922"/>
      <c r="R41" s="2922"/>
      <c r="S41" s="2922"/>
      <c r="T41" s="2922"/>
      <c r="U41" s="2922"/>
      <c r="V41" s="2922"/>
      <c r="W41" s="2922"/>
      <c r="X41" s="2922"/>
      <c r="Y41" s="2922"/>
      <c r="Z41" s="2922"/>
      <c r="AA41" s="2922"/>
      <c r="AB41" s="2922"/>
      <c r="AC41" s="2922"/>
    </row>
    <row r="42" spans="1:29" ht="13.5" customHeight="1">
      <c r="A42" s="2922"/>
      <c r="B42" s="2922"/>
      <c r="C42" s="454" t="s">
        <v>2484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7"/>
      <c r="L42" s="2923"/>
      <c r="M42" s="2922"/>
      <c r="N42" s="2922"/>
      <c r="O42" s="2922"/>
      <c r="P42" s="2953"/>
      <c r="Q42" s="2922"/>
      <c r="R42" s="2922"/>
      <c r="S42" s="2922"/>
      <c r="T42" s="2922"/>
      <c r="U42" s="2922"/>
      <c r="V42" s="2922"/>
      <c r="W42" s="2922"/>
      <c r="X42" s="2922"/>
      <c r="Y42" s="2922"/>
      <c r="Z42" s="2922"/>
      <c r="AA42" s="2922"/>
      <c r="AB42" s="2922"/>
      <c r="AC42" s="2922"/>
    </row>
    <row r="43" spans="1:29" ht="13.5" customHeight="1">
      <c r="A43" s="2922"/>
      <c r="B43" s="2922"/>
      <c r="C43" s="454" t="s">
        <v>2485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7"/>
      <c r="L43" s="2923"/>
      <c r="M43" s="2922"/>
      <c r="N43" s="2922"/>
      <c r="O43" s="2922"/>
      <c r="P43" s="2953"/>
      <c r="Q43" s="2922"/>
      <c r="R43" s="2922"/>
      <c r="S43" s="2922"/>
      <c r="T43" s="2922"/>
      <c r="U43" s="2922"/>
      <c r="V43" s="2922"/>
      <c r="W43" s="2922"/>
      <c r="X43" s="2922"/>
      <c r="Y43" s="2922"/>
      <c r="Z43" s="2922"/>
      <c r="AA43" s="2922"/>
      <c r="AB43" s="2922"/>
      <c r="AC43" s="2922"/>
    </row>
    <row r="44" spans="1:29" s="459" customFormat="1" ht="13.5" customHeight="1">
      <c r="A44" s="2925"/>
      <c r="B44" s="2925"/>
      <c r="C44" s="454" t="s">
        <v>2486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0"/>
      <c r="L44" s="2924"/>
      <c r="M44" s="2925"/>
      <c r="N44" s="2925"/>
      <c r="O44" s="2925"/>
      <c r="P44" s="2954"/>
      <c r="Q44" s="2925"/>
      <c r="R44" s="2925"/>
      <c r="S44" s="2925"/>
      <c r="T44" s="2925"/>
      <c r="U44" s="2925"/>
      <c r="V44" s="2925"/>
      <c r="W44" s="2925"/>
      <c r="X44" s="2925"/>
      <c r="Y44" s="2925"/>
      <c r="Z44" s="2925"/>
      <c r="AA44" s="2925"/>
      <c r="AB44" s="2925"/>
      <c r="AC44" s="2925"/>
    </row>
    <row r="45" spans="1:29" s="459" customFormat="1">
      <c r="A45" s="2925"/>
      <c r="B45" s="2928"/>
      <c r="C45" s="2929"/>
      <c r="D45" s="2925"/>
      <c r="E45" s="2925"/>
      <c r="F45" s="2925"/>
      <c r="G45" s="2925"/>
      <c r="H45" s="2925"/>
      <c r="I45" s="2925"/>
      <c r="J45" s="2925"/>
      <c r="K45" s="2930"/>
      <c r="L45" s="2924"/>
      <c r="M45" s="2925"/>
      <c r="N45" s="2925"/>
      <c r="O45" s="2925"/>
      <c r="P45" s="2954"/>
      <c r="Q45" s="2925"/>
      <c r="R45" s="2925"/>
      <c r="S45" s="2925"/>
      <c r="T45" s="2925"/>
      <c r="U45" s="2925"/>
      <c r="V45" s="2925"/>
      <c r="W45" s="2925"/>
      <c r="X45" s="2925"/>
      <c r="Y45" s="2925"/>
      <c r="Z45" s="2925"/>
      <c r="AA45" s="2925"/>
      <c r="AB45" s="2925"/>
      <c r="AC45" s="2925"/>
    </row>
    <row r="46" spans="1:29">
      <c r="A46" s="2922"/>
      <c r="B46" s="2928"/>
      <c r="C46" s="2929"/>
      <c r="D46" s="2922"/>
      <c r="E46" s="2922"/>
      <c r="F46" s="2922"/>
      <c r="G46" s="2922"/>
      <c r="H46" s="2922"/>
      <c r="I46" s="2922"/>
      <c r="J46" s="2922"/>
      <c r="K46" s="2927"/>
      <c r="L46" s="2923"/>
      <c r="M46" s="2922"/>
      <c r="N46" s="2922"/>
      <c r="O46" s="2922"/>
      <c r="P46" s="2953"/>
      <c r="Q46" s="2922"/>
      <c r="R46" s="2922"/>
      <c r="S46" s="2922"/>
      <c r="T46" s="2922"/>
      <c r="U46" s="2922"/>
      <c r="V46" s="2922"/>
      <c r="W46" s="2922"/>
      <c r="X46" s="2922"/>
      <c r="Y46" s="2922"/>
      <c r="Z46" s="2922"/>
      <c r="AA46" s="2922"/>
      <c r="AB46" s="2922"/>
      <c r="AC46" s="2922"/>
    </row>
    <row r="47" spans="1:29" ht="21.75" thickBot="1">
      <c r="A47" s="1300" t="s">
        <v>2487</v>
      </c>
      <c r="B47" s="1058"/>
      <c r="C47" s="1071"/>
      <c r="D47" s="1071"/>
      <c r="E47" s="1071"/>
      <c r="F47" s="1301"/>
      <c r="G47" s="1301"/>
      <c r="H47" s="1071"/>
      <c r="I47" s="1071"/>
      <c r="J47" s="1071"/>
      <c r="K47" s="1072"/>
      <c r="L47" s="1073"/>
      <c r="M47" s="1071"/>
      <c r="N47" s="2966"/>
      <c r="O47" s="2966"/>
      <c r="P47" s="2955"/>
      <c r="Q47" s="2936"/>
      <c r="R47" s="2922"/>
      <c r="S47" s="2922"/>
      <c r="T47" s="2922"/>
      <c r="U47" s="2922"/>
      <c r="V47" s="2922"/>
      <c r="W47" s="2922"/>
      <c r="X47" s="2922"/>
      <c r="Y47" s="2922"/>
      <c r="Z47" s="2922"/>
      <c r="AA47" s="2922"/>
      <c r="AB47" s="2922"/>
      <c r="AC47" s="2922"/>
    </row>
    <row r="48" spans="1:29" s="465" customFormat="1" ht="15">
      <c r="A48" s="462" t="s">
        <v>2488</v>
      </c>
      <c r="B48" s="463"/>
      <c r="C48" s="1318" t="str">
        <f>YEAR(C7)&amp;"-"&amp;MONTH(C7)</f>
        <v>2022-3</v>
      </c>
      <c r="D48" s="1319">
        <f>EDATE(C48,-1)</f>
        <v>44593</v>
      </c>
      <c r="E48" s="1319">
        <f t="shared" ref="E48:O48" si="16">EDATE(D48,-1)</f>
        <v>44562</v>
      </c>
      <c r="F48" s="1319">
        <f t="shared" si="16"/>
        <v>44531</v>
      </c>
      <c r="G48" s="1319">
        <f t="shared" si="16"/>
        <v>44501</v>
      </c>
      <c r="H48" s="1319">
        <f t="shared" si="16"/>
        <v>44470</v>
      </c>
      <c r="I48" s="1319">
        <f t="shared" si="16"/>
        <v>44440</v>
      </c>
      <c r="J48" s="1319">
        <f t="shared" si="16"/>
        <v>44409</v>
      </c>
      <c r="K48" s="1319">
        <f t="shared" si="16"/>
        <v>44378</v>
      </c>
      <c r="L48" s="1319">
        <f t="shared" si="16"/>
        <v>44348</v>
      </c>
      <c r="M48" s="1319">
        <f t="shared" si="16"/>
        <v>44317</v>
      </c>
      <c r="N48" s="1319">
        <f t="shared" si="16"/>
        <v>44287</v>
      </c>
      <c r="O48" s="1319">
        <f t="shared" si="16"/>
        <v>44256</v>
      </c>
      <c r="P48" s="2956"/>
      <c r="Q48" s="2938"/>
      <c r="R48" s="2938"/>
      <c r="S48" s="2938"/>
      <c r="T48" s="2938"/>
      <c r="U48" s="2938"/>
      <c r="V48" s="2938"/>
      <c r="W48" s="2938"/>
      <c r="X48" s="2938"/>
      <c r="Y48" s="2938"/>
      <c r="Z48" s="2938"/>
      <c r="AA48" s="2938"/>
      <c r="AB48" s="2938"/>
      <c r="AC48" s="2938"/>
    </row>
    <row r="49" spans="1:29" s="113" customFormat="1" ht="15">
      <c r="A49" s="466"/>
      <c r="B49" s="467"/>
      <c r="C49" s="1311">
        <v>100</v>
      </c>
      <c r="D49" s="469"/>
      <c r="E49" s="469"/>
      <c r="F49" s="469"/>
      <c r="G49" s="469"/>
      <c r="H49" s="469"/>
      <c r="I49" s="469"/>
      <c r="J49" s="469"/>
      <c r="K49" s="469"/>
      <c r="L49" s="469"/>
      <c r="M49" s="470"/>
      <c r="N49" s="469"/>
      <c r="O49" s="470"/>
      <c r="P49" s="2957"/>
      <c r="Q49" s="2856"/>
      <c r="R49" s="2856"/>
      <c r="S49" s="2856"/>
      <c r="T49" s="2856"/>
      <c r="U49" s="2856"/>
      <c r="V49" s="2856"/>
      <c r="W49" s="2856"/>
      <c r="X49" s="2856"/>
      <c r="Y49" s="2856"/>
      <c r="Z49" s="2856"/>
      <c r="AA49" s="2856"/>
      <c r="AB49" s="2856"/>
      <c r="AC49" s="2856"/>
    </row>
    <row r="50" spans="1:29" s="113" customFormat="1" ht="15.75" thickBot="1">
      <c r="A50" s="472" t="s">
        <v>2345</v>
      </c>
      <c r="B50" s="473"/>
      <c r="C50" s="474"/>
      <c r="D50" s="475"/>
      <c r="E50" s="475"/>
      <c r="F50" s="475"/>
      <c r="G50" s="475"/>
      <c r="H50" s="475"/>
      <c r="I50" s="475"/>
      <c r="J50" s="475"/>
      <c r="K50" s="475"/>
      <c r="L50" s="475"/>
      <c r="M50" s="476"/>
      <c r="N50" s="475"/>
      <c r="O50" s="476"/>
      <c r="P50" s="2957"/>
      <c r="Q50" s="2936"/>
      <c r="R50" s="2856"/>
      <c r="S50" s="2856"/>
      <c r="T50" s="2856"/>
      <c r="U50" s="2856"/>
      <c r="V50" s="2856"/>
      <c r="W50" s="2856"/>
      <c r="X50" s="2856"/>
      <c r="Y50" s="2856"/>
      <c r="Z50" s="2856"/>
      <c r="AA50" s="2856"/>
      <c r="AB50" s="2856"/>
      <c r="AC50" s="2856"/>
    </row>
    <row r="51" spans="1:29" s="113" customFormat="1" ht="15">
      <c r="A51" s="478" t="s">
        <v>2310</v>
      </c>
      <c r="B51" s="467"/>
      <c r="C51" s="479" t="s">
        <v>2412</v>
      </c>
      <c r="D51" s="480"/>
      <c r="E51" s="480"/>
      <c r="F51" s="480"/>
      <c r="G51" s="480"/>
      <c r="H51" s="480"/>
      <c r="I51" s="480"/>
      <c r="J51" s="480"/>
      <c r="K51" s="480"/>
      <c r="L51" s="481"/>
      <c r="M51" s="482"/>
      <c r="N51" s="2949"/>
      <c r="O51" s="2949"/>
      <c r="P51" s="2958"/>
      <c r="Q51" s="2936"/>
      <c r="R51" s="2856"/>
      <c r="S51" s="2856"/>
      <c r="T51" s="2856"/>
      <c r="U51" s="2856"/>
      <c r="V51" s="2856"/>
      <c r="W51" s="2856"/>
      <c r="X51" s="2856"/>
      <c r="Y51" s="2856"/>
      <c r="Z51" s="2856"/>
      <c r="AA51" s="2856"/>
      <c r="AB51" s="2856"/>
      <c r="AC51" s="2856"/>
    </row>
    <row r="52" spans="1:29" s="113" customFormat="1" ht="15.75" thickBot="1">
      <c r="A52" s="478"/>
      <c r="B52" s="467"/>
      <c r="C52" s="595">
        <v>100</v>
      </c>
      <c r="D52" s="469"/>
      <c r="E52" s="469"/>
      <c r="F52" s="469"/>
      <c r="G52" s="469"/>
      <c r="H52" s="469"/>
      <c r="I52" s="469"/>
      <c r="J52" s="469"/>
      <c r="K52" s="469"/>
      <c r="L52" s="469"/>
      <c r="M52" s="471"/>
      <c r="N52" s="2949"/>
      <c r="O52" s="2949"/>
      <c r="P52" s="2957"/>
      <c r="Q52" s="2936"/>
      <c r="R52" s="2856"/>
      <c r="S52" s="2856"/>
      <c r="T52" s="2856"/>
      <c r="U52" s="2856"/>
      <c r="V52" s="2856"/>
      <c r="W52" s="2856"/>
      <c r="X52" s="2856"/>
      <c r="Y52" s="2856"/>
      <c r="Z52" s="2856"/>
      <c r="AA52" s="2856"/>
      <c r="AB52" s="2856"/>
      <c r="AC52" s="2856"/>
    </row>
    <row r="53" spans="1:29">
      <c r="A53" s="484" t="s">
        <v>2348</v>
      </c>
      <c r="B53" s="485" t="s">
        <v>2314</v>
      </c>
      <c r="C53" s="486">
        <f>C9</f>
        <v>0</v>
      </c>
      <c r="D53" s="487"/>
      <c r="E53" s="487"/>
      <c r="F53" s="487"/>
      <c r="G53" s="487"/>
      <c r="H53" s="487"/>
      <c r="I53" s="487"/>
      <c r="J53" s="487"/>
      <c r="K53" s="488"/>
      <c r="L53" s="489"/>
      <c r="M53" s="490"/>
      <c r="N53" s="2950"/>
      <c r="O53" s="2950"/>
      <c r="P53" s="2959"/>
      <c r="Q53" s="2936"/>
      <c r="R53" s="2922"/>
      <c r="S53" s="2922"/>
      <c r="T53" s="2922"/>
      <c r="U53" s="2922"/>
      <c r="V53" s="2922"/>
      <c r="W53" s="2922"/>
      <c r="X53" s="2922"/>
      <c r="Y53" s="2922"/>
      <c r="Z53" s="2922"/>
      <c r="AA53" s="2922"/>
      <c r="AB53" s="2922"/>
      <c r="AC53" s="2922"/>
    </row>
    <row r="54" spans="1:29" ht="15.75" thickBot="1">
      <c r="A54" s="491"/>
      <c r="B54" s="492"/>
      <c r="C54" s="493">
        <v>100</v>
      </c>
      <c r="D54" s="493"/>
      <c r="E54" s="493"/>
      <c r="F54" s="493"/>
      <c r="G54" s="493"/>
      <c r="H54" s="493"/>
      <c r="I54" s="493"/>
      <c r="J54" s="493"/>
      <c r="K54" s="493"/>
      <c r="L54" s="493"/>
      <c r="M54" s="494"/>
      <c r="N54" s="2951"/>
      <c r="O54" s="2951"/>
      <c r="P54" s="2959"/>
      <c r="Q54" s="2936"/>
      <c r="R54" s="2922"/>
      <c r="S54" s="2922"/>
      <c r="T54" s="2922"/>
      <c r="U54" s="2922"/>
      <c r="V54" s="2922"/>
      <c r="W54" s="2922"/>
      <c r="X54" s="2922"/>
      <c r="Y54" s="2922"/>
      <c r="Z54" s="2922"/>
      <c r="AA54" s="2922"/>
      <c r="AB54" s="2922"/>
      <c r="AC54" s="2922"/>
    </row>
    <row r="55" spans="1:29" ht="27.75" thickTop="1">
      <c r="A55" s="491"/>
      <c r="B55" s="495" t="s">
        <v>2317</v>
      </c>
      <c r="C55" s="496" t="s">
        <v>2349</v>
      </c>
      <c r="D55" s="496" t="s">
        <v>2350</v>
      </c>
      <c r="E55" s="496" t="s">
        <v>2351</v>
      </c>
      <c r="F55" s="496" t="s">
        <v>2352</v>
      </c>
      <c r="G55" s="496" t="s">
        <v>2353</v>
      </c>
      <c r="H55" s="496" t="s">
        <v>2354</v>
      </c>
      <c r="I55" s="496" t="s">
        <v>2355</v>
      </c>
      <c r="J55" s="496"/>
      <c r="K55" s="497"/>
      <c r="L55" s="498"/>
      <c r="M55" s="499"/>
      <c r="N55" s="2950"/>
      <c r="O55" s="2950"/>
      <c r="P55" s="2959"/>
      <c r="Q55" s="2936"/>
      <c r="R55" s="2922"/>
      <c r="S55" s="2922"/>
      <c r="T55" s="2922"/>
      <c r="U55" s="2922"/>
      <c r="V55" s="2922"/>
      <c r="W55" s="2922"/>
      <c r="X55" s="2922"/>
      <c r="Y55" s="2922"/>
      <c r="Z55" s="2922"/>
      <c r="AA55" s="2922"/>
      <c r="AB55" s="2922"/>
      <c r="AC55" s="2922"/>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1"/>
      <c r="O56" s="2951"/>
      <c r="P56" s="2959"/>
      <c r="Q56" s="2936"/>
      <c r="R56" s="2922"/>
      <c r="S56" s="2922"/>
      <c r="T56" s="2922"/>
      <c r="U56" s="2922"/>
      <c r="V56" s="2922"/>
      <c r="W56" s="2922"/>
      <c r="X56" s="2922"/>
      <c r="Y56" s="2922"/>
      <c r="Z56" s="2922"/>
      <c r="AA56" s="2922"/>
      <c r="AB56" s="2922"/>
      <c r="AC56" s="2922"/>
    </row>
    <row r="57" spans="1:29" ht="15.75" thickTop="1">
      <c r="A57" s="491"/>
      <c r="B57" s="616">
        <f>B11</f>
        <v>111</v>
      </c>
      <c r="C57" s="506"/>
      <c r="D57" s="506"/>
      <c r="E57" s="506"/>
      <c r="F57" s="506"/>
      <c r="G57" s="506"/>
      <c r="H57" s="506"/>
      <c r="I57" s="506"/>
      <c r="J57" s="506"/>
      <c r="K57" s="507"/>
      <c r="L57" s="508"/>
      <c r="M57" s="509"/>
      <c r="N57" s="2950"/>
      <c r="O57" s="2950"/>
      <c r="P57" s="2959"/>
      <c r="Q57" s="2936"/>
      <c r="R57" s="2922"/>
      <c r="S57" s="2922"/>
      <c r="T57" s="2922"/>
      <c r="U57" s="2922"/>
      <c r="V57" s="2922"/>
      <c r="W57" s="2922"/>
      <c r="X57" s="2922"/>
      <c r="Y57" s="2922"/>
      <c r="Z57" s="2922"/>
      <c r="AA57" s="2922"/>
      <c r="AB57" s="2922"/>
      <c r="AC57" s="2922"/>
    </row>
    <row r="58" spans="1:29" ht="15.75" thickBot="1">
      <c r="A58" s="491"/>
      <c r="B58" s="492"/>
      <c r="C58" s="517"/>
      <c r="D58" s="493"/>
      <c r="E58" s="493"/>
      <c r="F58" s="493"/>
      <c r="G58" s="493"/>
      <c r="H58" s="493"/>
      <c r="I58" s="493"/>
      <c r="J58" s="493"/>
      <c r="K58" s="493"/>
      <c r="L58" s="493"/>
      <c r="M58" s="494"/>
      <c r="N58" s="2951"/>
      <c r="O58" s="2951"/>
      <c r="P58" s="2959"/>
      <c r="Q58" s="2936"/>
      <c r="R58" s="2922"/>
      <c r="S58" s="2922"/>
      <c r="T58" s="2922"/>
      <c r="U58" s="2922"/>
      <c r="V58" s="2922"/>
      <c r="W58" s="2922"/>
      <c r="X58" s="2922"/>
      <c r="Y58" s="2922"/>
      <c r="Z58" s="2922"/>
      <c r="AA58" s="2922"/>
      <c r="AB58" s="2922"/>
      <c r="AC58" s="2922"/>
    </row>
    <row r="59" spans="1:29" s="430" customFormat="1" ht="15.75" thickTop="1">
      <c r="A59" s="510"/>
      <c r="B59" s="495">
        <f>B12</f>
        <v>111</v>
      </c>
      <c r="C59" s="506"/>
      <c r="D59" s="506"/>
      <c r="E59" s="506"/>
      <c r="F59" s="506"/>
      <c r="G59" s="511"/>
      <c r="H59" s="512"/>
      <c r="I59" s="512"/>
      <c r="J59" s="512"/>
      <c r="K59" s="512"/>
      <c r="L59" s="513"/>
      <c r="M59" s="514"/>
      <c r="N59" s="2952"/>
      <c r="O59" s="2952"/>
      <c r="P59" s="2960"/>
      <c r="Q59" s="2943"/>
      <c r="R59" s="2944"/>
      <c r="S59" s="2944"/>
      <c r="T59" s="2944"/>
      <c r="U59" s="2944"/>
      <c r="V59" s="2944"/>
      <c r="W59" s="2944"/>
      <c r="X59" s="2944"/>
      <c r="Y59" s="2944"/>
      <c r="Z59" s="2944"/>
      <c r="AA59" s="2944"/>
      <c r="AB59" s="2944"/>
      <c r="AC59" s="2944"/>
    </row>
    <row r="60" spans="1:29" s="430" customFormat="1" ht="15.75" thickBot="1">
      <c r="A60" s="510"/>
      <c r="B60" s="500"/>
      <c r="C60" s="517"/>
      <c r="D60" s="493"/>
      <c r="E60" s="493"/>
      <c r="F60" s="493"/>
      <c r="G60" s="493"/>
      <c r="H60" s="493"/>
      <c r="I60" s="493"/>
      <c r="J60" s="493"/>
      <c r="K60" s="493"/>
      <c r="L60" s="493"/>
      <c r="M60" s="494"/>
      <c r="N60" s="2951"/>
      <c r="O60" s="2951"/>
      <c r="P60" s="2960"/>
      <c r="Q60" s="2943"/>
      <c r="R60" s="2944"/>
      <c r="S60" s="2944"/>
      <c r="T60" s="2944"/>
      <c r="U60" s="2944"/>
      <c r="V60" s="2944"/>
      <c r="W60" s="2944"/>
      <c r="X60" s="2944"/>
      <c r="Y60" s="2944"/>
      <c r="Z60" s="2944"/>
      <c r="AA60" s="2944"/>
      <c r="AB60" s="2944"/>
      <c r="AC60" s="2944"/>
    </row>
    <row r="61" spans="1:29" s="430" customFormat="1" ht="15.75" thickTop="1">
      <c r="A61" s="510"/>
      <c r="B61" s="495">
        <f>B13</f>
        <v>111</v>
      </c>
      <c r="C61" s="511"/>
      <c r="D61" s="511"/>
      <c r="E61" s="511"/>
      <c r="F61" s="511"/>
      <c r="G61" s="511"/>
      <c r="H61" s="512"/>
      <c r="I61" s="512"/>
      <c r="J61" s="512"/>
      <c r="K61" s="512"/>
      <c r="L61" s="513"/>
      <c r="M61" s="514"/>
      <c r="N61" s="2952"/>
      <c r="O61" s="2952"/>
      <c r="P61" s="2961"/>
      <c r="Q61" s="2946"/>
      <c r="R61" s="2944"/>
      <c r="S61" s="2944"/>
      <c r="T61" s="2944"/>
      <c r="U61" s="2944"/>
      <c r="V61" s="2944"/>
      <c r="W61" s="2944"/>
      <c r="X61" s="2944"/>
      <c r="Y61" s="2944"/>
      <c r="Z61" s="2944"/>
      <c r="AA61" s="2944"/>
      <c r="AB61" s="2944"/>
      <c r="AC61" s="2944"/>
    </row>
    <row r="62" spans="1:29" s="430" customFormat="1" ht="15.75" thickBot="1">
      <c r="A62" s="510"/>
      <c r="B62" s="500"/>
      <c r="C62" s="517"/>
      <c r="D62" s="517"/>
      <c r="E62" s="517"/>
      <c r="F62" s="517"/>
      <c r="G62" s="517"/>
      <c r="H62" s="519"/>
      <c r="I62" s="519"/>
      <c r="J62" s="519"/>
      <c r="K62" s="519"/>
      <c r="L62" s="519"/>
      <c r="M62" s="520"/>
      <c r="N62" s="2952"/>
      <c r="O62" s="2952"/>
      <c r="P62" s="2960"/>
      <c r="Q62" s="2943"/>
      <c r="R62" s="2944"/>
      <c r="S62" s="2944"/>
      <c r="T62" s="2944"/>
      <c r="U62" s="2944"/>
      <c r="V62" s="2944"/>
      <c r="W62" s="2944"/>
      <c r="X62" s="2944"/>
      <c r="Y62" s="2944"/>
      <c r="Z62" s="2944"/>
      <c r="AA62" s="2944"/>
      <c r="AB62" s="2944"/>
      <c r="AC62" s="2944"/>
    </row>
    <row r="63" spans="1:29" ht="15" thickTop="1">
      <c r="A63" s="484" t="s">
        <v>2319</v>
      </c>
      <c r="B63" s="485" t="s">
        <v>2362</v>
      </c>
      <c r="C63" s="530" t="s">
        <v>2357</v>
      </c>
      <c r="D63" s="530" t="s">
        <v>2358</v>
      </c>
      <c r="E63" s="530" t="s">
        <v>2359</v>
      </c>
      <c r="F63" s="530" t="s">
        <v>2360</v>
      </c>
      <c r="G63" s="530" t="s">
        <v>2361</v>
      </c>
      <c r="H63" s="486"/>
      <c r="I63" s="486"/>
      <c r="J63" s="486"/>
      <c r="K63" s="531"/>
      <c r="L63" s="532"/>
      <c r="M63" s="533"/>
      <c r="N63" s="2950"/>
      <c r="O63" s="2950"/>
      <c r="P63" s="2963"/>
      <c r="Q63" s="2936"/>
      <c r="R63" s="2922"/>
      <c r="S63" s="2922"/>
      <c r="T63" s="2922"/>
      <c r="U63" s="2922"/>
      <c r="V63" s="2922"/>
      <c r="W63" s="2922"/>
      <c r="X63" s="2922"/>
      <c r="Y63" s="2922"/>
      <c r="Z63" s="2922"/>
      <c r="AA63" s="2922"/>
      <c r="AB63" s="2922"/>
      <c r="AC63" s="2922"/>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1"/>
      <c r="O64" s="2951"/>
      <c r="P64" s="2959"/>
      <c r="Q64" s="2936"/>
      <c r="R64" s="2922"/>
      <c r="S64" s="2922"/>
      <c r="T64" s="2922"/>
      <c r="U64" s="2922"/>
      <c r="V64" s="2922"/>
      <c r="W64" s="2922"/>
      <c r="X64" s="2922"/>
      <c r="Y64" s="2922"/>
      <c r="Z64" s="2922"/>
      <c r="AA64" s="2922"/>
      <c r="AB64" s="2922"/>
      <c r="AC64" s="2922"/>
    </row>
    <row r="65" spans="1:29" ht="15.75" thickTop="1">
      <c r="A65" s="491"/>
      <c r="B65" s="495" t="s">
        <v>2363</v>
      </c>
      <c r="C65" s="535" t="s">
        <v>2357</v>
      </c>
      <c r="D65" s="535" t="s">
        <v>2358</v>
      </c>
      <c r="E65" s="535" t="s">
        <v>2359</v>
      </c>
      <c r="F65" s="535" t="s">
        <v>2360</v>
      </c>
      <c r="G65" s="535" t="s">
        <v>2361</v>
      </c>
      <c r="H65" s="496"/>
      <c r="I65" s="496"/>
      <c r="J65" s="496"/>
      <c r="K65" s="497"/>
      <c r="L65" s="498"/>
      <c r="M65" s="499"/>
      <c r="N65" s="2950"/>
      <c r="O65" s="2950"/>
      <c r="P65" s="2959"/>
      <c r="Q65" s="2936"/>
      <c r="R65" s="2922"/>
      <c r="S65" s="2922"/>
      <c r="T65" s="2922"/>
      <c r="U65" s="2922"/>
      <c r="V65" s="2922"/>
      <c r="W65" s="2922"/>
      <c r="X65" s="2922"/>
      <c r="Y65" s="2922"/>
      <c r="Z65" s="2922"/>
      <c r="AA65" s="2922"/>
      <c r="AB65" s="2922"/>
      <c r="AC65" s="2922"/>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1"/>
      <c r="O66" s="2951"/>
      <c r="P66" s="2959"/>
      <c r="Q66" s="2936"/>
      <c r="R66" s="2922"/>
      <c r="S66" s="2922"/>
      <c r="T66" s="2922"/>
      <c r="U66" s="2922"/>
      <c r="V66" s="2922"/>
      <c r="W66" s="2922"/>
      <c r="X66" s="2922"/>
      <c r="Y66" s="2922"/>
      <c r="Z66" s="2922"/>
      <c r="AA66" s="2922"/>
      <c r="AB66" s="2922"/>
      <c r="AC66" s="2922"/>
    </row>
    <row r="67" spans="1:29" ht="15.75" thickTop="1">
      <c r="A67" s="491"/>
      <c r="B67" s="503" t="s">
        <v>2449</v>
      </c>
      <c r="C67" s="616" t="s">
        <v>2435</v>
      </c>
      <c r="D67" s="616" t="s">
        <v>2436</v>
      </c>
      <c r="E67" s="616" t="s">
        <v>2437</v>
      </c>
      <c r="F67" s="616" t="s">
        <v>2438</v>
      </c>
      <c r="G67" s="616" t="s">
        <v>2439</v>
      </c>
      <c r="H67" s="496"/>
      <c r="I67" s="496"/>
      <c r="J67" s="496"/>
      <c r="K67" s="496"/>
      <c r="L67" s="496"/>
      <c r="M67" s="1263"/>
      <c r="N67" s="2951"/>
      <c r="O67" s="2951"/>
      <c r="P67" s="2959"/>
      <c r="Q67" s="2936"/>
      <c r="R67" s="2922"/>
      <c r="S67" s="2922"/>
      <c r="T67" s="2922"/>
      <c r="U67" s="2922"/>
      <c r="V67" s="2922"/>
      <c r="W67" s="2922"/>
      <c r="X67" s="2922"/>
      <c r="Y67" s="2922"/>
      <c r="Z67" s="2922"/>
      <c r="AA67" s="2922"/>
      <c r="AB67" s="2922"/>
      <c r="AC67" s="2922"/>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1"/>
      <c r="O68" s="2951"/>
      <c r="P68" s="2959"/>
      <c r="Q68" s="2936"/>
      <c r="R68" s="2922"/>
      <c r="S68" s="2922"/>
      <c r="T68" s="2922"/>
      <c r="U68" s="2922"/>
      <c r="V68" s="2922"/>
      <c r="W68" s="2922"/>
      <c r="X68" s="2922"/>
      <c r="Y68" s="2922"/>
      <c r="Z68" s="2922"/>
      <c r="AA68" s="2922"/>
      <c r="AB68" s="2922"/>
      <c r="AC68" s="2922"/>
    </row>
    <row r="69" spans="1:29" ht="15.75" thickTop="1">
      <c r="A69" s="491"/>
      <c r="B69" s="495" t="s">
        <v>2369</v>
      </c>
      <c r="C69" s="535" t="s">
        <v>2357</v>
      </c>
      <c r="D69" s="535" t="s">
        <v>2358</v>
      </c>
      <c r="E69" s="535" t="s">
        <v>2359</v>
      </c>
      <c r="F69" s="535" t="s">
        <v>2360</v>
      </c>
      <c r="G69" s="535" t="s">
        <v>2361</v>
      </c>
      <c r="H69" s="496"/>
      <c r="I69" s="496"/>
      <c r="J69" s="496"/>
      <c r="K69" s="497"/>
      <c r="L69" s="498"/>
      <c r="M69" s="499"/>
      <c r="N69" s="2950"/>
      <c r="O69" s="2950"/>
      <c r="P69" s="2959"/>
      <c r="Q69" s="2936"/>
      <c r="R69" s="2922"/>
      <c r="S69" s="2922"/>
      <c r="T69" s="2922"/>
      <c r="U69" s="2922"/>
      <c r="V69" s="2922"/>
      <c r="W69" s="2922"/>
      <c r="X69" s="2922"/>
      <c r="Y69" s="2922"/>
      <c r="Z69" s="2922"/>
      <c r="AA69" s="2922"/>
      <c r="AB69" s="2922"/>
      <c r="AC69" s="2922"/>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1"/>
      <c r="O70" s="2951"/>
      <c r="P70" s="2959"/>
      <c r="Q70" s="2936"/>
      <c r="R70" s="2922"/>
      <c r="S70" s="2922"/>
      <c r="T70" s="2922"/>
      <c r="U70" s="2922"/>
      <c r="V70" s="2922"/>
      <c r="W70" s="2922"/>
      <c r="X70" s="2922"/>
      <c r="Y70" s="2922"/>
      <c r="Z70" s="2922"/>
      <c r="AA70" s="2922"/>
      <c r="AB70" s="2922"/>
      <c r="AC70" s="2922"/>
    </row>
    <row r="71" spans="1:29" ht="15.75" thickTop="1">
      <c r="A71" s="491"/>
      <c r="B71" s="495" t="s">
        <v>2489</v>
      </c>
      <c r="C71" s="511"/>
      <c r="D71" s="511"/>
      <c r="E71" s="511"/>
      <c r="F71" s="511"/>
      <c r="G71" s="511"/>
      <c r="H71" s="540"/>
      <c r="I71" s="540"/>
      <c r="J71" s="540"/>
      <c r="K71" s="541"/>
      <c r="L71" s="542"/>
      <c r="M71" s="543"/>
      <c r="N71" s="2950"/>
      <c r="O71" s="2950"/>
      <c r="P71" s="2959"/>
      <c r="Q71" s="2936"/>
      <c r="R71" s="2922"/>
      <c r="S71" s="2922"/>
      <c r="T71" s="2922"/>
      <c r="U71" s="2922"/>
      <c r="V71" s="2922"/>
      <c r="W71" s="2922"/>
      <c r="X71" s="2922"/>
      <c r="Y71" s="2922"/>
      <c r="Z71" s="2922"/>
      <c r="AA71" s="2922"/>
      <c r="AB71" s="2922"/>
      <c r="AC71" s="2922"/>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1"/>
      <c r="O72" s="2951"/>
      <c r="P72" s="2959"/>
      <c r="Q72" s="2936"/>
      <c r="R72" s="2922"/>
      <c r="S72" s="2922"/>
      <c r="T72" s="2922"/>
      <c r="U72" s="2922"/>
      <c r="V72" s="2922"/>
      <c r="W72" s="2922"/>
      <c r="X72" s="2922"/>
      <c r="Y72" s="2922"/>
      <c r="Z72" s="2922"/>
      <c r="AA72" s="2922"/>
      <c r="AB72" s="2922"/>
      <c r="AC72" s="2922"/>
    </row>
    <row r="73" spans="1:29" s="113" customFormat="1" ht="15.75" thickTop="1">
      <c r="A73" s="536"/>
      <c r="B73" s="495">
        <f>B23</f>
        <v>111</v>
      </c>
      <c r="C73" s="506"/>
      <c r="D73" s="506"/>
      <c r="E73" s="506"/>
      <c r="F73" s="506"/>
      <c r="G73" s="511"/>
      <c r="H73" s="511"/>
      <c r="I73" s="511"/>
      <c r="J73" s="511"/>
      <c r="K73" s="511"/>
      <c r="L73" s="537"/>
      <c r="M73" s="538"/>
      <c r="N73" s="2949"/>
      <c r="O73" s="2949"/>
      <c r="P73" s="2959"/>
      <c r="Q73" s="2936"/>
      <c r="R73" s="2856"/>
      <c r="S73" s="2856"/>
      <c r="T73" s="2856"/>
      <c r="U73" s="2856"/>
      <c r="V73" s="2856"/>
      <c r="W73" s="2856"/>
      <c r="X73" s="2856"/>
      <c r="Y73" s="2856"/>
      <c r="Z73" s="2856"/>
      <c r="AA73" s="2856"/>
      <c r="AB73" s="2856"/>
      <c r="AC73" s="2856"/>
    </row>
    <row r="74" spans="1:29" s="113" customFormat="1" ht="15.75" thickBot="1">
      <c r="A74" s="536"/>
      <c r="B74" s="500"/>
      <c r="C74" s="517"/>
      <c r="D74" s="493"/>
      <c r="E74" s="493"/>
      <c r="F74" s="493"/>
      <c r="G74" s="493"/>
      <c r="H74" s="493"/>
      <c r="I74" s="493"/>
      <c r="J74" s="493"/>
      <c r="K74" s="493"/>
      <c r="L74" s="493"/>
      <c r="M74" s="494"/>
      <c r="N74" s="2951"/>
      <c r="O74" s="2951"/>
      <c r="P74" s="2959"/>
      <c r="Q74" s="2936"/>
      <c r="R74" s="2856"/>
      <c r="S74" s="2856"/>
      <c r="T74" s="2856"/>
      <c r="U74" s="2856"/>
      <c r="V74" s="2856"/>
      <c r="W74" s="2856"/>
      <c r="X74" s="2856"/>
      <c r="Y74" s="2856"/>
      <c r="Z74" s="2856"/>
      <c r="AA74" s="2856"/>
      <c r="AB74" s="2856"/>
      <c r="AC74" s="2856"/>
    </row>
    <row r="75" spans="1:29" s="113" customFormat="1" ht="15.75" thickTop="1">
      <c r="A75" s="536"/>
      <c r="B75" s="495">
        <f>B24</f>
        <v>111</v>
      </c>
      <c r="C75" s="506"/>
      <c r="D75" s="506"/>
      <c r="E75" s="506"/>
      <c r="F75" s="506"/>
      <c r="G75" s="511"/>
      <c r="H75" s="511"/>
      <c r="I75" s="511"/>
      <c r="J75" s="511"/>
      <c r="K75" s="511"/>
      <c r="L75" s="511"/>
      <c r="M75" s="538"/>
      <c r="N75" s="2949"/>
      <c r="O75" s="2949"/>
      <c r="P75" s="2959"/>
      <c r="Q75" s="2936"/>
      <c r="R75" s="2856"/>
      <c r="S75" s="2856"/>
      <c r="T75" s="2856"/>
      <c r="U75" s="2856"/>
      <c r="V75" s="2856"/>
      <c r="W75" s="2856"/>
      <c r="X75" s="2856"/>
      <c r="Y75" s="2856"/>
      <c r="Z75" s="2856"/>
      <c r="AA75" s="2856"/>
      <c r="AB75" s="2856"/>
      <c r="AC75" s="2856"/>
    </row>
    <row r="76" spans="1:29" s="113" customFormat="1" ht="15.75" thickBot="1">
      <c r="A76" s="536"/>
      <c r="B76" s="500"/>
      <c r="C76" s="517"/>
      <c r="D76" s="493"/>
      <c r="E76" s="493"/>
      <c r="F76" s="493"/>
      <c r="G76" s="493"/>
      <c r="H76" s="493"/>
      <c r="I76" s="493"/>
      <c r="J76" s="493"/>
      <c r="K76" s="493"/>
      <c r="L76" s="493"/>
      <c r="M76" s="494"/>
      <c r="N76" s="2951"/>
      <c r="O76" s="2951"/>
      <c r="P76" s="2959"/>
      <c r="Q76" s="2936"/>
      <c r="R76" s="2856"/>
      <c r="S76" s="2856"/>
      <c r="T76" s="2856"/>
      <c r="U76" s="2856"/>
      <c r="V76" s="2856"/>
      <c r="W76" s="2856"/>
      <c r="X76" s="2856"/>
      <c r="Y76" s="2856"/>
      <c r="Z76" s="2856"/>
      <c r="AA76" s="2856"/>
      <c r="AB76" s="2856"/>
      <c r="AC76" s="2856"/>
    </row>
    <row r="77" spans="1:29" s="430" customFormat="1" ht="15.75" thickTop="1">
      <c r="A77" s="510"/>
      <c r="B77" s="495">
        <f>B25</f>
        <v>111</v>
      </c>
      <c r="C77" s="511"/>
      <c r="D77" s="511"/>
      <c r="E77" s="511"/>
      <c r="F77" s="511"/>
      <c r="G77" s="511"/>
      <c r="H77" s="512"/>
      <c r="I77" s="512"/>
      <c r="J77" s="512"/>
      <c r="K77" s="512"/>
      <c r="L77" s="513"/>
      <c r="M77" s="514"/>
      <c r="N77" s="2952"/>
      <c r="O77" s="2952"/>
      <c r="P77" s="2960"/>
      <c r="Q77" s="2943"/>
      <c r="R77" s="2944"/>
      <c r="S77" s="2944"/>
      <c r="T77" s="2944"/>
      <c r="U77" s="2944"/>
      <c r="V77" s="2944"/>
      <c r="W77" s="2944"/>
      <c r="X77" s="2944"/>
      <c r="Y77" s="2944"/>
      <c r="Z77" s="2944"/>
      <c r="AA77" s="2944"/>
      <c r="AB77" s="2944"/>
      <c r="AC77" s="2944"/>
    </row>
    <row r="78" spans="1:29" s="430" customFormat="1" ht="15.75" thickBot="1">
      <c r="A78" s="510"/>
      <c r="B78" s="500"/>
      <c r="C78" s="517"/>
      <c r="D78" s="517"/>
      <c r="E78" s="517"/>
      <c r="F78" s="517"/>
      <c r="G78" s="493"/>
      <c r="H78" s="493"/>
      <c r="I78" s="493"/>
      <c r="J78" s="493"/>
      <c r="K78" s="493"/>
      <c r="L78" s="493"/>
      <c r="M78" s="494"/>
      <c r="N78" s="2952"/>
      <c r="O78" s="2952"/>
      <c r="P78" s="2960"/>
      <c r="Q78" s="2943"/>
      <c r="R78" s="2944"/>
      <c r="S78" s="2944"/>
      <c r="T78" s="2944"/>
      <c r="U78" s="2944"/>
      <c r="V78" s="2944"/>
      <c r="W78" s="2944"/>
      <c r="X78" s="2944"/>
      <c r="Y78" s="2944"/>
      <c r="Z78" s="2944"/>
      <c r="AA78" s="2944"/>
      <c r="AB78" s="2944"/>
      <c r="AC78" s="2944"/>
    </row>
    <row r="79" spans="1:29" ht="27.75" thickTop="1">
      <c r="A79" s="484" t="s">
        <v>2323</v>
      </c>
      <c r="B79" s="485" t="s">
        <v>2490</v>
      </c>
      <c r="C79" s="486">
        <f>C26</f>
        <v>0</v>
      </c>
      <c r="D79" s="487"/>
      <c r="E79" s="487"/>
      <c r="F79" s="487"/>
      <c r="G79" s="487"/>
      <c r="H79" s="487"/>
      <c r="I79" s="487"/>
      <c r="J79" s="487"/>
      <c r="K79" s="488"/>
      <c r="L79" s="489"/>
      <c r="M79" s="490"/>
      <c r="N79" s="2950"/>
      <c r="O79" s="2950"/>
      <c r="P79" s="2959"/>
      <c r="Q79" s="2936"/>
      <c r="R79" s="2922"/>
      <c r="S79" s="2922"/>
      <c r="T79" s="2922"/>
      <c r="U79" s="2922"/>
      <c r="V79" s="2922"/>
      <c r="W79" s="2922"/>
      <c r="X79" s="2922"/>
      <c r="Y79" s="2922"/>
      <c r="Z79" s="2922"/>
      <c r="AA79" s="2922"/>
      <c r="AB79" s="2922"/>
      <c r="AC79" s="2922"/>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1"/>
      <c r="O80" s="2951"/>
      <c r="P80" s="2959"/>
      <c r="Q80" s="2936"/>
      <c r="R80" s="2922"/>
      <c r="S80" s="2922"/>
      <c r="T80" s="2922"/>
      <c r="U80" s="2922"/>
      <c r="V80" s="2922"/>
      <c r="W80" s="2922"/>
      <c r="X80" s="2922"/>
      <c r="Y80" s="2922"/>
      <c r="Z80" s="2922"/>
      <c r="AA80" s="2922"/>
      <c r="AB80" s="2922"/>
      <c r="AC80" s="2922"/>
    </row>
    <row r="81" spans="1:29" ht="15.75" thickTop="1">
      <c r="A81" s="491"/>
      <c r="B81" s="495" t="s">
        <v>2491</v>
      </c>
      <c r="C81" s="617"/>
      <c r="D81" s="617"/>
      <c r="E81" s="617"/>
      <c r="F81" s="617"/>
      <c r="G81" s="617"/>
      <c r="H81" s="617"/>
      <c r="I81" s="617"/>
      <c r="J81" s="617"/>
      <c r="K81" s="618"/>
      <c r="L81" s="619"/>
      <c r="M81" s="620"/>
      <c r="N81" s="2949"/>
      <c r="O81" s="2949"/>
      <c r="P81" s="2959"/>
      <c r="Q81" s="2936"/>
      <c r="R81" s="2922"/>
      <c r="S81" s="2922"/>
      <c r="T81" s="2922"/>
      <c r="U81" s="2922"/>
      <c r="V81" s="2922"/>
      <c r="W81" s="2922"/>
      <c r="X81" s="2922"/>
      <c r="Y81" s="2922"/>
      <c r="Z81" s="2922"/>
      <c r="AA81" s="2922"/>
      <c r="AB81" s="2922"/>
      <c r="AC81" s="2922"/>
    </row>
    <row r="82" spans="1:29" s="430" customFormat="1" ht="15.75" thickBot="1">
      <c r="A82" s="510"/>
      <c r="B82" s="500"/>
      <c r="C82" s="517"/>
      <c r="D82" s="493"/>
      <c r="E82" s="493"/>
      <c r="F82" s="493"/>
      <c r="G82" s="493"/>
      <c r="H82" s="493"/>
      <c r="I82" s="493"/>
      <c r="J82" s="493"/>
      <c r="K82" s="493"/>
      <c r="L82" s="493"/>
      <c r="M82" s="494"/>
      <c r="N82" s="2951"/>
      <c r="O82" s="2951"/>
      <c r="P82" s="2960"/>
      <c r="Q82" s="2943"/>
      <c r="R82" s="2944"/>
      <c r="S82" s="2944"/>
      <c r="T82" s="2944"/>
      <c r="U82" s="2944"/>
      <c r="V82" s="2944"/>
      <c r="W82" s="2944"/>
      <c r="X82" s="2944"/>
      <c r="Y82" s="2944"/>
      <c r="Z82" s="2944"/>
      <c r="AA82" s="2944"/>
      <c r="AB82" s="2944"/>
      <c r="AC82" s="2944"/>
    </row>
    <row r="83" spans="1:29" ht="15" thickTop="1">
      <c r="A83" s="556"/>
      <c r="B83" s="495" t="s">
        <v>2376</v>
      </c>
      <c r="C83" s="511"/>
      <c r="D83" s="511"/>
      <c r="E83" s="540"/>
      <c r="F83" s="540"/>
      <c r="G83" s="540"/>
      <c r="H83" s="540"/>
      <c r="I83" s="540"/>
      <c r="J83" s="540"/>
      <c r="K83" s="541"/>
      <c r="L83" s="542"/>
      <c r="M83" s="543"/>
      <c r="N83" s="2950"/>
      <c r="O83" s="2950"/>
      <c r="P83" s="2959"/>
      <c r="Q83" s="2936"/>
      <c r="R83" s="2922"/>
      <c r="S83" s="2922"/>
      <c r="T83" s="2922"/>
      <c r="U83" s="2922"/>
      <c r="V83" s="2922"/>
      <c r="W83" s="2922"/>
      <c r="X83" s="2922"/>
      <c r="Y83" s="2922"/>
      <c r="Z83" s="2922"/>
      <c r="AA83" s="2922"/>
      <c r="AB83" s="2922"/>
      <c r="AC83" s="2922"/>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1"/>
      <c r="O84" s="2951"/>
      <c r="P84" s="2959"/>
      <c r="Q84" s="2936"/>
      <c r="R84" s="2922"/>
      <c r="S84" s="2922"/>
      <c r="T84" s="2922"/>
      <c r="U84" s="2922"/>
      <c r="V84" s="2922"/>
      <c r="W84" s="2922"/>
      <c r="X84" s="2922"/>
      <c r="Y84" s="2922"/>
      <c r="Z84" s="2922"/>
      <c r="AA84" s="2922"/>
      <c r="AB84" s="2922"/>
      <c r="AC84" s="2922"/>
    </row>
    <row r="85" spans="1:29" ht="15" thickTop="1">
      <c r="A85" s="556"/>
      <c r="B85" s="495" t="s">
        <v>2492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0"/>
      <c r="O85" s="2950"/>
      <c r="P85" s="2959"/>
      <c r="Q85" s="2936"/>
      <c r="R85" s="2922"/>
      <c r="S85" s="2922"/>
      <c r="T85" s="2922"/>
      <c r="U85" s="2922"/>
      <c r="V85" s="2922"/>
      <c r="W85" s="2922"/>
      <c r="X85" s="2922"/>
      <c r="Y85" s="2922"/>
      <c r="Z85" s="2922"/>
      <c r="AA85" s="2922"/>
      <c r="AB85" s="2922"/>
      <c r="AC85" s="2922"/>
    </row>
    <row r="86" spans="1:29">
      <c r="A86" s="556"/>
      <c r="B86" s="503"/>
      <c r="C86" s="560">
        <v>0.5</v>
      </c>
      <c r="D86" s="560">
        <v>0.6</v>
      </c>
      <c r="E86" s="560">
        <v>0.7</v>
      </c>
      <c r="F86" s="560">
        <v>0.8</v>
      </c>
      <c r="G86" s="560">
        <v>0.9</v>
      </c>
      <c r="H86" s="560">
        <v>1.0001</v>
      </c>
      <c r="I86" s="579"/>
      <c r="J86" s="579"/>
      <c r="K86" s="580"/>
      <c r="L86" s="581"/>
      <c r="M86" s="582"/>
      <c r="N86" s="2950"/>
      <c r="O86" s="2950"/>
      <c r="P86" s="2959"/>
      <c r="Q86" s="2936"/>
      <c r="R86" s="2922"/>
      <c r="S86" s="2922"/>
      <c r="T86" s="2922"/>
      <c r="U86" s="2922"/>
      <c r="V86" s="2922"/>
      <c r="W86" s="2922"/>
      <c r="X86" s="2922"/>
      <c r="Y86" s="2922"/>
      <c r="Z86" s="2922"/>
      <c r="AA86" s="2922"/>
      <c r="AB86" s="2922"/>
      <c r="AC86" s="2922"/>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1"/>
      <c r="O87" s="2951"/>
      <c r="P87" s="2959"/>
      <c r="Q87" s="2936"/>
      <c r="R87" s="2922"/>
      <c r="S87" s="2922"/>
      <c r="T87" s="2922"/>
      <c r="U87" s="2922"/>
      <c r="V87" s="2922"/>
      <c r="W87" s="2922"/>
      <c r="X87" s="2922"/>
      <c r="Y87" s="2922"/>
      <c r="Z87" s="2922"/>
      <c r="AA87" s="2922"/>
      <c r="AB87" s="2922"/>
      <c r="AC87" s="2922"/>
    </row>
    <row r="88" spans="1:29" ht="15" thickTop="1">
      <c r="A88" s="556"/>
      <c r="B88" s="503" t="s">
        <v>2493</v>
      </c>
      <c r="C88" s="487"/>
      <c r="D88" s="487"/>
      <c r="E88" s="487"/>
      <c r="F88" s="487"/>
      <c r="G88" s="487"/>
      <c r="H88" s="487"/>
      <c r="I88" s="487"/>
      <c r="J88" s="487"/>
      <c r="K88" s="488"/>
      <c r="L88" s="489"/>
      <c r="M88" s="490"/>
      <c r="N88" s="2950"/>
      <c r="O88" s="2950"/>
      <c r="P88" s="2959"/>
      <c r="Q88" s="2936"/>
      <c r="R88" s="2922"/>
      <c r="S88" s="2922"/>
      <c r="T88" s="2922"/>
      <c r="U88" s="2922"/>
      <c r="V88" s="2922"/>
      <c r="W88" s="2922"/>
      <c r="X88" s="2922"/>
      <c r="Y88" s="2922"/>
      <c r="Z88" s="2922"/>
      <c r="AA88" s="2922"/>
      <c r="AB88" s="2922"/>
      <c r="AC88" s="2922"/>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1"/>
      <c r="O89" s="2951"/>
      <c r="P89" s="2959"/>
      <c r="Q89" s="2936"/>
      <c r="R89" s="2922"/>
      <c r="S89" s="2922"/>
      <c r="T89" s="2922"/>
      <c r="U89" s="2922"/>
      <c r="V89" s="2922"/>
      <c r="W89" s="2922"/>
      <c r="X89" s="2922"/>
      <c r="Y89" s="2922"/>
      <c r="Z89" s="2922"/>
      <c r="AA89" s="2922"/>
      <c r="AB89" s="2922"/>
      <c r="AC89" s="2922"/>
    </row>
    <row r="90" spans="1:29" s="430" customFormat="1" ht="15" thickTop="1">
      <c r="A90" s="550"/>
      <c r="B90" s="495" t="s">
        <v>2494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2"/>
      <c r="O90" s="2952"/>
      <c r="P90" s="2960"/>
      <c r="Q90" s="2943"/>
      <c r="R90" s="2944"/>
      <c r="S90" s="2944"/>
      <c r="T90" s="2944"/>
      <c r="U90" s="2944"/>
      <c r="V90" s="2944"/>
      <c r="W90" s="2944"/>
      <c r="X90" s="2944"/>
      <c r="Y90" s="2944"/>
      <c r="Z90" s="2944"/>
      <c r="AA90" s="2944"/>
      <c r="AB90" s="2944"/>
      <c r="AC90" s="2944"/>
    </row>
    <row r="91" spans="1:29" s="430" customFormat="1">
      <c r="A91" s="550"/>
      <c r="B91" s="503"/>
      <c r="C91" s="552"/>
      <c r="D91" s="552"/>
      <c r="E91" s="552"/>
      <c r="F91" s="552"/>
      <c r="G91" s="552"/>
      <c r="H91" s="552"/>
      <c r="I91" s="552"/>
      <c r="J91" s="553"/>
      <c r="K91" s="553"/>
      <c r="L91" s="554"/>
      <c r="M91" s="555"/>
      <c r="N91" s="2952"/>
      <c r="O91" s="2952"/>
      <c r="P91" s="2960"/>
      <c r="Q91" s="2943"/>
      <c r="R91" s="2944"/>
      <c r="S91" s="2944"/>
      <c r="T91" s="2944"/>
      <c r="U91" s="2944"/>
      <c r="V91" s="2944"/>
      <c r="W91" s="2944"/>
      <c r="X91" s="2944"/>
      <c r="Y91" s="2944"/>
      <c r="Z91" s="2944"/>
      <c r="AA91" s="2944"/>
      <c r="AB91" s="2944"/>
      <c r="AC91" s="2944"/>
    </row>
    <row r="92" spans="1:29" s="430" customFormat="1" ht="15.75" thickBot="1">
      <c r="A92" s="510"/>
      <c r="B92" s="500"/>
      <c r="C92" s="517"/>
      <c r="D92" s="493"/>
      <c r="E92" s="493"/>
      <c r="F92" s="493"/>
      <c r="G92" s="493"/>
      <c r="H92" s="493"/>
      <c r="I92" s="493"/>
      <c r="J92" s="493"/>
      <c r="K92" s="493"/>
      <c r="L92" s="493"/>
      <c r="M92" s="494"/>
      <c r="N92" s="2952"/>
      <c r="O92" s="2952"/>
      <c r="P92" s="2960"/>
      <c r="Q92" s="2943"/>
      <c r="R92" s="2944"/>
      <c r="S92" s="2944"/>
      <c r="T92" s="2944"/>
      <c r="U92" s="2944"/>
      <c r="V92" s="2944"/>
      <c r="W92" s="2944"/>
      <c r="X92" s="2944"/>
      <c r="Y92" s="2944"/>
      <c r="Z92" s="2944"/>
      <c r="AA92" s="2944"/>
      <c r="AB92" s="2944"/>
      <c r="AC92" s="2944"/>
    </row>
    <row r="93" spans="1:29" ht="15" thickTop="1">
      <c r="A93" s="556"/>
      <c r="B93" s="495" t="s">
        <v>2495</v>
      </c>
      <c r="C93" s="511"/>
      <c r="D93" s="511"/>
      <c r="E93" s="540"/>
      <c r="F93" s="540"/>
      <c r="G93" s="540"/>
      <c r="H93" s="540"/>
      <c r="I93" s="540"/>
      <c r="J93" s="540"/>
      <c r="K93" s="541"/>
      <c r="L93" s="542"/>
      <c r="M93" s="543"/>
      <c r="N93" s="2950"/>
      <c r="O93" s="2950"/>
      <c r="P93" s="2959"/>
      <c r="Q93" s="2936"/>
      <c r="R93" s="2922"/>
      <c r="S93" s="2922"/>
      <c r="T93" s="2922"/>
      <c r="U93" s="2922"/>
      <c r="V93" s="2922"/>
      <c r="W93" s="2922"/>
      <c r="X93" s="2922"/>
      <c r="Y93" s="2922"/>
      <c r="Z93" s="2922"/>
      <c r="AA93" s="2922"/>
      <c r="AB93" s="2922"/>
      <c r="AC93" s="2922"/>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1"/>
      <c r="O94" s="2951"/>
      <c r="P94" s="2959"/>
      <c r="Q94" s="2936"/>
      <c r="R94" s="2922"/>
      <c r="S94" s="2922"/>
      <c r="T94" s="2922"/>
      <c r="U94" s="2922"/>
      <c r="V94" s="2922"/>
      <c r="W94" s="2922"/>
      <c r="X94" s="2922"/>
      <c r="Y94" s="2922"/>
      <c r="Z94" s="2922"/>
      <c r="AA94" s="2922"/>
      <c r="AB94" s="2922"/>
      <c r="AC94" s="2922"/>
    </row>
    <row r="95" spans="1:29" ht="15" thickTop="1">
      <c r="A95" s="556"/>
      <c r="B95" s="495" t="s">
        <v>2496</v>
      </c>
      <c r="C95" s="487"/>
      <c r="D95" s="487"/>
      <c r="E95" s="487"/>
      <c r="F95" s="487"/>
      <c r="G95" s="487"/>
      <c r="H95" s="487"/>
      <c r="I95" s="487"/>
      <c r="J95" s="487"/>
      <c r="K95" s="488"/>
      <c r="L95" s="489"/>
      <c r="M95" s="490"/>
      <c r="N95" s="2950"/>
      <c r="O95" s="2950"/>
      <c r="P95" s="2959"/>
      <c r="Q95" s="2936"/>
      <c r="R95" s="2922"/>
      <c r="S95" s="2922"/>
      <c r="T95" s="2922"/>
      <c r="U95" s="2922"/>
      <c r="V95" s="2922"/>
      <c r="W95" s="2922"/>
      <c r="X95" s="2922"/>
      <c r="Y95" s="2922"/>
      <c r="Z95" s="2922"/>
      <c r="AA95" s="2922"/>
      <c r="AB95" s="2922"/>
      <c r="AC95" s="2922"/>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1"/>
      <c r="O96" s="2951"/>
      <c r="P96" s="2959"/>
      <c r="Q96" s="2936"/>
      <c r="R96" s="2922"/>
      <c r="S96" s="2922"/>
      <c r="T96" s="2922"/>
      <c r="U96" s="2922"/>
      <c r="V96" s="2922"/>
      <c r="W96" s="2922"/>
      <c r="X96" s="2922"/>
      <c r="Y96" s="2922"/>
      <c r="Z96" s="2922"/>
      <c r="AA96" s="2922"/>
      <c r="AB96" s="2922"/>
      <c r="AC96" s="2922"/>
    </row>
    <row r="97" spans="1:29" ht="15" thickTop="1">
      <c r="A97" s="556"/>
      <c r="B97" s="592">
        <f>B34</f>
        <v>111</v>
      </c>
      <c r="C97" s="506"/>
      <c r="D97" s="506"/>
      <c r="E97" s="506"/>
      <c r="F97" s="506"/>
      <c r="G97" s="511"/>
      <c r="H97" s="512"/>
      <c r="I97" s="512"/>
      <c r="J97" s="512"/>
      <c r="K97" s="512"/>
      <c r="L97" s="513"/>
      <c r="M97" s="514"/>
      <c r="N97" s="2951"/>
      <c r="O97" s="2951"/>
      <c r="P97" s="2964"/>
      <c r="Q97" s="2965"/>
      <c r="R97" s="2922"/>
      <c r="S97" s="2922"/>
      <c r="T97" s="2922"/>
      <c r="U97" s="2922"/>
      <c r="V97" s="2922"/>
      <c r="W97" s="2922"/>
      <c r="X97" s="2922"/>
      <c r="Y97" s="2922"/>
      <c r="Z97" s="2922"/>
      <c r="AA97" s="2922"/>
      <c r="AB97" s="2922"/>
      <c r="AC97" s="2922"/>
    </row>
    <row r="98" spans="1:29" ht="15.75" thickBot="1">
      <c r="A98" s="491"/>
      <c r="B98" s="500"/>
      <c r="C98" s="517"/>
      <c r="D98" s="493"/>
      <c r="E98" s="493"/>
      <c r="F98" s="493"/>
      <c r="G98" s="517"/>
      <c r="H98" s="519"/>
      <c r="I98" s="519"/>
      <c r="J98" s="519"/>
      <c r="K98" s="519"/>
      <c r="L98" s="519"/>
      <c r="M98" s="520"/>
      <c r="N98" s="2951"/>
      <c r="O98" s="2951"/>
      <c r="P98" s="2959"/>
      <c r="Q98" s="2936"/>
      <c r="R98" s="2922"/>
      <c r="S98" s="2922"/>
      <c r="T98" s="2922"/>
      <c r="U98" s="2922"/>
      <c r="V98" s="2922"/>
      <c r="W98" s="2922"/>
      <c r="X98" s="2922"/>
      <c r="Y98" s="2922"/>
      <c r="Z98" s="2922"/>
      <c r="AA98" s="2922"/>
      <c r="AB98" s="2922"/>
      <c r="AC98" s="2922"/>
    </row>
    <row r="99" spans="1:29" s="430" customFormat="1" ht="15" thickTop="1">
      <c r="A99" s="550"/>
      <c r="B99" s="495">
        <f>B35</f>
        <v>111</v>
      </c>
      <c r="C99" s="506"/>
      <c r="D99" s="506"/>
      <c r="E99" s="506"/>
      <c r="F99" s="506"/>
      <c r="G99" s="511"/>
      <c r="H99" s="512"/>
      <c r="I99" s="512"/>
      <c r="J99" s="512"/>
      <c r="K99" s="512"/>
      <c r="L99" s="513"/>
      <c r="M99" s="514"/>
      <c r="N99" s="2952"/>
      <c r="O99" s="2952"/>
      <c r="P99" s="2960"/>
      <c r="Q99" s="2943"/>
      <c r="R99" s="2944"/>
      <c r="S99" s="2944"/>
      <c r="T99" s="2944"/>
      <c r="U99" s="2944"/>
      <c r="V99" s="2944"/>
      <c r="W99" s="2944"/>
      <c r="X99" s="2944"/>
      <c r="Y99" s="2944"/>
      <c r="Z99" s="2944"/>
      <c r="AA99" s="2944"/>
      <c r="AB99" s="2944"/>
      <c r="AC99" s="2944"/>
    </row>
    <row r="100" spans="1:29" s="430" customFormat="1" ht="15.75" thickBot="1">
      <c r="A100" s="510"/>
      <c r="B100" s="492"/>
      <c r="C100" s="517"/>
      <c r="D100" s="493"/>
      <c r="E100" s="493"/>
      <c r="F100" s="493"/>
      <c r="G100" s="517"/>
      <c r="H100" s="519"/>
      <c r="I100" s="519"/>
      <c r="J100" s="519"/>
      <c r="K100" s="519"/>
      <c r="L100" s="519"/>
      <c r="M100" s="520"/>
      <c r="N100" s="2952"/>
      <c r="O100" s="2952"/>
      <c r="P100" s="2960"/>
      <c r="Q100" s="2943"/>
      <c r="R100" s="2944"/>
      <c r="S100" s="2944"/>
      <c r="T100" s="2944"/>
      <c r="U100" s="2944"/>
      <c r="V100" s="2944"/>
      <c r="W100" s="2944"/>
      <c r="X100" s="2944"/>
      <c r="Y100" s="2944"/>
      <c r="Z100" s="2944"/>
      <c r="AA100" s="2944"/>
      <c r="AB100" s="2944"/>
      <c r="AC100" s="2944"/>
    </row>
    <row r="101" spans="1:29" ht="15" thickTop="1">
      <c r="A101" s="556"/>
      <c r="B101" s="495">
        <f>B36</f>
        <v>111</v>
      </c>
      <c r="C101" s="511"/>
      <c r="D101" s="511"/>
      <c r="E101" s="511"/>
      <c r="F101" s="511"/>
      <c r="G101" s="511"/>
      <c r="H101" s="512"/>
      <c r="I101" s="512"/>
      <c r="J101" s="512"/>
      <c r="K101" s="512"/>
      <c r="L101" s="513"/>
      <c r="M101" s="514"/>
      <c r="N101" s="2950"/>
      <c r="O101" s="2950"/>
      <c r="P101" s="2959"/>
      <c r="Q101" s="2936"/>
      <c r="R101" s="2922"/>
      <c r="S101" s="2922"/>
      <c r="T101" s="2922"/>
      <c r="U101" s="2922"/>
      <c r="V101" s="2922"/>
      <c r="W101" s="2922"/>
      <c r="X101" s="2922"/>
      <c r="Y101" s="2922"/>
      <c r="Z101" s="2922"/>
      <c r="AA101" s="2922"/>
      <c r="AB101" s="2922"/>
      <c r="AC101" s="2922"/>
    </row>
    <row r="102" spans="1:29" ht="15.75" thickBot="1">
      <c r="A102" s="491"/>
      <c r="B102" s="500"/>
      <c r="C102" s="517"/>
      <c r="D102" s="517"/>
      <c r="E102" s="517"/>
      <c r="F102" s="517"/>
      <c r="G102" s="517"/>
      <c r="H102" s="519"/>
      <c r="I102" s="519"/>
      <c r="J102" s="519"/>
      <c r="K102" s="519"/>
      <c r="L102" s="519"/>
      <c r="M102" s="520"/>
      <c r="N102" s="2951"/>
      <c r="O102" s="2951"/>
      <c r="P102" s="2959"/>
      <c r="Q102" s="2936"/>
      <c r="R102" s="2922"/>
      <c r="S102" s="2922"/>
      <c r="T102" s="2922"/>
      <c r="U102" s="2922"/>
      <c r="V102" s="2922"/>
      <c r="W102" s="2922"/>
      <c r="X102" s="2922"/>
      <c r="Y102" s="2922"/>
      <c r="Z102" s="2922"/>
      <c r="AA102" s="2922"/>
      <c r="AB102" s="2922"/>
      <c r="AC102" s="2922"/>
    </row>
    <row r="103" spans="1:29" ht="15" thickTop="1">
      <c r="N103" s="2922"/>
      <c r="O103" s="2922"/>
      <c r="P103" s="2953"/>
      <c r="Q103" s="2922"/>
      <c r="R103" s="2922"/>
      <c r="S103" s="2922"/>
      <c r="T103" s="2922"/>
      <c r="U103" s="2922"/>
      <c r="V103" s="2922"/>
      <c r="W103" s="2922"/>
      <c r="X103" s="2922"/>
      <c r="Y103" s="2922"/>
      <c r="Z103" s="2922"/>
      <c r="AA103" s="2922"/>
      <c r="AB103" s="2922"/>
      <c r="AC103" s="292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IF(C2="——",ROUND(C37*D3/10000,0),ROUND(C37*D3/10000,0)-D2)</f>
        <v>#DIV/0!</v>
      </c>
      <c r="C2" s="2037"/>
      <c r="D2" s="1038" t="e">
        <f ca="1">SUMIF(INDIRECT("'"&amp;F2&amp;"'"&amp;"!A:A"),"承租人权益价值",INDIRECT("'"&amp;F2&amp;"'"&amp;"!c:c"))</f>
        <v>#REF!</v>
      </c>
      <c r="E2" s="2038" t="s">
        <v>2088</v>
      </c>
      <c r="F2" s="2039"/>
      <c r="G2" s="1039"/>
      <c r="H2" s="1039"/>
      <c r="I2" s="1039"/>
      <c r="J2" s="1039"/>
      <c r="K2" s="1041"/>
      <c r="L2" s="2931"/>
      <c r="M2" s="2932"/>
      <c r="N2" s="2932"/>
      <c r="O2" s="2932"/>
      <c r="P2" s="708"/>
      <c r="Q2" s="708"/>
      <c r="R2" s="708"/>
      <c r="S2" s="708"/>
      <c r="T2" s="708"/>
      <c r="U2" s="708"/>
      <c r="V2" s="708"/>
      <c r="W2" s="708"/>
      <c r="X2" s="708"/>
      <c r="Y2" s="708"/>
      <c r="Z2" s="708"/>
      <c r="AA2" s="708"/>
      <c r="AB2" s="708"/>
      <c r="AC2" s="709"/>
    </row>
    <row r="3" spans="1:29" s="358" customFormat="1" ht="28.5" customHeight="1" thickBot="1">
      <c r="A3" s="209" t="s">
        <v>2089</v>
      </c>
      <c r="B3" s="566" t="e">
        <f ca="1">IF(C2="——",C37,ROUND(B2*10000/D3,0))</f>
        <v>#DIV/0!</v>
      </c>
      <c r="C3" s="360" t="s">
        <v>2404</v>
      </c>
      <c r="D3" s="359">
        <f>SUMIF('数据-汇总表'!$C19:$C33,D1,'数据-汇总表'!$E19:$E33)</f>
        <v>0</v>
      </c>
      <c r="E3" s="1039"/>
      <c r="F3" s="1040"/>
      <c r="G3" s="1039"/>
      <c r="H3" s="1039"/>
      <c r="I3" s="1039"/>
      <c r="J3" s="1039"/>
      <c r="K3" s="1041"/>
      <c r="L3" s="2931"/>
      <c r="M3" s="2932"/>
      <c r="N3" s="2932"/>
      <c r="O3" s="2932"/>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2"/>
      <c r="M4" s="2913"/>
      <c r="N4" s="2913"/>
      <c r="O4" s="2913"/>
      <c r="P4" s="3453" t="s">
        <v>2411</v>
      </c>
      <c r="Q4" s="3454"/>
      <c r="R4" s="3436" t="s">
        <v>2407</v>
      </c>
      <c r="S4" s="3437"/>
      <c r="T4" s="3436" t="s">
        <v>2408</v>
      </c>
      <c r="U4" s="3437"/>
      <c r="V4" s="3461" t="s">
        <v>2409</v>
      </c>
      <c r="W4" s="3461"/>
      <c r="X4" s="1509"/>
      <c r="Y4" s="3436" t="s">
        <v>2411</v>
      </c>
      <c r="Z4" s="3437"/>
      <c r="AA4" s="3431" t="s">
        <v>2407</v>
      </c>
      <c r="AB4" s="3432" t="s">
        <v>2408</v>
      </c>
      <c r="AC4" s="3431" t="s">
        <v>2409</v>
      </c>
    </row>
    <row r="5" spans="1:29" ht="15">
      <c r="A5" s="364"/>
      <c r="B5" s="365"/>
      <c r="C5" s="3442" t="s">
        <v>2302</v>
      </c>
      <c r="D5" s="3443"/>
      <c r="E5" s="3440" t="s">
        <v>2303</v>
      </c>
      <c r="F5" s="3441"/>
      <c r="G5" s="3442" t="s">
        <v>2304</v>
      </c>
      <c r="H5" s="3443"/>
      <c r="I5" s="3442" t="s">
        <v>2305</v>
      </c>
      <c r="J5" s="3443"/>
      <c r="K5" s="567"/>
      <c r="L5" s="2912"/>
      <c r="M5" s="2913"/>
      <c r="N5" s="2913"/>
      <c r="O5" s="2913"/>
      <c r="P5" s="3455"/>
      <c r="Q5" s="3456"/>
      <c r="R5" s="3438"/>
      <c r="S5" s="3439"/>
      <c r="T5" s="3438"/>
      <c r="U5" s="3439"/>
      <c r="V5" s="3461"/>
      <c r="W5" s="3461"/>
      <c r="X5" s="1509"/>
      <c r="Y5" s="3438"/>
      <c r="Z5" s="3439"/>
      <c r="AA5" s="3432"/>
      <c r="AB5" s="3432"/>
      <c r="AC5" s="3432"/>
    </row>
    <row r="6" spans="1:29" ht="15.75" thickBot="1">
      <c r="A6" s="366"/>
      <c r="B6" s="367"/>
      <c r="C6" s="3444" t="s">
        <v>2306</v>
      </c>
      <c r="D6" s="3445"/>
      <c r="E6" s="3446" t="s">
        <v>2306</v>
      </c>
      <c r="F6" s="3447"/>
      <c r="G6" s="3444" t="s">
        <v>2306</v>
      </c>
      <c r="H6" s="3445"/>
      <c r="I6" s="3444" t="s">
        <v>2306</v>
      </c>
      <c r="J6" s="3445"/>
      <c r="K6" s="567" t="s">
        <v>2307</v>
      </c>
      <c r="L6" s="2912"/>
      <c r="M6" s="2913"/>
      <c r="N6" s="2913"/>
      <c r="O6" s="2913"/>
      <c r="P6" s="3457"/>
      <c r="Q6" s="3458"/>
      <c r="R6" s="3438"/>
      <c r="S6" s="3439"/>
      <c r="T6" s="3459"/>
      <c r="U6" s="3460"/>
      <c r="V6" s="3461"/>
      <c r="W6" s="3461"/>
      <c r="X6" s="1509"/>
      <c r="Y6" s="3459"/>
      <c r="Z6" s="3460"/>
      <c r="AA6" s="3433"/>
      <c r="AB6" s="3433"/>
      <c r="AC6" s="3433"/>
    </row>
    <row r="7" spans="1:29" s="113" customFormat="1" ht="15.75" thickBot="1">
      <c r="A7" s="368" t="s">
        <v>2308</v>
      </c>
      <c r="B7" s="369"/>
      <c r="C7" s="370">
        <f>'数据-取费表'!B2</f>
        <v>44641</v>
      </c>
      <c r="D7" s="371">
        <v>100</v>
      </c>
      <c r="E7" s="372"/>
      <c r="F7" s="373">
        <f>SUMIF(46:46,YEAR(E7)&amp;"-"&amp;MONTH(E7),47:47)</f>
        <v>0</v>
      </c>
      <c r="G7" s="2130"/>
      <c r="H7" s="371">
        <f>SUMIF(46:46,YEAR(G7)&amp;"-"&amp;MONTH(G7),47:47)</f>
        <v>0</v>
      </c>
      <c r="I7" s="372"/>
      <c r="J7" s="371">
        <f>SUMIF(46:46,YEAR(I7)&amp;"-"&amp;MONTH(I7),47:47)</f>
        <v>0</v>
      </c>
      <c r="K7" s="568"/>
      <c r="L7" s="2914"/>
      <c r="M7" s="2915"/>
      <c r="N7" s="2915"/>
      <c r="O7" s="2915"/>
      <c r="P7" s="3434" t="s">
        <v>2309</v>
      </c>
      <c r="Q7" s="3462"/>
      <c r="R7" s="710" t="s">
        <v>17</v>
      </c>
      <c r="S7" s="711">
        <f t="shared" ref="S7:S14" si="0">F7</f>
        <v>0</v>
      </c>
      <c r="T7" s="710" t="s">
        <v>17</v>
      </c>
      <c r="U7" s="711">
        <f t="shared" ref="U7:U14" si="1">H7</f>
        <v>0</v>
      </c>
      <c r="V7" s="710" t="s">
        <v>17</v>
      </c>
      <c r="W7" s="711">
        <f t="shared" ref="W7:W14" si="2">J7</f>
        <v>0</v>
      </c>
      <c r="X7" s="712"/>
      <c r="Y7" s="3434" t="s">
        <v>2309</v>
      </c>
      <c r="Z7" s="3435"/>
      <c r="AA7" s="713" t="e">
        <f>D7/F7</f>
        <v>#DIV/0!</v>
      </c>
      <c r="AB7" s="713" t="e">
        <f>D7/H7</f>
        <v>#DIV/0!</v>
      </c>
      <c r="AC7" s="713" t="e">
        <f>D7/J7</f>
        <v>#DIV/0!</v>
      </c>
    </row>
    <row r="8" spans="1:29" s="113" customFormat="1" ht="15.75" thickBot="1">
      <c r="A8" s="368" t="s">
        <v>2310</v>
      </c>
      <c r="B8" s="369"/>
      <c r="C8" s="374" t="s">
        <v>2412</v>
      </c>
      <c r="D8" s="371">
        <v>100</v>
      </c>
      <c r="E8" s="374"/>
      <c r="F8" s="373">
        <f>SUMIF(49:49,E8,50:50)-SUMIF(49:49,C8,50:50)+100</f>
        <v>0</v>
      </c>
      <c r="G8" s="374"/>
      <c r="H8" s="371">
        <f>SUMIF(49:49,G8,50:50)-SUMIF(49:49,C8,50:50)+100</f>
        <v>0</v>
      </c>
      <c r="I8" s="374"/>
      <c r="J8" s="371">
        <f>SUMIF(49:49,I8,50:50)-SUMIF(49:49,C8,50:50)+100</f>
        <v>0</v>
      </c>
      <c r="K8" s="568"/>
      <c r="L8" s="2914"/>
      <c r="M8" s="2915"/>
      <c r="N8" s="2915"/>
      <c r="O8" s="2915"/>
      <c r="P8" s="3434" t="s">
        <v>2312</v>
      </c>
      <c r="Q8" s="3435"/>
      <c r="R8" s="710" t="s">
        <v>17</v>
      </c>
      <c r="S8" s="711">
        <f t="shared" si="0"/>
        <v>0</v>
      </c>
      <c r="T8" s="710" t="s">
        <v>17</v>
      </c>
      <c r="U8" s="711">
        <f t="shared" si="1"/>
        <v>0</v>
      </c>
      <c r="V8" s="710" t="s">
        <v>17</v>
      </c>
      <c r="W8" s="711">
        <f t="shared" si="2"/>
        <v>0</v>
      </c>
      <c r="X8" s="712"/>
      <c r="Y8" s="3434" t="s">
        <v>2312</v>
      </c>
      <c r="Z8" s="3435"/>
      <c r="AA8" s="713" t="e">
        <f t="shared" ref="AA8:AA34" si="3">D8/F8</f>
        <v>#DIV/0!</v>
      </c>
      <c r="AB8" s="713" t="e">
        <f t="shared" ref="AB8:AB34" si="4">D8/H8</f>
        <v>#DIV/0!</v>
      </c>
      <c r="AC8" s="713" t="e">
        <f t="shared" ref="AC8:AC34" si="5">D8/J8</f>
        <v>#DIV/0!</v>
      </c>
    </row>
    <row r="9" spans="1:29" s="113" customFormat="1">
      <c r="A9" s="375" t="s">
        <v>2313</v>
      </c>
      <c r="B9" s="67" t="s">
        <v>2314</v>
      </c>
      <c r="C9" s="376"/>
      <c r="D9" s="131">
        <v>100</v>
      </c>
      <c r="E9" s="379"/>
      <c r="F9" s="378">
        <f>SUMIF(51:51,E9,52:52)-SUMIF(51:51,C9,52:52)+100</f>
        <v>100</v>
      </c>
      <c r="G9" s="379"/>
      <c r="H9" s="131">
        <f>SUMIF(51:51,G9,52:52)-SUMIF(51:51,C9,52:52)+100</f>
        <v>100</v>
      </c>
      <c r="I9" s="379"/>
      <c r="J9" s="131">
        <f>SUMIF(51:51,I9,52:52)-SUMIF(51:51,C9,52:52)+100</f>
        <v>100</v>
      </c>
      <c r="K9" s="568"/>
      <c r="L9" s="2914"/>
      <c r="M9" s="2915"/>
      <c r="N9" s="2915"/>
      <c r="O9" s="2969"/>
      <c r="P9" s="3466" t="s">
        <v>2315</v>
      </c>
      <c r="Q9" s="1497" t="str">
        <f t="shared" ref="Q9:Q14" si="6">B9</f>
        <v>用途</v>
      </c>
      <c r="R9" s="710" t="s">
        <v>17</v>
      </c>
      <c r="S9" s="711">
        <f t="shared" si="0"/>
        <v>100</v>
      </c>
      <c r="T9" s="710" t="s">
        <v>17</v>
      </c>
      <c r="U9" s="711">
        <f t="shared" si="1"/>
        <v>100</v>
      </c>
      <c r="V9" s="710" t="s">
        <v>17</v>
      </c>
      <c r="W9" s="711">
        <f t="shared" si="2"/>
        <v>100</v>
      </c>
      <c r="X9" s="712"/>
      <c r="Y9" s="3378" t="s">
        <v>2316</v>
      </c>
      <c r="Z9" s="55" t="str">
        <f t="shared" ref="Z9:Z14" si="7">Q9</f>
        <v>用途</v>
      </c>
      <c r="AA9" s="713">
        <f t="shared" si="3"/>
        <v>1</v>
      </c>
      <c r="AB9" s="713">
        <f t="shared" si="4"/>
        <v>1</v>
      </c>
      <c r="AC9" s="713">
        <f t="shared" si="5"/>
        <v>1</v>
      </c>
    </row>
    <row r="10" spans="1:29" s="386" customFormat="1" ht="27">
      <c r="A10" s="380"/>
      <c r="B10" s="381" t="s">
        <v>2317</v>
      </c>
      <c r="C10" s="382"/>
      <c r="D10" s="132">
        <v>100</v>
      </c>
      <c r="E10" s="382"/>
      <c r="F10" s="384">
        <f>SUMIF(53:53,E10,54:54)-SUMIF(53:53,C10,54:54)+100</f>
        <v>100</v>
      </c>
      <c r="G10" s="382"/>
      <c r="H10" s="132">
        <f>SUMIF(53:53,G10,54:54)-SUMIF(53:53,C10,54:54)+100</f>
        <v>100</v>
      </c>
      <c r="I10" s="382"/>
      <c r="J10" s="132">
        <f>SUMIF(53:53,I10,54:54)-SUMIF(53:53,C10,54:54)+100</f>
        <v>100</v>
      </c>
      <c r="K10" s="569"/>
      <c r="L10" s="2916"/>
      <c r="M10" s="2917"/>
      <c r="N10" s="2917"/>
      <c r="O10" s="2970"/>
      <c r="P10" s="3466"/>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18"/>
      <c r="M11" s="2913"/>
      <c r="N11" s="2913"/>
      <c r="O11" s="2971"/>
      <c r="P11" s="3466"/>
      <c r="Q11" s="1497">
        <f t="shared" si="6"/>
        <v>111</v>
      </c>
      <c r="R11" s="710" t="s">
        <v>17</v>
      </c>
      <c r="S11" s="711">
        <f t="shared" si="0"/>
        <v>100</v>
      </c>
      <c r="T11" s="710" t="s">
        <v>17</v>
      </c>
      <c r="U11" s="711">
        <f t="shared" si="1"/>
        <v>100</v>
      </c>
      <c r="V11" s="710" t="s">
        <v>17</v>
      </c>
      <c r="W11" s="711">
        <f t="shared" si="2"/>
        <v>100</v>
      </c>
      <c r="X11" s="712"/>
      <c r="Y11" s="3378"/>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4"/>
      <c r="M12" s="2915"/>
      <c r="N12" s="2915"/>
      <c r="O12" s="2969"/>
      <c r="P12" s="3466"/>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19"/>
      <c r="M13" s="2913"/>
      <c r="N13" s="2913"/>
      <c r="O13" s="2971"/>
      <c r="P13" s="3466"/>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85.5">
      <c r="A14" s="399" t="s">
        <v>2319</v>
      </c>
      <c r="B14" s="65" t="s">
        <v>2469</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19"/>
      <c r="M14" s="2913"/>
      <c r="N14" s="2913"/>
      <c r="O14" s="2971"/>
      <c r="P14" s="3468" t="s">
        <v>2320</v>
      </c>
      <c r="Q14" s="1506" t="str">
        <f t="shared" si="6"/>
        <v>交通便捷度</v>
      </c>
      <c r="R14" s="714" t="s">
        <v>17</v>
      </c>
      <c r="S14" s="715">
        <f t="shared" si="0"/>
        <v>100</v>
      </c>
      <c r="T14" s="714" t="s">
        <v>17</v>
      </c>
      <c r="U14" s="715">
        <f t="shared" si="1"/>
        <v>100</v>
      </c>
      <c r="V14" s="714" t="s">
        <v>17</v>
      </c>
      <c r="W14" s="715">
        <f t="shared" si="2"/>
        <v>100</v>
      </c>
      <c r="X14" s="1509"/>
      <c r="Y14" s="3468" t="s">
        <v>2320</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19"/>
      <c r="M15" s="2913"/>
      <c r="N15" s="2913"/>
      <c r="O15" s="2971"/>
      <c r="P15" s="3469"/>
      <c r="Q15" s="1506"/>
      <c r="R15" s="714"/>
      <c r="S15" s="715"/>
      <c r="T15" s="714"/>
      <c r="U15" s="715"/>
      <c r="V15" s="714"/>
      <c r="W15" s="715"/>
      <c r="X15" s="1509"/>
      <c r="Y15" s="3469"/>
      <c r="Z15" s="1510"/>
      <c r="AA15" s="1507">
        <v>1</v>
      </c>
      <c r="AB15" s="1507">
        <v>1</v>
      </c>
      <c r="AC15" s="1507">
        <v>1</v>
      </c>
    </row>
    <row r="16" spans="1:29" ht="42.75">
      <c r="A16" s="387"/>
      <c r="B16" s="410" t="s">
        <v>2448</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19"/>
      <c r="M16" s="2913"/>
      <c r="N16" s="2913"/>
      <c r="O16" s="2971"/>
      <c r="P16" s="3469"/>
      <c r="Q16" s="1506" t="str">
        <f>B16</f>
        <v>公共配套设施</v>
      </c>
      <c r="R16" s="714" t="s">
        <v>17</v>
      </c>
      <c r="S16" s="715">
        <f>F16</f>
        <v>100</v>
      </c>
      <c r="T16" s="714" t="s">
        <v>17</v>
      </c>
      <c r="U16" s="715">
        <f>H16</f>
        <v>100</v>
      </c>
      <c r="V16" s="714" t="s">
        <v>17</v>
      </c>
      <c r="W16" s="715">
        <f>J16</f>
        <v>100</v>
      </c>
      <c r="X16" s="1509"/>
      <c r="Y16" s="3469"/>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19"/>
      <c r="M17" s="2913"/>
      <c r="N17" s="2913"/>
      <c r="O17" s="2971"/>
      <c r="P17" s="3469"/>
      <c r="Q17" s="1506"/>
      <c r="R17" s="714"/>
      <c r="S17" s="715"/>
      <c r="T17" s="714"/>
      <c r="U17" s="715"/>
      <c r="V17" s="714"/>
      <c r="W17" s="715"/>
      <c r="X17" s="1509"/>
      <c r="Y17" s="3469"/>
      <c r="Z17" s="1510"/>
      <c r="AA17" s="1507">
        <v>1</v>
      </c>
      <c r="AB17" s="1507">
        <v>1</v>
      </c>
      <c r="AC17" s="1507">
        <v>1</v>
      </c>
    </row>
    <row r="18" spans="1:29" ht="28.5">
      <c r="A18" s="387"/>
      <c r="B18" s="1265" t="s">
        <v>2449</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19"/>
      <c r="M18" s="2913"/>
      <c r="N18" s="2913"/>
      <c r="O18" s="2971"/>
      <c r="P18" s="3469"/>
      <c r="Q18" s="1506" t="str">
        <f>B18</f>
        <v>基础设施水平</v>
      </c>
      <c r="R18" s="714" t="s">
        <v>17</v>
      </c>
      <c r="S18" s="715">
        <f>F18</f>
        <v>100</v>
      </c>
      <c r="T18" s="714" t="s">
        <v>17</v>
      </c>
      <c r="U18" s="715">
        <f>H18</f>
        <v>100</v>
      </c>
      <c r="V18" s="714" t="s">
        <v>17</v>
      </c>
      <c r="W18" s="715">
        <f>J18</f>
        <v>100</v>
      </c>
      <c r="X18" s="1509"/>
      <c r="Y18" s="3469"/>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19"/>
      <c r="M19" s="2913"/>
      <c r="N19" s="2913"/>
      <c r="O19" s="2971"/>
      <c r="P19" s="3469"/>
      <c r="Q19" s="1506"/>
      <c r="R19" s="714"/>
      <c r="S19" s="715"/>
      <c r="T19" s="714"/>
      <c r="U19" s="715"/>
      <c r="V19" s="714"/>
      <c r="W19" s="715"/>
      <c r="X19" s="1509"/>
      <c r="Y19" s="3469"/>
      <c r="Z19" s="1510"/>
      <c r="AA19" s="1507">
        <v>1</v>
      </c>
      <c r="AB19" s="1507">
        <v>1</v>
      </c>
      <c r="AC19" s="1507">
        <v>1</v>
      </c>
    </row>
    <row r="20" spans="1:29" ht="57">
      <c r="A20" s="387"/>
      <c r="B20" s="410" t="s">
        <v>2470</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19"/>
      <c r="M20" s="2913"/>
      <c r="N20" s="2913"/>
      <c r="O20" s="2971"/>
      <c r="P20" s="3469"/>
      <c r="Q20" s="1506" t="str">
        <f>B20</f>
        <v>自然及人文环境</v>
      </c>
      <c r="R20" s="714" t="s">
        <v>17</v>
      </c>
      <c r="S20" s="715">
        <f>F20</f>
        <v>100</v>
      </c>
      <c r="T20" s="714" t="s">
        <v>17</v>
      </c>
      <c r="U20" s="715">
        <f>H20</f>
        <v>100</v>
      </c>
      <c r="V20" s="714" t="s">
        <v>17</v>
      </c>
      <c r="W20" s="715">
        <f>J20</f>
        <v>100</v>
      </c>
      <c r="X20" s="1509"/>
      <c r="Y20" s="3469"/>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19"/>
      <c r="M21" s="2913"/>
      <c r="N21" s="2913"/>
      <c r="O21" s="2971"/>
      <c r="P21" s="3469"/>
      <c r="Q21" s="1506"/>
      <c r="R21" s="714"/>
      <c r="S21" s="715"/>
      <c r="T21" s="714"/>
      <c r="U21" s="715"/>
      <c r="V21" s="714"/>
      <c r="W21" s="715"/>
      <c r="X21" s="1509"/>
      <c r="Y21" s="3469"/>
      <c r="Z21" s="1510"/>
      <c r="AA21" s="1507">
        <v>1</v>
      </c>
      <c r="AB21" s="1507">
        <v>1</v>
      </c>
      <c r="AC21" s="1507">
        <v>1</v>
      </c>
    </row>
    <row r="22" spans="1:29" ht="15">
      <c r="A22" s="387"/>
      <c r="B22" s="410" t="s">
        <v>2471</v>
      </c>
      <c r="C22" s="573"/>
      <c r="D22" s="409">
        <v>100</v>
      </c>
      <c r="E22" s="573"/>
      <c r="F22" s="420">
        <f>SUMIF(69:69,E22,70:70)-SUMIF(69:69,C22,70:70)+100</f>
        <v>100</v>
      </c>
      <c r="G22" s="573"/>
      <c r="H22" s="394">
        <f>SUMIF(69:69,G22,70:70)-SUMIF(69:69,C22,70:70)+100</f>
        <v>100</v>
      </c>
      <c r="I22" s="573"/>
      <c r="J22" s="394">
        <f>SUMIF(69:69,I22,70:70)-SUMIF(69:69,C22,70:70)+100</f>
        <v>100</v>
      </c>
      <c r="K22" s="569"/>
      <c r="L22" s="2919"/>
      <c r="M22" s="2913"/>
      <c r="N22" s="2913"/>
      <c r="O22" s="2971"/>
      <c r="P22" s="3469"/>
      <c r="Q22" s="1506" t="str">
        <f>B22</f>
        <v>楼层</v>
      </c>
      <c r="R22" s="714" t="s">
        <v>17</v>
      </c>
      <c r="S22" s="715">
        <f>F22</f>
        <v>100</v>
      </c>
      <c r="T22" s="714" t="s">
        <v>17</v>
      </c>
      <c r="U22" s="715">
        <f>H22</f>
        <v>100</v>
      </c>
      <c r="V22" s="714" t="s">
        <v>17</v>
      </c>
      <c r="W22" s="715">
        <f>J22</f>
        <v>100</v>
      </c>
      <c r="X22" s="1509"/>
      <c r="Y22" s="3469"/>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19"/>
      <c r="M23" s="2913"/>
      <c r="N23" s="2913"/>
      <c r="O23" s="2971"/>
      <c r="P23" s="3469"/>
      <c r="Q23" s="1506">
        <f>B23</f>
        <v>111</v>
      </c>
      <c r="R23" s="714" t="s">
        <v>17</v>
      </c>
      <c r="S23" s="715">
        <f>F23</f>
        <v>100</v>
      </c>
      <c r="T23" s="714" t="s">
        <v>17</v>
      </c>
      <c r="U23" s="715">
        <f>H23</f>
        <v>100</v>
      </c>
      <c r="V23" s="714" t="s">
        <v>17</v>
      </c>
      <c r="W23" s="715">
        <f>J23</f>
        <v>100</v>
      </c>
      <c r="X23" s="1509"/>
      <c r="Y23" s="3469"/>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19"/>
      <c r="M24" s="2913"/>
      <c r="N24" s="2913"/>
      <c r="O24" s="2971"/>
      <c r="P24" s="3469"/>
      <c r="Q24" s="1506">
        <f t="shared" ref="Q24:Q34" si="11">B24</f>
        <v>111</v>
      </c>
      <c r="R24" s="714" t="s">
        <v>17</v>
      </c>
      <c r="S24" s="715">
        <f>F24</f>
        <v>100</v>
      </c>
      <c r="T24" s="714" t="s">
        <v>17</v>
      </c>
      <c r="U24" s="715">
        <f>H24</f>
        <v>100</v>
      </c>
      <c r="V24" s="714" t="s">
        <v>17</v>
      </c>
      <c r="W24" s="715">
        <f>J24</f>
        <v>100</v>
      </c>
      <c r="X24" s="1509"/>
      <c r="Y24" s="3469"/>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4"/>
      <c r="M25" s="2915"/>
      <c r="N25" s="2915"/>
      <c r="O25" s="2969"/>
      <c r="P25" s="3469"/>
      <c r="Q25" s="1497">
        <f t="shared" si="11"/>
        <v>111</v>
      </c>
      <c r="R25" s="710" t="s">
        <v>17</v>
      </c>
      <c r="S25" s="711">
        <f>F25</f>
        <v>100</v>
      </c>
      <c r="T25" s="710" t="s">
        <v>17</v>
      </c>
      <c r="U25" s="711">
        <f>H25</f>
        <v>100</v>
      </c>
      <c r="V25" s="710" t="s">
        <v>17</v>
      </c>
      <c r="W25" s="711">
        <f>J25</f>
        <v>100</v>
      </c>
      <c r="X25" s="712"/>
      <c r="Y25" s="3469"/>
      <c r="Z25" s="55">
        <f>Q25</f>
        <v>111</v>
      </c>
      <c r="AA25" s="1507">
        <f>D25/F25</f>
        <v>1</v>
      </c>
      <c r="AB25" s="1507">
        <f>D25/H25</f>
        <v>1</v>
      </c>
      <c r="AC25" s="1507">
        <f>D25/J25</f>
        <v>1</v>
      </c>
    </row>
    <row r="26" spans="1:29" ht="28.5">
      <c r="A26" s="425" t="s">
        <v>2323</v>
      </c>
      <c r="B26" s="67" t="s">
        <v>2474</v>
      </c>
      <c r="C26" s="2123"/>
      <c r="D26" s="426">
        <v>100</v>
      </c>
      <c r="E26" s="2123"/>
      <c r="F26" s="623">
        <f>SUMIF(77:77,E26,78:78)-SUMIF(77:77,C26,78:78)+100</f>
        <v>100</v>
      </c>
      <c r="G26" s="2123"/>
      <c r="H26" s="426">
        <f>SUMIF(77:77,G26,78:78)-SUMIF(77:77,C26,78:78)+100</f>
        <v>100</v>
      </c>
      <c r="I26" s="2123"/>
      <c r="J26" s="426">
        <f>SUMIF(77:77,I26,78:78)-SUMIF(77:77,C26,78:78)+100</f>
        <v>100</v>
      </c>
      <c r="K26" s="569"/>
      <c r="L26" s="2919"/>
      <c r="M26" s="2913"/>
      <c r="N26" s="2913"/>
      <c r="O26" s="2971"/>
      <c r="P26" s="3492" t="s">
        <v>2325</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73" t="s">
        <v>2325</v>
      </c>
      <c r="Z26" s="1510" t="str">
        <f t="shared" ref="Z26:Z34" si="15">Q26</f>
        <v>公共部分装修</v>
      </c>
      <c r="AA26" s="1507">
        <f t="shared" si="3"/>
        <v>1</v>
      </c>
      <c r="AB26" s="1507">
        <f t="shared" si="4"/>
        <v>1</v>
      </c>
      <c r="AC26" s="1507">
        <f t="shared" si="5"/>
        <v>1</v>
      </c>
    </row>
    <row r="27" spans="1:29" s="430" customFormat="1" ht="15">
      <c r="A27" s="427"/>
      <c r="B27" s="381" t="s">
        <v>2475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8"/>
      <c r="M27" s="2920"/>
      <c r="N27" s="2920"/>
      <c r="O27" s="2972"/>
      <c r="P27" s="3473"/>
      <c r="Q27" s="716" t="str">
        <f t="shared" si="11"/>
        <v>成新率</v>
      </c>
      <c r="R27" s="717" t="s">
        <v>17</v>
      </c>
      <c r="S27" s="718" t="e">
        <f t="shared" si="12"/>
        <v>#N/A</v>
      </c>
      <c r="T27" s="717" t="s">
        <v>17</v>
      </c>
      <c r="U27" s="718" t="e">
        <f t="shared" si="13"/>
        <v>#N/A</v>
      </c>
      <c r="V27" s="717" t="s">
        <v>17</v>
      </c>
      <c r="W27" s="718" t="e">
        <f t="shared" si="14"/>
        <v>#N/A</v>
      </c>
      <c r="X27" s="719"/>
      <c r="Y27" s="3473"/>
      <c r="Z27" s="720" t="str">
        <f t="shared" si="15"/>
        <v>成新率</v>
      </c>
      <c r="AA27" s="1507" t="e">
        <f t="shared" si="3"/>
        <v>#N/A</v>
      </c>
      <c r="AB27" s="1507" t="e">
        <f t="shared" si="4"/>
        <v>#N/A</v>
      </c>
      <c r="AC27" s="1507" t="e">
        <f t="shared" si="5"/>
        <v>#N/A</v>
      </c>
    </row>
    <row r="28" spans="1:29" ht="15">
      <c r="A28" s="431"/>
      <c r="B28" s="381" t="s">
        <v>2476</v>
      </c>
      <c r="C28" s="419"/>
      <c r="D28" s="394">
        <v>100</v>
      </c>
      <c r="E28" s="419"/>
      <c r="F28" s="420">
        <f>SUMIF(82:82,E28,83:83)-SUMIF(82:82,C28,83:83)+100</f>
        <v>100</v>
      </c>
      <c r="G28" s="419"/>
      <c r="H28" s="394">
        <f>SUMIF(82:82,G28,83:83)-SUMIF(82:82,C28,83:83)+100</f>
        <v>100</v>
      </c>
      <c r="I28" s="419"/>
      <c r="J28" s="394">
        <f>SUMIF(82:82,I28,83:83)-SUMIF(82:82,C28,83:83)+100</f>
        <v>100</v>
      </c>
      <c r="K28" s="569"/>
      <c r="L28" s="2919"/>
      <c r="M28" s="2913"/>
      <c r="N28" s="2913"/>
      <c r="O28" s="2971"/>
      <c r="P28" s="3473"/>
      <c r="Q28" s="1506" t="str">
        <f t="shared" si="11"/>
        <v>物业等级</v>
      </c>
      <c r="R28" s="714" t="s">
        <v>17</v>
      </c>
      <c r="S28" s="715">
        <f t="shared" si="12"/>
        <v>100</v>
      </c>
      <c r="T28" s="714" t="s">
        <v>17</v>
      </c>
      <c r="U28" s="715">
        <f t="shared" si="13"/>
        <v>100</v>
      </c>
      <c r="V28" s="714" t="s">
        <v>17</v>
      </c>
      <c r="W28" s="715">
        <f t="shared" si="14"/>
        <v>100</v>
      </c>
      <c r="X28" s="1509"/>
      <c r="Y28" s="3473"/>
      <c r="Z28" s="1510" t="str">
        <f t="shared" si="15"/>
        <v>物业等级</v>
      </c>
      <c r="AA28" s="1507">
        <f t="shared" si="3"/>
        <v>1</v>
      </c>
      <c r="AB28" s="1507">
        <f t="shared" si="4"/>
        <v>1</v>
      </c>
      <c r="AC28" s="1507">
        <f t="shared" si="5"/>
        <v>1</v>
      </c>
    </row>
    <row r="29" spans="1:29" ht="15">
      <c r="A29" s="431"/>
      <c r="B29" s="381" t="s">
        <v>2497</v>
      </c>
      <c r="C29" s="613"/>
      <c r="D29" s="394">
        <v>100</v>
      </c>
      <c r="E29" s="613"/>
      <c r="F29" s="420">
        <f>SUMIF(84:84,E29,85:85)-SUMIF(84:84,C29,85:85)+100</f>
        <v>100</v>
      </c>
      <c r="G29" s="613"/>
      <c r="H29" s="394">
        <f>SUMIF(84:84,G29,85:85)-SUMIF(84:84,C29,85:85)+100</f>
        <v>100</v>
      </c>
      <c r="I29" s="613"/>
      <c r="J29" s="394">
        <f>SUMIF(84:84,I29,85:85)-SUMIF(84:84,C29,85:85)+100</f>
        <v>100</v>
      </c>
      <c r="K29" s="569"/>
      <c r="L29" s="2919"/>
      <c r="M29" s="2913"/>
      <c r="N29" s="2913"/>
      <c r="O29" s="2971"/>
      <c r="P29" s="3473"/>
      <c r="Q29" s="1506" t="str">
        <f t="shared" si="11"/>
        <v>有无电梯</v>
      </c>
      <c r="R29" s="714" t="s">
        <v>17</v>
      </c>
      <c r="S29" s="715">
        <f t="shared" si="12"/>
        <v>100</v>
      </c>
      <c r="T29" s="714" t="s">
        <v>17</v>
      </c>
      <c r="U29" s="715">
        <f t="shared" si="13"/>
        <v>100</v>
      </c>
      <c r="V29" s="714" t="s">
        <v>17</v>
      </c>
      <c r="W29" s="715">
        <f t="shared" si="14"/>
        <v>100</v>
      </c>
      <c r="X29" s="1509"/>
      <c r="Y29" s="3473"/>
      <c r="Z29" s="1510" t="str">
        <f t="shared" si="15"/>
        <v>有无电梯</v>
      </c>
      <c r="AA29" s="1507">
        <f t="shared" si="3"/>
        <v>1</v>
      </c>
      <c r="AB29" s="1507">
        <f t="shared" si="4"/>
        <v>1</v>
      </c>
      <c r="AC29" s="1507">
        <f t="shared" si="5"/>
        <v>1</v>
      </c>
    </row>
    <row r="30" spans="1:29" ht="15">
      <c r="A30" s="431"/>
      <c r="B30" s="381" t="s">
        <v>2498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19"/>
      <c r="M30" s="2913"/>
      <c r="N30" s="2913"/>
      <c r="O30" s="2971"/>
      <c r="P30" s="3473"/>
      <c r="Q30" s="1506" t="str">
        <f t="shared" si="11"/>
        <v>建筑面积</v>
      </c>
      <c r="R30" s="714" t="s">
        <v>17</v>
      </c>
      <c r="S30" s="715" t="e">
        <f t="shared" si="12"/>
        <v>#N/A</v>
      </c>
      <c r="T30" s="714" t="s">
        <v>17</v>
      </c>
      <c r="U30" s="715" t="e">
        <f t="shared" si="13"/>
        <v>#N/A</v>
      </c>
      <c r="V30" s="714" t="s">
        <v>17</v>
      </c>
      <c r="W30" s="715" t="e">
        <f t="shared" si="14"/>
        <v>#N/A</v>
      </c>
      <c r="X30" s="1509"/>
      <c r="Y30" s="3473"/>
      <c r="Z30" s="1510" t="str">
        <f t="shared" si="15"/>
        <v>建筑面积</v>
      </c>
      <c r="AA30" s="1507" t="e">
        <f t="shared" si="3"/>
        <v>#N/A</v>
      </c>
      <c r="AB30" s="1507" t="e">
        <f t="shared" si="4"/>
        <v>#N/A</v>
      </c>
      <c r="AC30" s="1507" t="e">
        <f t="shared" si="5"/>
        <v>#N/A</v>
      </c>
    </row>
    <row r="31" spans="1:29" s="113" customFormat="1" ht="15">
      <c r="A31" s="432"/>
      <c r="B31" s="381" t="s">
        <v>2499</v>
      </c>
      <c r="C31" s="613"/>
      <c r="D31" s="132">
        <v>100</v>
      </c>
      <c r="E31" s="613"/>
      <c r="F31" s="420">
        <f>SUMIF(89:89,E31,90:90)-SUMIF(89:89,C31,90:90)+100</f>
        <v>100</v>
      </c>
      <c r="G31" s="613"/>
      <c r="H31" s="394">
        <f>SUMIF(89:89,G31,90:90)-SUMIF(89:89,C31,90:90)+100</f>
        <v>100</v>
      </c>
      <c r="I31" s="613"/>
      <c r="J31" s="394">
        <f>SUMIF(89:89,I31,90:90)-SUMIF(89:89,C31,90:90)+100</f>
        <v>100</v>
      </c>
      <c r="K31" s="569"/>
      <c r="L31" s="2914"/>
      <c r="M31" s="2915"/>
      <c r="N31" s="2915"/>
      <c r="O31" s="2969"/>
      <c r="P31" s="3473"/>
      <c r="Q31" s="1497" t="str">
        <f t="shared" si="11"/>
        <v>是否封闭</v>
      </c>
      <c r="R31" s="710" t="s">
        <v>17</v>
      </c>
      <c r="S31" s="711">
        <f t="shared" si="12"/>
        <v>100</v>
      </c>
      <c r="T31" s="710" t="s">
        <v>17</v>
      </c>
      <c r="U31" s="711">
        <f t="shared" si="13"/>
        <v>100</v>
      </c>
      <c r="V31" s="710" t="s">
        <v>17</v>
      </c>
      <c r="W31" s="711">
        <f t="shared" si="14"/>
        <v>100</v>
      </c>
      <c r="X31" s="712"/>
      <c r="Y31" s="3473"/>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19"/>
      <c r="M32" s="2913"/>
      <c r="N32" s="2913"/>
      <c r="O32" s="2971"/>
      <c r="P32" s="3473" t="s">
        <v>2325</v>
      </c>
      <c r="Q32" s="1506">
        <f t="shared" si="11"/>
        <v>111</v>
      </c>
      <c r="R32" s="714" t="s">
        <v>17</v>
      </c>
      <c r="S32" s="715">
        <f t="shared" si="12"/>
        <v>100</v>
      </c>
      <c r="T32" s="714" t="s">
        <v>17</v>
      </c>
      <c r="U32" s="715">
        <f t="shared" si="13"/>
        <v>100</v>
      </c>
      <c r="V32" s="714" t="s">
        <v>17</v>
      </c>
      <c r="W32" s="715">
        <f t="shared" si="14"/>
        <v>100</v>
      </c>
      <c r="X32" s="1509"/>
      <c r="Y32" s="3473" t="s">
        <v>2325</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19"/>
      <c r="M33" s="2913"/>
      <c r="N33" s="2913"/>
      <c r="O33" s="2971"/>
      <c r="P33" s="3473"/>
      <c r="Q33" s="1506">
        <f t="shared" si="11"/>
        <v>111</v>
      </c>
      <c r="R33" s="714" t="s">
        <v>17</v>
      </c>
      <c r="S33" s="715">
        <f t="shared" si="12"/>
        <v>100</v>
      </c>
      <c r="T33" s="714" t="s">
        <v>17</v>
      </c>
      <c r="U33" s="715">
        <f t="shared" si="13"/>
        <v>100</v>
      </c>
      <c r="V33" s="714" t="s">
        <v>17</v>
      </c>
      <c r="W33" s="715">
        <f t="shared" si="14"/>
        <v>100</v>
      </c>
      <c r="X33" s="1509"/>
      <c r="Y33" s="3473"/>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19"/>
      <c r="M34" s="2913"/>
      <c r="N34" s="2913"/>
      <c r="O34" s="2971"/>
      <c r="P34" s="3473"/>
      <c r="Q34" s="1506">
        <f t="shared" si="11"/>
        <v>111</v>
      </c>
      <c r="R34" s="714" t="s">
        <v>17</v>
      </c>
      <c r="S34" s="715">
        <f t="shared" si="12"/>
        <v>100</v>
      </c>
      <c r="T34" s="714" t="s">
        <v>17</v>
      </c>
      <c r="U34" s="715">
        <f t="shared" si="13"/>
        <v>100</v>
      </c>
      <c r="V34" s="714" t="s">
        <v>17</v>
      </c>
      <c r="W34" s="715">
        <f t="shared" si="14"/>
        <v>100</v>
      </c>
      <c r="X34" s="1509"/>
      <c r="Y34" s="3473"/>
      <c r="Z34" s="1510">
        <f t="shared" si="15"/>
        <v>111</v>
      </c>
      <c r="AA34" s="1507">
        <f t="shared" si="3"/>
        <v>1</v>
      </c>
      <c r="AB34" s="1507">
        <f t="shared" si="4"/>
        <v>1</v>
      </c>
      <c r="AC34" s="1507">
        <f t="shared" si="5"/>
        <v>1</v>
      </c>
    </row>
    <row r="35" spans="1:30" ht="15">
      <c r="A35" s="438" t="s">
        <v>2337</v>
      </c>
      <c r="B35" s="439"/>
      <c r="C35" s="1288" t="s">
        <v>1</v>
      </c>
      <c r="D35" s="1289"/>
      <c r="E35" s="1290"/>
      <c r="F35" s="1291"/>
      <c r="G35" s="1292"/>
      <c r="H35" s="1293"/>
      <c r="I35" s="1290"/>
      <c r="J35" s="1293"/>
      <c r="K35" s="723"/>
      <c r="L35" s="2921"/>
      <c r="M35" s="2922"/>
      <c r="N35" s="2913"/>
      <c r="O35" s="2922"/>
      <c r="P35" s="3466" t="str">
        <f>A35</f>
        <v>成交单价（元/平方米）</v>
      </c>
      <c r="Q35" s="3466"/>
      <c r="R35" s="3467">
        <f>E35</f>
        <v>0</v>
      </c>
      <c r="S35" s="3467"/>
      <c r="T35" s="3467">
        <f>G35</f>
        <v>0</v>
      </c>
      <c r="U35" s="3467"/>
      <c r="V35" s="3467">
        <f>I35</f>
        <v>0</v>
      </c>
      <c r="W35" s="3467"/>
      <c r="X35" s="699"/>
      <c r="Y35" s="721"/>
      <c r="Z35" s="699"/>
      <c r="AA35" s="699"/>
      <c r="AB35" s="699"/>
      <c r="AC35" s="699"/>
    </row>
    <row r="36" spans="1:30" ht="15.75" thickBot="1">
      <c r="A36" s="445" t="s">
        <v>2429</v>
      </c>
      <c r="B36" s="446"/>
      <c r="C36" s="1294" t="e">
        <f>R37</f>
        <v>#DIV/0!</v>
      </c>
      <c r="D36" s="2508" t="s">
        <v>2820</v>
      </c>
      <c r="E36" s="1295" t="e">
        <f>R36</f>
        <v>#DIV/0!</v>
      </c>
      <c r="F36" s="2509"/>
      <c r="G36" s="1294" t="e">
        <f>T36</f>
        <v>#DIV/0!</v>
      </c>
      <c r="H36" s="2509"/>
      <c r="I36" s="1295" t="e">
        <f>V36</f>
        <v>#DIV/0!</v>
      </c>
      <c r="J36" s="2509"/>
      <c r="K36" s="2511">
        <f>F36+H36+J36</f>
        <v>0</v>
      </c>
      <c r="L36" s="2921"/>
      <c r="M36" s="2922"/>
      <c r="N36" s="2913"/>
      <c r="O36" s="2922"/>
      <c r="P36" s="3466" t="str">
        <f>A36</f>
        <v>比较价值（元/平方米）</v>
      </c>
      <c r="Q36" s="3466"/>
      <c r="R36" s="3467" t="e">
        <f>IF(F1="售价",ROUND(PRODUCT(R35,AA7:AA34),0),ROUND(PRODUCT(R35,AA7:AA34),1))</f>
        <v>#DIV/0!</v>
      </c>
      <c r="S36" s="3467"/>
      <c r="T36" s="3467" t="e">
        <f>IF(F1="售价",ROUND(PRODUCT(T35,AB7:AB34),0),ROUND(PRODUCT(T35,AB7:AB34),1))</f>
        <v>#DIV/0!</v>
      </c>
      <c r="U36" s="3467"/>
      <c r="V36" s="3467" t="e">
        <f>IF(F1="售价",ROUND(PRODUCT(V35,AC7:AC34),0),ROUND(PRODUCT(V35,AC7:AC34),1))</f>
        <v>#DIV/0!</v>
      </c>
      <c r="W36" s="3467"/>
      <c r="X36" s="699"/>
      <c r="Y36" s="699"/>
      <c r="Z36" s="699"/>
      <c r="AA36" s="699"/>
      <c r="AB36" s="699"/>
      <c r="AC36" s="699"/>
    </row>
    <row r="37" spans="1:30" ht="15.75" thickBot="1">
      <c r="A37" s="449" t="s">
        <v>2430</v>
      </c>
      <c r="B37" s="450"/>
      <c r="C37" s="1297" t="e">
        <f>R37</f>
        <v>#DIV/0!</v>
      </c>
      <c r="D37" s="1297"/>
      <c r="E37" s="1297"/>
      <c r="F37" s="1297"/>
      <c r="G37" s="1297"/>
      <c r="H37" s="1297"/>
      <c r="I37" s="1297"/>
      <c r="J37" s="1297"/>
      <c r="K37" s="724"/>
      <c r="L37" s="2921"/>
      <c r="M37" s="2922"/>
      <c r="N37" s="2922"/>
      <c r="O37" s="2922"/>
      <c r="P37" s="3463" t="str">
        <f>A37</f>
        <v>估价对象XX用房的比较价值（楼面单价，元/平方米）</v>
      </c>
      <c r="Q37" s="3464"/>
      <c r="R37" s="3493" t="e">
        <f>IF(F1="售价",ROUND(IF(D36="简单平均",AVERAGE(R36:W36),R36*F36+T36*H36+V36*J36),0),ROUND(IF(D36="简单平均",AVERAGE(R36:V36),R36*F36+T36*H36+V36*J36),1))</f>
        <v>#DIV/0!</v>
      </c>
      <c r="S37" s="3493"/>
      <c r="T37" s="3493"/>
      <c r="U37" s="3493"/>
      <c r="V37" s="3493"/>
      <c r="W37" s="3493"/>
      <c r="X37" s="699"/>
      <c r="Y37" s="699"/>
      <c r="Z37" s="699"/>
      <c r="AA37" s="699"/>
      <c r="AB37" s="699"/>
      <c r="AC37" s="699"/>
    </row>
    <row r="38" spans="1:30">
      <c r="A38" s="2922"/>
      <c r="B38" s="2922"/>
      <c r="C38" s="2922"/>
      <c r="D38" s="2922"/>
      <c r="E38" s="2922"/>
      <c r="F38" s="2922"/>
      <c r="G38" s="2926"/>
      <c r="H38" s="2922"/>
      <c r="I38" s="2922"/>
      <c r="J38" s="2922"/>
      <c r="K38" s="2927"/>
      <c r="L38" s="2923"/>
      <c r="M38" s="2922"/>
      <c r="N38" s="2922"/>
      <c r="O38" s="2922"/>
      <c r="P38" s="2922"/>
      <c r="Q38" s="2922"/>
      <c r="R38" s="2922"/>
      <c r="S38" s="2922"/>
      <c r="T38" s="2922"/>
      <c r="U38" s="2922"/>
      <c r="V38" s="2922"/>
      <c r="W38" s="2922"/>
      <c r="X38" s="2922"/>
      <c r="Y38" s="2922"/>
      <c r="Z38" s="2922"/>
      <c r="AA38" s="2922"/>
      <c r="AB38" s="2922"/>
      <c r="AC38" s="2922"/>
      <c r="AD38" s="2922"/>
    </row>
    <row r="39" spans="1:30">
      <c r="A39" s="2922"/>
      <c r="B39" s="2922"/>
      <c r="C39" s="2922"/>
      <c r="D39" s="2922"/>
      <c r="E39" s="2922"/>
      <c r="F39" s="2922"/>
      <c r="G39" s="2922"/>
      <c r="H39" s="2922"/>
      <c r="I39" s="2922"/>
      <c r="J39" s="2922"/>
      <c r="K39" s="2927"/>
      <c r="L39" s="2923"/>
      <c r="M39" s="2922"/>
      <c r="N39" s="2922"/>
      <c r="O39" s="2922"/>
      <c r="P39" s="2922"/>
      <c r="Q39" s="2922"/>
      <c r="R39" s="2922"/>
      <c r="S39" s="2922"/>
      <c r="T39" s="2922"/>
      <c r="U39" s="2922"/>
      <c r="V39" s="2922"/>
      <c r="W39" s="2922"/>
      <c r="X39" s="2922"/>
      <c r="Y39" s="2922"/>
      <c r="Z39" s="2922"/>
      <c r="AA39" s="2922"/>
      <c r="AB39" s="2922"/>
      <c r="AC39" s="2922"/>
      <c r="AD39" s="2922"/>
    </row>
    <row r="40" spans="1:30" ht="13.5" customHeight="1">
      <c r="A40" s="2922"/>
      <c r="B40" s="2922"/>
      <c r="C40" s="454" t="s">
        <v>2431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7"/>
      <c r="L40" s="2923"/>
      <c r="M40" s="2922"/>
      <c r="N40" s="2922"/>
      <c r="O40" s="2922"/>
      <c r="P40" s="2922"/>
      <c r="Q40" s="2922"/>
      <c r="R40" s="2922"/>
      <c r="S40" s="2922"/>
      <c r="T40" s="2922"/>
      <c r="U40" s="2922"/>
      <c r="V40" s="2922"/>
      <c r="W40" s="2922"/>
      <c r="X40" s="2922"/>
      <c r="Y40" s="2922"/>
      <c r="Z40" s="2922"/>
      <c r="AA40" s="2922"/>
      <c r="AB40" s="2922"/>
      <c r="AC40" s="2922"/>
      <c r="AD40" s="2922"/>
    </row>
    <row r="41" spans="1:30" ht="13.5" customHeight="1">
      <c r="A41" s="2922"/>
      <c r="B41" s="2922"/>
      <c r="C41" s="454" t="s">
        <v>2432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7"/>
      <c r="L41" s="2923"/>
      <c r="M41" s="2922"/>
      <c r="N41" s="2922"/>
      <c r="O41" s="2922"/>
      <c r="P41" s="2922"/>
      <c r="Q41" s="2922"/>
      <c r="R41" s="2922"/>
      <c r="S41" s="2922"/>
      <c r="T41" s="2922"/>
      <c r="U41" s="2922"/>
      <c r="V41" s="2922"/>
      <c r="W41" s="2922"/>
      <c r="X41" s="2922"/>
      <c r="Y41" s="2922"/>
      <c r="Z41" s="2922"/>
      <c r="AA41" s="2922"/>
      <c r="AB41" s="2922"/>
      <c r="AC41" s="2922"/>
      <c r="AD41" s="2922"/>
    </row>
    <row r="42" spans="1:30" s="459" customFormat="1" ht="13.5" customHeight="1">
      <c r="A42" s="2925"/>
      <c r="B42" s="2925"/>
      <c r="C42" s="454" t="s">
        <v>2433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0"/>
      <c r="L42" s="2924"/>
      <c r="M42" s="2925"/>
      <c r="N42" s="2925"/>
      <c r="O42" s="2925"/>
      <c r="P42" s="2925"/>
      <c r="Q42" s="2925"/>
      <c r="R42" s="2925"/>
      <c r="S42" s="2925"/>
      <c r="T42" s="2925"/>
      <c r="U42" s="2925"/>
      <c r="V42" s="2925"/>
      <c r="W42" s="2925"/>
      <c r="X42" s="2925"/>
      <c r="Y42" s="2925"/>
      <c r="Z42" s="2925"/>
      <c r="AA42" s="2925"/>
      <c r="AB42" s="2925"/>
      <c r="AC42" s="2925"/>
      <c r="AD42" s="2925"/>
    </row>
    <row r="43" spans="1:30" s="459" customFormat="1">
      <c r="A43" s="2925"/>
      <c r="B43" s="2928"/>
      <c r="C43" s="2929"/>
      <c r="D43" s="2925"/>
      <c r="E43" s="2925"/>
      <c r="F43" s="2925"/>
      <c r="G43" s="2925"/>
      <c r="H43" s="2925"/>
      <c r="I43" s="2925"/>
      <c r="J43" s="2925"/>
      <c r="K43" s="2930"/>
      <c r="L43" s="2924"/>
      <c r="M43" s="2925"/>
      <c r="N43" s="2925"/>
      <c r="O43" s="2925"/>
      <c r="P43" s="2925"/>
      <c r="Q43" s="2925"/>
      <c r="R43" s="2925"/>
      <c r="S43" s="2925"/>
      <c r="T43" s="2925"/>
      <c r="U43" s="2925"/>
      <c r="V43" s="2925"/>
      <c r="W43" s="2925"/>
      <c r="X43" s="2925"/>
      <c r="Y43" s="2925"/>
      <c r="Z43" s="2925"/>
      <c r="AA43" s="2925"/>
      <c r="AB43" s="2925"/>
      <c r="AC43" s="2925"/>
      <c r="AD43" s="2925"/>
    </row>
    <row r="44" spans="1:30">
      <c r="A44" s="2922"/>
      <c r="B44" s="2928"/>
      <c r="C44" s="2929"/>
      <c r="D44" s="2922"/>
      <c r="E44" s="2922"/>
      <c r="F44" s="2922"/>
      <c r="G44" s="2922"/>
      <c r="H44" s="2922"/>
      <c r="I44" s="2922"/>
      <c r="J44" s="2922"/>
      <c r="K44" s="2927"/>
      <c r="L44" s="2923"/>
      <c r="M44" s="2922"/>
      <c r="N44" s="2922"/>
      <c r="O44" s="2922"/>
      <c r="P44" s="2922"/>
      <c r="Q44" s="2922"/>
      <c r="R44" s="2922"/>
      <c r="S44" s="2922"/>
      <c r="T44" s="2922"/>
      <c r="U44" s="2922"/>
      <c r="V44" s="2922"/>
      <c r="W44" s="2922"/>
      <c r="X44" s="2922"/>
      <c r="Y44" s="2922"/>
      <c r="Z44" s="2922"/>
      <c r="AA44" s="2922"/>
      <c r="AB44" s="2922"/>
      <c r="AC44" s="2922"/>
      <c r="AD44" s="2922"/>
    </row>
    <row r="45" spans="1:30" ht="21.75" thickBot="1">
      <c r="A45" s="703" t="s">
        <v>2434</v>
      </c>
      <c r="B45" s="699"/>
      <c r="C45" s="704"/>
      <c r="D45" s="704"/>
      <c r="E45" s="704"/>
      <c r="F45" s="705"/>
      <c r="G45" s="705"/>
      <c r="H45" s="704"/>
      <c r="I45" s="704"/>
      <c r="J45" s="704"/>
      <c r="K45" s="706"/>
      <c r="L45" s="707"/>
      <c r="M45" s="704"/>
      <c r="N45" s="2966"/>
      <c r="O45" s="2966"/>
      <c r="P45" s="2966"/>
      <c r="Q45" s="2936"/>
      <c r="R45" s="2922"/>
      <c r="S45" s="2922"/>
      <c r="T45" s="2922"/>
      <c r="U45" s="2922"/>
      <c r="V45" s="2922"/>
      <c r="W45" s="2922"/>
      <c r="X45" s="2922"/>
      <c r="Y45" s="2922"/>
      <c r="Z45" s="2922"/>
      <c r="AA45" s="2922"/>
      <c r="AB45" s="2922"/>
      <c r="AC45" s="2922"/>
      <c r="AD45" s="2922"/>
    </row>
    <row r="46" spans="1:30" s="465" customFormat="1" ht="15">
      <c r="A46" s="462" t="s">
        <v>2308</v>
      </c>
      <c r="B46" s="463"/>
      <c r="C46" s="1318" t="str">
        <f>YEAR(C7)&amp;"-"&amp;MONTH(C7)</f>
        <v>2022-3</v>
      </c>
      <c r="D46" s="1319">
        <f>EDATE(C46,-1)</f>
        <v>44593</v>
      </c>
      <c r="E46" s="1319">
        <f t="shared" ref="E46:O46" si="16">EDATE(D46,-1)</f>
        <v>44562</v>
      </c>
      <c r="F46" s="1319">
        <f t="shared" si="16"/>
        <v>44531</v>
      </c>
      <c r="G46" s="1319">
        <f t="shared" si="16"/>
        <v>44501</v>
      </c>
      <c r="H46" s="1319">
        <f t="shared" si="16"/>
        <v>44470</v>
      </c>
      <c r="I46" s="1319">
        <f t="shared" si="16"/>
        <v>44440</v>
      </c>
      <c r="J46" s="1319">
        <f t="shared" si="16"/>
        <v>44409</v>
      </c>
      <c r="K46" s="1319">
        <f t="shared" si="16"/>
        <v>44378</v>
      </c>
      <c r="L46" s="1319">
        <f t="shared" si="16"/>
        <v>44348</v>
      </c>
      <c r="M46" s="1319">
        <f t="shared" si="16"/>
        <v>44317</v>
      </c>
      <c r="N46" s="1319">
        <f t="shared" si="16"/>
        <v>44287</v>
      </c>
      <c r="O46" s="1319">
        <f t="shared" si="16"/>
        <v>44256</v>
      </c>
      <c r="P46" s="2973"/>
      <c r="Q46" s="2938"/>
      <c r="R46" s="2938"/>
      <c r="S46" s="2938"/>
      <c r="T46" s="2938"/>
      <c r="U46" s="2938"/>
      <c r="V46" s="2938"/>
      <c r="W46" s="2938"/>
      <c r="X46" s="2938"/>
      <c r="Y46" s="2938"/>
      <c r="Z46" s="2938"/>
      <c r="AA46" s="2938"/>
      <c r="AB46" s="2938"/>
      <c r="AC46" s="2938"/>
      <c r="AD46" s="2938"/>
    </row>
    <row r="47" spans="1:30" s="113" customFormat="1" ht="15">
      <c r="A47" s="466"/>
      <c r="B47" s="467"/>
      <c r="C47" s="1317">
        <v>100</v>
      </c>
      <c r="D47" s="469"/>
      <c r="E47" s="469"/>
      <c r="F47" s="469"/>
      <c r="G47" s="469"/>
      <c r="H47" s="469"/>
      <c r="I47" s="469"/>
      <c r="J47" s="469"/>
      <c r="K47" s="469"/>
      <c r="L47" s="469"/>
      <c r="M47" s="470"/>
      <c r="N47" s="469"/>
      <c r="O47" s="471"/>
      <c r="P47" s="2936"/>
      <c r="Q47" s="2856"/>
      <c r="R47" s="2856"/>
      <c r="S47" s="2856"/>
      <c r="T47" s="2856"/>
      <c r="U47" s="2856"/>
      <c r="V47" s="2856"/>
      <c r="W47" s="2856"/>
      <c r="X47" s="2856"/>
      <c r="Y47" s="2856"/>
      <c r="Z47" s="2856"/>
      <c r="AA47" s="2856"/>
      <c r="AB47" s="2856"/>
      <c r="AC47" s="2856"/>
      <c r="AD47" s="2856"/>
    </row>
    <row r="48" spans="1:30" s="113" customFormat="1" ht="15.75" thickBot="1">
      <c r="A48" s="472" t="s">
        <v>2345</v>
      </c>
      <c r="B48" s="473"/>
      <c r="C48" s="474"/>
      <c r="D48" s="475"/>
      <c r="E48" s="475"/>
      <c r="F48" s="475"/>
      <c r="G48" s="475"/>
      <c r="H48" s="475"/>
      <c r="I48" s="475"/>
      <c r="J48" s="475"/>
      <c r="K48" s="475"/>
      <c r="L48" s="475"/>
      <c r="M48" s="476"/>
      <c r="N48" s="475"/>
      <c r="O48" s="477"/>
      <c r="P48" s="2936"/>
      <c r="Q48" s="2936"/>
      <c r="R48" s="2856"/>
      <c r="S48" s="2856"/>
      <c r="T48" s="2856"/>
      <c r="U48" s="2856"/>
      <c r="V48" s="2856"/>
      <c r="W48" s="2856"/>
      <c r="X48" s="2856"/>
      <c r="Y48" s="2856"/>
      <c r="Z48" s="2856"/>
      <c r="AA48" s="2856"/>
      <c r="AB48" s="2856"/>
      <c r="AC48" s="2856"/>
      <c r="AD48" s="2856"/>
    </row>
    <row r="49" spans="1:30" s="113" customFormat="1" ht="15">
      <c r="A49" s="478" t="s">
        <v>2310</v>
      </c>
      <c r="B49" s="467"/>
      <c r="C49" s="479" t="s">
        <v>2412</v>
      </c>
      <c r="D49" s="480"/>
      <c r="E49" s="480"/>
      <c r="F49" s="480"/>
      <c r="G49" s="480"/>
      <c r="H49" s="480"/>
      <c r="I49" s="480"/>
      <c r="J49" s="480"/>
      <c r="K49" s="480"/>
      <c r="L49" s="481"/>
      <c r="M49" s="482"/>
      <c r="N49" s="2949"/>
      <c r="O49" s="2949"/>
      <c r="P49" s="2974"/>
      <c r="Q49" s="2936"/>
      <c r="R49" s="2856"/>
      <c r="S49" s="2856"/>
      <c r="T49" s="2856"/>
      <c r="U49" s="2856"/>
      <c r="V49" s="2856"/>
      <c r="W49" s="2856"/>
      <c r="X49" s="2856"/>
      <c r="Y49" s="2856"/>
      <c r="Z49" s="2856"/>
      <c r="AA49" s="2856"/>
      <c r="AB49" s="2856"/>
      <c r="AC49" s="2856"/>
      <c r="AD49" s="2856"/>
    </row>
    <row r="50" spans="1:30" s="113" customFormat="1" ht="15.75" thickBot="1">
      <c r="A50" s="478"/>
      <c r="B50" s="467"/>
      <c r="C50" s="595">
        <v>100</v>
      </c>
      <c r="D50" s="469"/>
      <c r="E50" s="469"/>
      <c r="F50" s="469"/>
      <c r="G50" s="469"/>
      <c r="H50" s="469"/>
      <c r="I50" s="469"/>
      <c r="J50" s="469"/>
      <c r="K50" s="469"/>
      <c r="L50" s="469"/>
      <c r="M50" s="471"/>
      <c r="N50" s="2949"/>
      <c r="O50" s="2949"/>
      <c r="P50" s="2936"/>
      <c r="Q50" s="2936"/>
      <c r="R50" s="2856"/>
      <c r="S50" s="2856"/>
      <c r="T50" s="2856"/>
      <c r="U50" s="2856"/>
      <c r="V50" s="2856"/>
      <c r="W50" s="2856"/>
      <c r="X50" s="2856"/>
      <c r="Y50" s="2856"/>
      <c r="Z50" s="2856"/>
      <c r="AA50" s="2856"/>
      <c r="AB50" s="2856"/>
      <c r="AC50" s="2856"/>
      <c r="AD50" s="2856"/>
    </row>
    <row r="51" spans="1:30">
      <c r="A51" s="484" t="s">
        <v>2348</v>
      </c>
      <c r="B51" s="485" t="s">
        <v>2314</v>
      </c>
      <c r="C51" s="486">
        <f>C9</f>
        <v>0</v>
      </c>
      <c r="D51" s="487"/>
      <c r="E51" s="487"/>
      <c r="F51" s="487"/>
      <c r="G51" s="487"/>
      <c r="H51" s="487"/>
      <c r="I51" s="487"/>
      <c r="J51" s="487"/>
      <c r="K51" s="488"/>
      <c r="L51" s="489"/>
      <c r="M51" s="490"/>
      <c r="N51" s="2950"/>
      <c r="O51" s="2950"/>
      <c r="P51" s="2975"/>
      <c r="Q51" s="2936"/>
      <c r="R51" s="2922"/>
      <c r="S51" s="2922"/>
      <c r="T51" s="2922"/>
      <c r="U51" s="2922"/>
      <c r="V51" s="2922"/>
      <c r="W51" s="2922"/>
      <c r="X51" s="2922"/>
      <c r="Y51" s="2922"/>
      <c r="Z51" s="2922"/>
      <c r="AA51" s="2922"/>
      <c r="AB51" s="2922"/>
      <c r="AC51" s="2922"/>
      <c r="AD51" s="2922"/>
    </row>
    <row r="52" spans="1:30" ht="15.75" thickBot="1">
      <c r="A52" s="491"/>
      <c r="B52" s="492"/>
      <c r="C52" s="493">
        <v>100</v>
      </c>
      <c r="D52" s="493"/>
      <c r="E52" s="493"/>
      <c r="F52" s="493"/>
      <c r="G52" s="493"/>
      <c r="H52" s="493"/>
      <c r="I52" s="493"/>
      <c r="J52" s="493"/>
      <c r="K52" s="493"/>
      <c r="L52" s="493"/>
      <c r="M52" s="494"/>
      <c r="N52" s="2951"/>
      <c r="O52" s="2951"/>
      <c r="P52" s="2975"/>
      <c r="Q52" s="2936"/>
      <c r="R52" s="2922"/>
      <c r="S52" s="2922"/>
      <c r="T52" s="2922"/>
      <c r="U52" s="2922"/>
      <c r="V52" s="2922"/>
      <c r="W52" s="2922"/>
      <c r="X52" s="2922"/>
      <c r="Y52" s="2922"/>
      <c r="Z52" s="2922"/>
      <c r="AA52" s="2922"/>
      <c r="AB52" s="2922"/>
      <c r="AC52" s="2922"/>
      <c r="AD52" s="2922"/>
    </row>
    <row r="53" spans="1:30" ht="27.75" thickTop="1">
      <c r="A53" s="491"/>
      <c r="B53" s="495" t="s">
        <v>2317</v>
      </c>
      <c r="C53" s="496" t="s">
        <v>2349</v>
      </c>
      <c r="D53" s="496" t="s">
        <v>2350</v>
      </c>
      <c r="E53" s="496" t="s">
        <v>2351</v>
      </c>
      <c r="F53" s="496" t="s">
        <v>2352</v>
      </c>
      <c r="G53" s="496" t="s">
        <v>2353</v>
      </c>
      <c r="H53" s="496" t="s">
        <v>2354</v>
      </c>
      <c r="I53" s="496" t="s">
        <v>2355</v>
      </c>
      <c r="J53" s="496"/>
      <c r="K53" s="497"/>
      <c r="L53" s="498"/>
      <c r="M53" s="499"/>
      <c r="N53" s="2950"/>
      <c r="O53" s="2950"/>
      <c r="P53" s="2975"/>
      <c r="Q53" s="2936"/>
      <c r="R53" s="2922"/>
      <c r="S53" s="2922"/>
      <c r="T53" s="2922"/>
      <c r="U53" s="2922"/>
      <c r="V53" s="2922"/>
      <c r="W53" s="2922"/>
      <c r="X53" s="2922"/>
      <c r="Y53" s="2922"/>
      <c r="Z53" s="2922"/>
      <c r="AA53" s="2922"/>
      <c r="AB53" s="2922"/>
      <c r="AC53" s="2922"/>
      <c r="AD53" s="2922"/>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1"/>
      <c r="O54" s="2951"/>
      <c r="P54" s="2975"/>
      <c r="Q54" s="2936"/>
      <c r="R54" s="2922"/>
      <c r="S54" s="2922"/>
      <c r="T54" s="2922"/>
      <c r="U54" s="2922"/>
      <c r="V54" s="2922"/>
      <c r="W54" s="2922"/>
      <c r="X54" s="2922"/>
      <c r="Y54" s="2922"/>
      <c r="Z54" s="2922"/>
      <c r="AA54" s="2922"/>
      <c r="AB54" s="2922"/>
      <c r="AC54" s="2922"/>
      <c r="AD54" s="2922"/>
    </row>
    <row r="55" spans="1:30" ht="15.75" thickTop="1">
      <c r="A55" s="491"/>
      <c r="B55" s="616">
        <f>B11</f>
        <v>111</v>
      </c>
      <c r="C55" s="506"/>
      <c r="D55" s="506"/>
      <c r="E55" s="506"/>
      <c r="F55" s="506"/>
      <c r="G55" s="506"/>
      <c r="H55" s="506"/>
      <c r="I55" s="506"/>
      <c r="J55" s="506"/>
      <c r="K55" s="507"/>
      <c r="L55" s="508"/>
      <c r="M55" s="509"/>
      <c r="N55" s="2950"/>
      <c r="O55" s="2950"/>
      <c r="P55" s="2975"/>
      <c r="Q55" s="2936"/>
      <c r="R55" s="2922"/>
      <c r="S55" s="2922"/>
      <c r="T55" s="2922"/>
      <c r="U55" s="2922"/>
      <c r="V55" s="2922"/>
      <c r="W55" s="2922"/>
      <c r="X55" s="2922"/>
      <c r="Y55" s="2922"/>
      <c r="Z55" s="2922"/>
      <c r="AA55" s="2922"/>
      <c r="AB55" s="2922"/>
      <c r="AC55" s="2922"/>
      <c r="AD55" s="2922"/>
    </row>
    <row r="56" spans="1:30" ht="15.75" thickBot="1">
      <c r="A56" s="491"/>
      <c r="B56" s="492"/>
      <c r="C56" s="517"/>
      <c r="D56" s="493"/>
      <c r="E56" s="493"/>
      <c r="F56" s="493"/>
      <c r="G56" s="493"/>
      <c r="H56" s="493"/>
      <c r="I56" s="493"/>
      <c r="J56" s="493"/>
      <c r="K56" s="493"/>
      <c r="L56" s="493"/>
      <c r="M56" s="494"/>
      <c r="N56" s="2951"/>
      <c r="O56" s="2951"/>
      <c r="P56" s="2975"/>
      <c r="Q56" s="2936"/>
      <c r="R56" s="2922"/>
      <c r="S56" s="2922"/>
      <c r="T56" s="2922"/>
      <c r="U56" s="2922"/>
      <c r="V56" s="2922"/>
      <c r="W56" s="2922"/>
      <c r="X56" s="2922"/>
      <c r="Y56" s="2922"/>
      <c r="Z56" s="2922"/>
      <c r="AA56" s="2922"/>
      <c r="AB56" s="2922"/>
      <c r="AC56" s="2922"/>
      <c r="AD56" s="2922"/>
    </row>
    <row r="57" spans="1:30" s="430" customFormat="1" ht="15.75" thickTop="1">
      <c r="A57" s="510"/>
      <c r="B57" s="495">
        <f>B12</f>
        <v>111</v>
      </c>
      <c r="C57" s="506"/>
      <c r="D57" s="506"/>
      <c r="E57" s="506"/>
      <c r="F57" s="506"/>
      <c r="G57" s="511"/>
      <c r="H57" s="512"/>
      <c r="I57" s="512"/>
      <c r="J57" s="512"/>
      <c r="K57" s="512"/>
      <c r="L57" s="513"/>
      <c r="M57" s="514"/>
      <c r="N57" s="2952"/>
      <c r="O57" s="2952"/>
      <c r="P57" s="2976"/>
      <c r="Q57" s="2943"/>
      <c r="R57" s="2944"/>
      <c r="S57" s="2944"/>
      <c r="T57" s="2944"/>
      <c r="U57" s="2944"/>
      <c r="V57" s="2944"/>
      <c r="W57" s="2944"/>
      <c r="X57" s="2944"/>
      <c r="Y57" s="2944"/>
      <c r="Z57" s="2944"/>
      <c r="AA57" s="2944"/>
      <c r="AB57" s="2944"/>
      <c r="AC57" s="2944"/>
      <c r="AD57" s="2944"/>
    </row>
    <row r="58" spans="1:30" s="430" customFormat="1" ht="15.75" thickBot="1">
      <c r="A58" s="510"/>
      <c r="B58" s="500"/>
      <c r="C58" s="517"/>
      <c r="D58" s="493"/>
      <c r="E58" s="493"/>
      <c r="F58" s="493"/>
      <c r="G58" s="493"/>
      <c r="H58" s="493"/>
      <c r="I58" s="493"/>
      <c r="J58" s="493"/>
      <c r="K58" s="493"/>
      <c r="L58" s="493"/>
      <c r="M58" s="494"/>
      <c r="N58" s="2951"/>
      <c r="O58" s="2951"/>
      <c r="P58" s="2976"/>
      <c r="Q58" s="2943"/>
      <c r="R58" s="2944"/>
      <c r="S58" s="2944"/>
      <c r="T58" s="2944"/>
      <c r="U58" s="2944"/>
      <c r="V58" s="2944"/>
      <c r="W58" s="2944"/>
      <c r="X58" s="2944"/>
      <c r="Y58" s="2944"/>
      <c r="Z58" s="2944"/>
      <c r="AA58" s="2944"/>
      <c r="AB58" s="2944"/>
      <c r="AC58" s="2944"/>
      <c r="AD58" s="2944"/>
    </row>
    <row r="59" spans="1:30" s="430" customFormat="1" ht="15.75" thickTop="1">
      <c r="A59" s="510"/>
      <c r="B59" s="495">
        <f>B13</f>
        <v>111</v>
      </c>
      <c r="C59" s="506"/>
      <c r="D59" s="506"/>
      <c r="E59" s="506"/>
      <c r="F59" s="506"/>
      <c r="G59" s="511"/>
      <c r="H59" s="512"/>
      <c r="I59" s="512"/>
      <c r="J59" s="512"/>
      <c r="K59" s="512"/>
      <c r="L59" s="513"/>
      <c r="M59" s="514"/>
      <c r="N59" s="2952"/>
      <c r="O59" s="2952"/>
      <c r="P59" s="2920"/>
      <c r="Q59" s="2946"/>
      <c r="R59" s="2944"/>
      <c r="S59" s="2944"/>
      <c r="T59" s="2944"/>
      <c r="U59" s="2944"/>
      <c r="V59" s="2944"/>
      <c r="W59" s="2944"/>
      <c r="X59" s="2944"/>
      <c r="Y59" s="2944"/>
      <c r="Z59" s="2944"/>
      <c r="AA59" s="2944"/>
      <c r="AB59" s="2944"/>
      <c r="AC59" s="2944"/>
      <c r="AD59" s="2944"/>
    </row>
    <row r="60" spans="1:30" s="430" customFormat="1" ht="15.75" thickBot="1">
      <c r="A60" s="510"/>
      <c r="B60" s="500"/>
      <c r="C60" s="517"/>
      <c r="D60" s="517"/>
      <c r="E60" s="517"/>
      <c r="F60" s="517"/>
      <c r="G60" s="517"/>
      <c r="H60" s="519"/>
      <c r="I60" s="519"/>
      <c r="J60" s="519"/>
      <c r="K60" s="519"/>
      <c r="L60" s="519"/>
      <c r="M60" s="520"/>
      <c r="N60" s="2952"/>
      <c r="O60" s="2952"/>
      <c r="P60" s="2976"/>
      <c r="Q60" s="2943"/>
      <c r="R60" s="2944"/>
      <c r="S60" s="2944"/>
      <c r="T60" s="2944"/>
      <c r="U60" s="2944"/>
      <c r="V60" s="2944"/>
      <c r="W60" s="2944"/>
      <c r="X60" s="2944"/>
      <c r="Y60" s="2944"/>
      <c r="Z60" s="2944"/>
      <c r="AA60" s="2944"/>
      <c r="AB60" s="2944"/>
      <c r="AC60" s="2944"/>
      <c r="AD60" s="2944"/>
    </row>
    <row r="61" spans="1:30" ht="15" thickTop="1">
      <c r="A61" s="484" t="s">
        <v>2319</v>
      </c>
      <c r="B61" s="485" t="s">
        <v>2362</v>
      </c>
      <c r="C61" s="530" t="s">
        <v>2357</v>
      </c>
      <c r="D61" s="530" t="s">
        <v>2358</v>
      </c>
      <c r="E61" s="530" t="s">
        <v>2359</v>
      </c>
      <c r="F61" s="530" t="s">
        <v>2360</v>
      </c>
      <c r="G61" s="530" t="s">
        <v>2361</v>
      </c>
      <c r="H61" s="486"/>
      <c r="I61" s="486"/>
      <c r="J61" s="486"/>
      <c r="K61" s="531"/>
      <c r="L61" s="532"/>
      <c r="M61" s="533"/>
      <c r="N61" s="2950"/>
      <c r="O61" s="2950"/>
      <c r="P61" s="2977"/>
      <c r="Q61" s="2936"/>
      <c r="R61" s="2922"/>
      <c r="S61" s="2922"/>
      <c r="T61" s="2922"/>
      <c r="U61" s="2922"/>
      <c r="V61" s="2922"/>
      <c r="W61" s="2922"/>
      <c r="X61" s="2922"/>
      <c r="Y61" s="2922"/>
      <c r="Z61" s="2922"/>
      <c r="AA61" s="2922"/>
      <c r="AB61" s="2922"/>
      <c r="AC61" s="2922"/>
      <c r="AD61" s="2922"/>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1"/>
      <c r="O62" s="2951"/>
      <c r="P62" s="2975"/>
      <c r="Q62" s="2936"/>
      <c r="R62" s="2922"/>
      <c r="S62" s="2922"/>
      <c r="T62" s="2922"/>
      <c r="U62" s="2922"/>
      <c r="V62" s="2922"/>
      <c r="W62" s="2922"/>
      <c r="X62" s="2922"/>
      <c r="Y62" s="2922"/>
      <c r="Z62" s="2922"/>
      <c r="AA62" s="2922"/>
      <c r="AB62" s="2922"/>
      <c r="AC62" s="2922"/>
      <c r="AD62" s="2922"/>
    </row>
    <row r="63" spans="1:30" ht="27.75" thickTop="1">
      <c r="A63" s="491"/>
      <c r="B63" s="495" t="s">
        <v>2500</v>
      </c>
      <c r="C63" s="535" t="s">
        <v>2357</v>
      </c>
      <c r="D63" s="535" t="s">
        <v>2358</v>
      </c>
      <c r="E63" s="535" t="s">
        <v>2359</v>
      </c>
      <c r="F63" s="535" t="s">
        <v>2360</v>
      </c>
      <c r="G63" s="535" t="s">
        <v>2361</v>
      </c>
      <c r="H63" s="496"/>
      <c r="I63" s="496"/>
      <c r="J63" s="496"/>
      <c r="K63" s="497"/>
      <c r="L63" s="498"/>
      <c r="M63" s="499"/>
      <c r="N63" s="2950"/>
      <c r="O63" s="2950"/>
      <c r="P63" s="2975"/>
      <c r="Q63" s="2936"/>
      <c r="R63" s="2922"/>
      <c r="S63" s="2922"/>
      <c r="T63" s="2922"/>
      <c r="U63" s="2922"/>
      <c r="V63" s="2922"/>
      <c r="W63" s="2922"/>
      <c r="X63" s="2922"/>
      <c r="Y63" s="2922"/>
      <c r="Z63" s="2922"/>
      <c r="AA63" s="2922"/>
      <c r="AB63" s="2922"/>
      <c r="AC63" s="2922"/>
      <c r="AD63" s="2922"/>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1"/>
      <c r="O64" s="2951"/>
      <c r="P64" s="2975"/>
      <c r="Q64" s="2936"/>
      <c r="R64" s="2922"/>
      <c r="S64" s="2922"/>
      <c r="T64" s="2922"/>
      <c r="U64" s="2922"/>
      <c r="V64" s="2922"/>
      <c r="W64" s="2922"/>
      <c r="X64" s="2922"/>
      <c r="Y64" s="2922"/>
      <c r="Z64" s="2922"/>
      <c r="AA64" s="2922"/>
      <c r="AB64" s="2922"/>
      <c r="AC64" s="2922"/>
      <c r="AD64" s="2922"/>
    </row>
    <row r="65" spans="1:30" ht="15.75" thickTop="1">
      <c r="A65" s="491"/>
      <c r="B65" s="503" t="s">
        <v>2449</v>
      </c>
      <c r="C65" s="616" t="s">
        <v>2435</v>
      </c>
      <c r="D65" s="616" t="s">
        <v>2436</v>
      </c>
      <c r="E65" s="616" t="s">
        <v>2437</v>
      </c>
      <c r="F65" s="616" t="s">
        <v>2438</v>
      </c>
      <c r="G65" s="616" t="s">
        <v>2439</v>
      </c>
      <c r="H65" s="496"/>
      <c r="I65" s="496"/>
      <c r="J65" s="496"/>
      <c r="K65" s="496"/>
      <c r="L65" s="496"/>
      <c r="M65" s="1263"/>
      <c r="N65" s="2951"/>
      <c r="O65" s="2951"/>
      <c r="P65" s="2975"/>
      <c r="Q65" s="2936"/>
      <c r="R65" s="2922"/>
      <c r="S65" s="2922"/>
      <c r="T65" s="2922"/>
      <c r="U65" s="2922"/>
      <c r="V65" s="2922"/>
      <c r="W65" s="2922"/>
      <c r="X65" s="2922"/>
      <c r="Y65" s="2922"/>
      <c r="Z65" s="2922"/>
      <c r="AA65" s="2922"/>
      <c r="AB65" s="2922"/>
      <c r="AC65" s="2922"/>
      <c r="AD65" s="2922"/>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1"/>
      <c r="O66" s="2951"/>
      <c r="P66" s="2975"/>
      <c r="Q66" s="2936"/>
      <c r="R66" s="2922"/>
      <c r="S66" s="2922"/>
      <c r="T66" s="2922"/>
      <c r="U66" s="2922"/>
      <c r="V66" s="2922"/>
      <c r="W66" s="2922"/>
      <c r="X66" s="2922"/>
      <c r="Y66" s="2922"/>
      <c r="Z66" s="2922"/>
      <c r="AA66" s="2922"/>
      <c r="AB66" s="2922"/>
      <c r="AC66" s="2922"/>
      <c r="AD66" s="2922"/>
    </row>
    <row r="67" spans="1:30" ht="15.75" thickTop="1">
      <c r="A67" s="491"/>
      <c r="B67" s="495" t="s">
        <v>2369</v>
      </c>
      <c r="C67" s="535" t="s">
        <v>2357</v>
      </c>
      <c r="D67" s="535" t="s">
        <v>2358</v>
      </c>
      <c r="E67" s="535" t="s">
        <v>2359</v>
      </c>
      <c r="F67" s="535" t="s">
        <v>2360</v>
      </c>
      <c r="G67" s="535" t="s">
        <v>2361</v>
      </c>
      <c r="H67" s="496"/>
      <c r="I67" s="496"/>
      <c r="J67" s="496"/>
      <c r="K67" s="497"/>
      <c r="L67" s="498"/>
      <c r="M67" s="499"/>
      <c r="N67" s="2950"/>
      <c r="O67" s="2950"/>
      <c r="P67" s="2975"/>
      <c r="Q67" s="2936"/>
      <c r="R67" s="2922"/>
      <c r="S67" s="2922"/>
      <c r="T67" s="2922"/>
      <c r="U67" s="2922"/>
      <c r="V67" s="2922"/>
      <c r="W67" s="2922"/>
      <c r="X67" s="2922"/>
      <c r="Y67" s="2922"/>
      <c r="Z67" s="2922"/>
      <c r="AA67" s="2922"/>
      <c r="AB67" s="2922"/>
      <c r="AC67" s="2922"/>
      <c r="AD67" s="2922"/>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1"/>
      <c r="O68" s="2951"/>
      <c r="P68" s="2975"/>
      <c r="Q68" s="2936"/>
      <c r="R68" s="2922"/>
      <c r="S68" s="2922"/>
      <c r="T68" s="2922"/>
      <c r="U68" s="2922"/>
      <c r="V68" s="2922"/>
      <c r="W68" s="2922"/>
      <c r="X68" s="2922"/>
      <c r="Y68" s="2922"/>
      <c r="Z68" s="2922"/>
      <c r="AA68" s="2922"/>
      <c r="AB68" s="2922"/>
      <c r="AC68" s="2922"/>
      <c r="AD68" s="2922"/>
    </row>
    <row r="69" spans="1:30" ht="15.75" thickTop="1">
      <c r="A69" s="491"/>
      <c r="B69" s="495" t="s">
        <v>2489</v>
      </c>
      <c r="C69" s="511"/>
      <c r="D69" s="511"/>
      <c r="E69" s="511"/>
      <c r="F69" s="511"/>
      <c r="G69" s="511"/>
      <c r="H69" s="540"/>
      <c r="I69" s="540"/>
      <c r="J69" s="540"/>
      <c r="K69" s="541"/>
      <c r="L69" s="542"/>
      <c r="M69" s="543"/>
      <c r="N69" s="2950"/>
      <c r="O69" s="2950"/>
      <c r="P69" s="2975"/>
      <c r="Q69" s="2936"/>
      <c r="R69" s="2922"/>
      <c r="S69" s="2922"/>
      <c r="T69" s="2922"/>
      <c r="U69" s="2922"/>
      <c r="V69" s="2922"/>
      <c r="W69" s="2922"/>
      <c r="X69" s="2922"/>
      <c r="Y69" s="2922"/>
      <c r="Z69" s="2922"/>
      <c r="AA69" s="2922"/>
      <c r="AB69" s="2922"/>
      <c r="AC69" s="2922"/>
      <c r="AD69" s="2922"/>
    </row>
    <row r="70" spans="1:30" ht="15.75" thickBot="1">
      <c r="A70" s="491"/>
      <c r="B70" s="500"/>
      <c r="C70" s="501">
        <v>100</v>
      </c>
      <c r="D70" s="501">
        <f>C70-$K22</f>
        <v>100</v>
      </c>
      <c r="E70" s="501"/>
      <c r="F70" s="501"/>
      <c r="G70" s="501"/>
      <c r="H70" s="501"/>
      <c r="I70" s="501"/>
      <c r="J70" s="501"/>
      <c r="K70" s="501"/>
      <c r="L70" s="501"/>
      <c r="M70" s="502"/>
      <c r="N70" s="2951"/>
      <c r="O70" s="2951"/>
      <c r="P70" s="2975"/>
      <c r="Q70" s="2936"/>
      <c r="R70" s="2922"/>
      <c r="S70" s="2922"/>
      <c r="T70" s="2922"/>
      <c r="U70" s="2922"/>
      <c r="V70" s="2922"/>
      <c r="W70" s="2922"/>
      <c r="X70" s="2922"/>
      <c r="Y70" s="2922"/>
      <c r="Z70" s="2922"/>
      <c r="AA70" s="2922"/>
      <c r="AB70" s="2922"/>
      <c r="AC70" s="2922"/>
      <c r="AD70" s="2922"/>
    </row>
    <row r="71" spans="1:30" s="113" customFormat="1" ht="15.75" thickTop="1">
      <c r="A71" s="536"/>
      <c r="B71" s="495">
        <f>B23</f>
        <v>111</v>
      </c>
      <c r="C71" s="506"/>
      <c r="D71" s="506"/>
      <c r="E71" s="506"/>
      <c r="F71" s="506"/>
      <c r="G71" s="511"/>
      <c r="H71" s="511"/>
      <c r="I71" s="511"/>
      <c r="J71" s="511"/>
      <c r="K71" s="511"/>
      <c r="L71" s="537"/>
      <c r="M71" s="538"/>
      <c r="N71" s="2949"/>
      <c r="O71" s="2949"/>
      <c r="P71" s="2975"/>
      <c r="Q71" s="2936"/>
      <c r="R71" s="2856"/>
      <c r="S71" s="2856"/>
      <c r="T71" s="2856"/>
      <c r="U71" s="2856"/>
      <c r="V71" s="2856"/>
      <c r="W71" s="2856"/>
      <c r="X71" s="2856"/>
      <c r="Y71" s="2856"/>
      <c r="Z71" s="2856"/>
      <c r="AA71" s="2856"/>
      <c r="AB71" s="2856"/>
      <c r="AC71" s="2856"/>
      <c r="AD71" s="2856"/>
    </row>
    <row r="72" spans="1:30" s="113" customFormat="1" ht="15.75" thickBot="1">
      <c r="A72" s="536"/>
      <c r="B72" s="500"/>
      <c r="C72" s="517"/>
      <c r="D72" s="493"/>
      <c r="E72" s="493"/>
      <c r="F72" s="493"/>
      <c r="G72" s="493"/>
      <c r="H72" s="493"/>
      <c r="I72" s="493"/>
      <c r="J72" s="493"/>
      <c r="K72" s="493"/>
      <c r="L72" s="493"/>
      <c r="M72" s="494"/>
      <c r="N72" s="2951"/>
      <c r="O72" s="2951"/>
      <c r="P72" s="2975"/>
      <c r="Q72" s="2936"/>
      <c r="R72" s="2856"/>
      <c r="S72" s="2856"/>
      <c r="T72" s="2856"/>
      <c r="U72" s="2856"/>
      <c r="V72" s="2856"/>
      <c r="W72" s="2856"/>
      <c r="X72" s="2856"/>
      <c r="Y72" s="2856"/>
      <c r="Z72" s="2856"/>
      <c r="AA72" s="2856"/>
      <c r="AB72" s="2856"/>
      <c r="AC72" s="2856"/>
      <c r="AD72" s="2856"/>
    </row>
    <row r="73" spans="1:30" s="113" customFormat="1" ht="15.75" thickTop="1">
      <c r="A73" s="536"/>
      <c r="B73" s="495">
        <f>B24</f>
        <v>111</v>
      </c>
      <c r="C73" s="506"/>
      <c r="D73" s="506"/>
      <c r="E73" s="506"/>
      <c r="F73" s="506"/>
      <c r="G73" s="511"/>
      <c r="H73" s="511"/>
      <c r="I73" s="511"/>
      <c r="J73" s="511"/>
      <c r="K73" s="511"/>
      <c r="L73" s="511"/>
      <c r="M73" s="538"/>
      <c r="N73" s="2949"/>
      <c r="O73" s="2949"/>
      <c r="P73" s="2975"/>
      <c r="Q73" s="2936"/>
      <c r="R73" s="2856"/>
      <c r="S73" s="2856"/>
      <c r="T73" s="2856"/>
      <c r="U73" s="2856"/>
      <c r="V73" s="2856"/>
      <c r="W73" s="2856"/>
      <c r="X73" s="2856"/>
      <c r="Y73" s="2856"/>
      <c r="Z73" s="2856"/>
      <c r="AA73" s="2856"/>
      <c r="AB73" s="2856"/>
      <c r="AC73" s="2856"/>
      <c r="AD73" s="2856"/>
    </row>
    <row r="74" spans="1:30" s="113" customFormat="1" ht="15.75" thickBot="1">
      <c r="A74" s="536"/>
      <c r="B74" s="500"/>
      <c r="C74" s="517"/>
      <c r="D74" s="493"/>
      <c r="E74" s="493"/>
      <c r="F74" s="493"/>
      <c r="G74" s="493"/>
      <c r="H74" s="493"/>
      <c r="I74" s="493"/>
      <c r="J74" s="493"/>
      <c r="K74" s="493"/>
      <c r="L74" s="493"/>
      <c r="M74" s="494"/>
      <c r="N74" s="2951"/>
      <c r="O74" s="2951"/>
      <c r="P74" s="2975"/>
      <c r="Q74" s="2936"/>
      <c r="R74" s="2856"/>
      <c r="S74" s="2856"/>
      <c r="T74" s="2856"/>
      <c r="U74" s="2856"/>
      <c r="V74" s="2856"/>
      <c r="W74" s="2856"/>
      <c r="X74" s="2856"/>
      <c r="Y74" s="2856"/>
      <c r="Z74" s="2856"/>
      <c r="AA74" s="2856"/>
      <c r="AB74" s="2856"/>
      <c r="AC74" s="2856"/>
      <c r="AD74" s="2856"/>
    </row>
    <row r="75" spans="1:30" s="430" customFormat="1" ht="15.75" thickTop="1">
      <c r="A75" s="510"/>
      <c r="B75" s="495">
        <f>B25</f>
        <v>111</v>
      </c>
      <c r="C75" s="506"/>
      <c r="D75" s="506"/>
      <c r="E75" s="506"/>
      <c r="F75" s="506"/>
      <c r="G75" s="511"/>
      <c r="H75" s="512"/>
      <c r="I75" s="512"/>
      <c r="J75" s="512"/>
      <c r="K75" s="512"/>
      <c r="L75" s="513"/>
      <c r="M75" s="514"/>
      <c r="N75" s="2952"/>
      <c r="O75" s="2952"/>
      <c r="P75" s="2976"/>
      <c r="Q75" s="2943"/>
      <c r="R75" s="2944"/>
      <c r="S75" s="2944"/>
      <c r="T75" s="2944"/>
      <c r="U75" s="2944"/>
      <c r="V75" s="2944"/>
      <c r="W75" s="2944"/>
      <c r="X75" s="2944"/>
      <c r="Y75" s="2944"/>
      <c r="Z75" s="2944"/>
      <c r="AA75" s="2944"/>
      <c r="AB75" s="2944"/>
      <c r="AC75" s="2944"/>
      <c r="AD75" s="2944"/>
    </row>
    <row r="76" spans="1:30" s="430" customFormat="1" ht="15.75" thickBot="1">
      <c r="A76" s="510"/>
      <c r="B76" s="500"/>
      <c r="C76" s="517"/>
      <c r="D76" s="517"/>
      <c r="E76" s="517"/>
      <c r="F76" s="517"/>
      <c r="G76" s="493"/>
      <c r="H76" s="493"/>
      <c r="I76" s="493"/>
      <c r="J76" s="493"/>
      <c r="K76" s="493"/>
      <c r="L76" s="493"/>
      <c r="M76" s="494"/>
      <c r="N76" s="2952"/>
      <c r="O76" s="2952"/>
      <c r="P76" s="2976"/>
      <c r="Q76" s="2943"/>
      <c r="R76" s="2944"/>
      <c r="S76" s="2944"/>
      <c r="T76" s="2944"/>
      <c r="U76" s="2944"/>
      <c r="V76" s="2944"/>
      <c r="W76" s="2944"/>
      <c r="X76" s="2944"/>
      <c r="Y76" s="2944"/>
      <c r="Z76" s="2944"/>
      <c r="AA76" s="2944"/>
      <c r="AB76" s="2944"/>
      <c r="AC76" s="2944"/>
      <c r="AD76" s="2944"/>
    </row>
    <row r="77" spans="1:30" ht="15" thickTop="1">
      <c r="A77" s="484" t="s">
        <v>2323</v>
      </c>
      <c r="B77" s="485" t="s">
        <v>2376</v>
      </c>
      <c r="C77" s="511"/>
      <c r="D77" s="511"/>
      <c r="E77" s="487"/>
      <c r="F77" s="487"/>
      <c r="G77" s="487"/>
      <c r="H77" s="487"/>
      <c r="I77" s="487"/>
      <c r="J77" s="487"/>
      <c r="K77" s="488"/>
      <c r="L77" s="489"/>
      <c r="M77" s="490"/>
      <c r="N77" s="2950"/>
      <c r="O77" s="2950"/>
      <c r="P77" s="2975"/>
      <c r="Q77" s="2936"/>
      <c r="R77" s="2922"/>
      <c r="S77" s="2922"/>
      <c r="T77" s="2922"/>
      <c r="U77" s="2922"/>
      <c r="V77" s="2922"/>
      <c r="W77" s="2922"/>
      <c r="X77" s="2922"/>
      <c r="Y77" s="2922"/>
      <c r="Z77" s="2922"/>
      <c r="AA77" s="2922"/>
      <c r="AB77" s="2922"/>
      <c r="AC77" s="2922"/>
      <c r="AD77" s="2922"/>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1"/>
      <c r="O78" s="2951"/>
      <c r="P78" s="2975"/>
      <c r="Q78" s="2936"/>
      <c r="R78" s="2922"/>
      <c r="S78" s="2922"/>
      <c r="T78" s="2922"/>
      <c r="U78" s="2922"/>
      <c r="V78" s="2922"/>
      <c r="W78" s="2922"/>
      <c r="X78" s="2922"/>
      <c r="Y78" s="2922"/>
      <c r="Z78" s="2922"/>
      <c r="AA78" s="2922"/>
      <c r="AB78" s="2922"/>
      <c r="AC78" s="2922"/>
      <c r="AD78" s="2922"/>
    </row>
    <row r="79" spans="1:30" ht="15.75" thickTop="1">
      <c r="A79" s="491"/>
      <c r="B79" s="495" t="s">
        <v>2492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49"/>
      <c r="O79" s="2949"/>
      <c r="P79" s="2975"/>
      <c r="Q79" s="2936"/>
      <c r="R79" s="2922"/>
      <c r="S79" s="2922"/>
      <c r="T79" s="2922"/>
      <c r="U79" s="2922"/>
      <c r="V79" s="2922"/>
      <c r="W79" s="2922"/>
      <c r="X79" s="2922"/>
      <c r="Y79" s="2922"/>
      <c r="Z79" s="2922"/>
      <c r="AA79" s="2922"/>
      <c r="AB79" s="2922"/>
      <c r="AC79" s="2922"/>
      <c r="AD79" s="2922"/>
    </row>
    <row r="80" spans="1:30" ht="15">
      <c r="A80" s="491"/>
      <c r="B80" s="503"/>
      <c r="C80" s="560">
        <v>0.5</v>
      </c>
      <c r="D80" s="560">
        <v>0.6</v>
      </c>
      <c r="E80" s="560">
        <v>0.7</v>
      </c>
      <c r="F80" s="560">
        <v>0.8</v>
      </c>
      <c r="G80" s="560">
        <v>0.9</v>
      </c>
      <c r="H80" s="560">
        <v>1.0001</v>
      </c>
      <c r="I80" s="616"/>
      <c r="J80" s="616"/>
      <c r="K80" s="624"/>
      <c r="L80" s="625"/>
      <c r="M80" s="626"/>
      <c r="N80" s="2949"/>
      <c r="O80" s="2949"/>
      <c r="P80" s="2975"/>
      <c r="Q80" s="2936"/>
      <c r="R80" s="2922"/>
      <c r="S80" s="2922"/>
      <c r="T80" s="2922"/>
      <c r="U80" s="2922"/>
      <c r="V80" s="2922"/>
      <c r="W80" s="2922"/>
      <c r="X80" s="2922"/>
      <c r="Y80" s="2922"/>
      <c r="Z80" s="2922"/>
      <c r="AA80" s="2922"/>
      <c r="AB80" s="2922"/>
      <c r="AC80" s="2922"/>
      <c r="AD80" s="2922"/>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1"/>
      <c r="O81" s="2951"/>
      <c r="P81" s="2976"/>
      <c r="Q81" s="2943"/>
      <c r="R81" s="2944"/>
      <c r="S81" s="2944"/>
      <c r="T81" s="2944"/>
      <c r="U81" s="2944"/>
      <c r="V81" s="2944"/>
      <c r="W81" s="2944"/>
      <c r="X81" s="2944"/>
      <c r="Y81" s="2944"/>
      <c r="Z81" s="2944"/>
      <c r="AA81" s="2944"/>
      <c r="AB81" s="2944"/>
      <c r="AC81" s="2944"/>
      <c r="AD81" s="2944"/>
    </row>
    <row r="82" spans="1:30" ht="15" thickTop="1">
      <c r="A82" s="556"/>
      <c r="B82" s="503" t="s">
        <v>2493</v>
      </c>
      <c r="C82" s="511"/>
      <c r="D82" s="511"/>
      <c r="E82" s="540"/>
      <c r="F82" s="540"/>
      <c r="G82" s="540"/>
      <c r="H82" s="540"/>
      <c r="I82" s="540"/>
      <c r="J82" s="540"/>
      <c r="K82" s="541"/>
      <c r="L82" s="542"/>
      <c r="M82" s="543"/>
      <c r="N82" s="2950"/>
      <c r="O82" s="2950"/>
      <c r="P82" s="2975"/>
      <c r="Q82" s="2936"/>
      <c r="R82" s="2922"/>
      <c r="S82" s="2922"/>
      <c r="T82" s="2922"/>
      <c r="U82" s="2922"/>
      <c r="V82" s="2922"/>
      <c r="W82" s="2922"/>
      <c r="X82" s="2922"/>
      <c r="Y82" s="2922"/>
      <c r="Z82" s="2922"/>
      <c r="AA82" s="2922"/>
      <c r="AB82" s="2922"/>
      <c r="AC82" s="2922"/>
      <c r="AD82" s="2922"/>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1"/>
      <c r="O83" s="2951"/>
      <c r="P83" s="2975"/>
      <c r="Q83" s="2936"/>
      <c r="R83" s="2922"/>
      <c r="S83" s="2922"/>
      <c r="T83" s="2922"/>
      <c r="U83" s="2922"/>
      <c r="V83" s="2922"/>
      <c r="W83" s="2922"/>
      <c r="X83" s="2922"/>
      <c r="Y83" s="2922"/>
      <c r="Z83" s="2922"/>
      <c r="AA83" s="2922"/>
      <c r="AB83" s="2922"/>
      <c r="AC83" s="2922"/>
      <c r="AD83" s="2922"/>
    </row>
    <row r="84" spans="1:30" ht="15" thickTop="1">
      <c r="A84" s="556"/>
      <c r="B84" s="495" t="s">
        <v>2501</v>
      </c>
      <c r="C84" s="511"/>
      <c r="D84" s="511"/>
      <c r="E84" s="511"/>
      <c r="F84" s="511"/>
      <c r="G84" s="511"/>
      <c r="H84" s="511"/>
      <c r="I84" s="540"/>
      <c r="J84" s="540"/>
      <c r="K84" s="541"/>
      <c r="L84" s="542"/>
      <c r="M84" s="543"/>
      <c r="N84" s="2950"/>
      <c r="O84" s="2950"/>
      <c r="P84" s="2975"/>
      <c r="Q84" s="2936"/>
      <c r="R84" s="2922"/>
      <c r="S84" s="2922"/>
      <c r="T84" s="2922"/>
      <c r="U84" s="2922"/>
      <c r="V84" s="2922"/>
      <c r="W84" s="2922"/>
      <c r="X84" s="2922"/>
      <c r="Y84" s="2922"/>
      <c r="Z84" s="2922"/>
      <c r="AA84" s="2922"/>
      <c r="AB84" s="2922"/>
      <c r="AC84" s="2922"/>
      <c r="AD84" s="2922"/>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1"/>
      <c r="O85" s="2951"/>
      <c r="P85" s="2975"/>
      <c r="Q85" s="2936"/>
      <c r="R85" s="2922"/>
      <c r="S85" s="2922"/>
      <c r="T85" s="2922"/>
      <c r="U85" s="2922"/>
      <c r="V85" s="2922"/>
      <c r="W85" s="2922"/>
      <c r="X85" s="2922"/>
      <c r="Y85" s="2922"/>
      <c r="Z85" s="2922"/>
      <c r="AA85" s="2922"/>
      <c r="AB85" s="2922"/>
      <c r="AC85" s="2922"/>
      <c r="AD85" s="2922"/>
    </row>
    <row r="86" spans="1:30" ht="15" thickTop="1">
      <c r="A86" s="556"/>
      <c r="B86" s="503" t="s">
        <v>2502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0"/>
      <c r="O86" s="2950"/>
      <c r="P86" s="2975"/>
      <c r="Q86" s="2936"/>
      <c r="R86" s="2922"/>
      <c r="S86" s="2922"/>
      <c r="T86" s="2922"/>
      <c r="U86" s="2922"/>
      <c r="V86" s="2922"/>
      <c r="W86" s="2922"/>
      <c r="X86" s="2922"/>
      <c r="Y86" s="2922"/>
      <c r="Z86" s="2922"/>
      <c r="AA86" s="2922"/>
      <c r="AB86" s="2922"/>
      <c r="AC86" s="2922"/>
      <c r="AD86" s="2922"/>
    </row>
    <row r="87" spans="1:30">
      <c r="A87" s="556"/>
      <c r="B87" s="503"/>
      <c r="C87" s="552"/>
      <c r="D87" s="552"/>
      <c r="E87" s="552"/>
      <c r="F87" s="552"/>
      <c r="G87" s="552"/>
      <c r="H87" s="552"/>
      <c r="I87" s="552"/>
      <c r="J87" s="553"/>
      <c r="K87" s="553"/>
      <c r="L87" s="554"/>
      <c r="M87" s="555"/>
      <c r="N87" s="2950"/>
      <c r="O87" s="2950"/>
      <c r="P87" s="2975"/>
      <c r="Q87" s="2936"/>
      <c r="R87" s="2922"/>
      <c r="S87" s="2922"/>
      <c r="T87" s="2922"/>
      <c r="U87" s="2922"/>
      <c r="V87" s="2922"/>
      <c r="W87" s="2922"/>
      <c r="X87" s="2922"/>
      <c r="Y87" s="2922"/>
      <c r="Z87" s="2922"/>
      <c r="AA87" s="2922"/>
      <c r="AB87" s="2922"/>
      <c r="AC87" s="2922"/>
      <c r="AD87" s="2922"/>
    </row>
    <row r="88" spans="1:30" ht="15.75" thickBot="1">
      <c r="A88" s="491"/>
      <c r="B88" s="500"/>
      <c r="C88" s="517"/>
      <c r="D88" s="493"/>
      <c r="E88" s="493"/>
      <c r="F88" s="493"/>
      <c r="G88" s="493"/>
      <c r="H88" s="493"/>
      <c r="I88" s="493"/>
      <c r="J88" s="493"/>
      <c r="K88" s="493"/>
      <c r="L88" s="493"/>
      <c r="M88" s="493"/>
      <c r="N88" s="2951"/>
      <c r="O88" s="2951"/>
      <c r="P88" s="2975"/>
      <c r="Q88" s="2936"/>
      <c r="R88" s="2922"/>
      <c r="S88" s="2922"/>
      <c r="T88" s="2922"/>
      <c r="U88" s="2922"/>
      <c r="V88" s="2922"/>
      <c r="W88" s="2922"/>
      <c r="X88" s="2922"/>
      <c r="Y88" s="2922"/>
      <c r="Z88" s="2922"/>
      <c r="AA88" s="2922"/>
      <c r="AB88" s="2922"/>
      <c r="AC88" s="2922"/>
      <c r="AD88" s="2922"/>
    </row>
    <row r="89" spans="1:30" s="430" customFormat="1" ht="15" thickTop="1">
      <c r="A89" s="550"/>
      <c r="B89" s="495" t="s">
        <v>2503</v>
      </c>
      <c r="C89" s="511"/>
      <c r="D89" s="511"/>
      <c r="E89" s="511"/>
      <c r="F89" s="511"/>
      <c r="G89" s="511"/>
      <c r="H89" s="511"/>
      <c r="I89" s="511"/>
      <c r="J89" s="511"/>
      <c r="K89" s="511"/>
      <c r="L89" s="511"/>
      <c r="M89" s="538"/>
      <c r="N89" s="2952"/>
      <c r="O89" s="2952"/>
      <c r="P89" s="2976"/>
      <c r="Q89" s="2943"/>
      <c r="R89" s="2944"/>
      <c r="S89" s="2944"/>
      <c r="T89" s="2944"/>
      <c r="U89" s="2944"/>
      <c r="V89" s="2944"/>
      <c r="W89" s="2944"/>
      <c r="X89" s="2944"/>
      <c r="Y89" s="2944"/>
      <c r="Z89" s="2944"/>
      <c r="AA89" s="2944"/>
      <c r="AB89" s="2944"/>
      <c r="AC89" s="2944"/>
      <c r="AD89" s="2944"/>
    </row>
    <row r="90" spans="1:30" s="430" customFormat="1" ht="15.75" thickBot="1">
      <c r="A90" s="510"/>
      <c r="B90" s="500"/>
      <c r="C90" s="517"/>
      <c r="D90" s="493"/>
      <c r="E90" s="493"/>
      <c r="F90" s="493"/>
      <c r="G90" s="493"/>
      <c r="H90" s="493"/>
      <c r="I90" s="493"/>
      <c r="J90" s="493"/>
      <c r="K90" s="493"/>
      <c r="L90" s="493"/>
      <c r="M90" s="494"/>
      <c r="N90" s="2952"/>
      <c r="O90" s="2952"/>
      <c r="P90" s="2976"/>
      <c r="Q90" s="2943"/>
      <c r="R90" s="2944"/>
      <c r="S90" s="2944"/>
      <c r="T90" s="2944"/>
      <c r="U90" s="2944"/>
      <c r="V90" s="2944"/>
      <c r="W90" s="2944"/>
      <c r="X90" s="2944"/>
      <c r="Y90" s="2944"/>
      <c r="Z90" s="2944"/>
      <c r="AA90" s="2944"/>
      <c r="AB90" s="2944"/>
      <c r="AC90" s="2944"/>
      <c r="AD90" s="2944"/>
    </row>
    <row r="91" spans="1:30" ht="15" thickTop="1">
      <c r="A91" s="556"/>
      <c r="B91" s="495">
        <f>B32</f>
        <v>111</v>
      </c>
      <c r="C91" s="506"/>
      <c r="D91" s="506"/>
      <c r="E91" s="506"/>
      <c r="F91" s="506"/>
      <c r="G91" s="511"/>
      <c r="H91" s="512"/>
      <c r="I91" s="512"/>
      <c r="J91" s="512"/>
      <c r="K91" s="512"/>
      <c r="L91" s="513"/>
      <c r="M91" s="514"/>
      <c r="N91" s="2950"/>
      <c r="O91" s="2950"/>
      <c r="P91" s="2975"/>
      <c r="Q91" s="2936"/>
      <c r="R91" s="2922"/>
      <c r="S91" s="2922"/>
      <c r="T91" s="2922"/>
      <c r="U91" s="2922"/>
      <c r="V91" s="2922"/>
      <c r="W91" s="2922"/>
      <c r="X91" s="2922"/>
      <c r="Y91" s="2922"/>
      <c r="Z91" s="2922"/>
      <c r="AA91" s="2922"/>
      <c r="AB91" s="2922"/>
      <c r="AC91" s="2922"/>
      <c r="AD91" s="2922"/>
    </row>
    <row r="92" spans="1:30" ht="15.75" thickBot="1">
      <c r="A92" s="491"/>
      <c r="B92" s="500"/>
      <c r="C92" s="517"/>
      <c r="D92" s="493"/>
      <c r="E92" s="493"/>
      <c r="F92" s="493"/>
      <c r="G92" s="517"/>
      <c r="H92" s="519"/>
      <c r="I92" s="519"/>
      <c r="J92" s="519"/>
      <c r="K92" s="519"/>
      <c r="L92" s="519"/>
      <c r="M92" s="520"/>
      <c r="N92" s="2951"/>
      <c r="O92" s="2951"/>
      <c r="P92" s="2975"/>
      <c r="Q92" s="2936"/>
      <c r="R92" s="2922"/>
      <c r="S92" s="2922"/>
      <c r="T92" s="2922"/>
      <c r="U92" s="2922"/>
      <c r="V92" s="2922"/>
      <c r="W92" s="2922"/>
      <c r="X92" s="2922"/>
      <c r="Y92" s="2922"/>
      <c r="Z92" s="2922"/>
      <c r="AA92" s="2922"/>
      <c r="AB92" s="2922"/>
      <c r="AC92" s="2922"/>
      <c r="AD92" s="2922"/>
    </row>
    <row r="93" spans="1:30" ht="15" thickTop="1">
      <c r="A93" s="556"/>
      <c r="B93" s="495">
        <f>B33</f>
        <v>111</v>
      </c>
      <c r="C93" s="506"/>
      <c r="D93" s="506"/>
      <c r="E93" s="506"/>
      <c r="F93" s="506"/>
      <c r="G93" s="511"/>
      <c r="H93" s="512"/>
      <c r="I93" s="512"/>
      <c r="J93" s="512"/>
      <c r="K93" s="512"/>
      <c r="L93" s="513"/>
      <c r="M93" s="514"/>
      <c r="N93" s="2950"/>
      <c r="O93" s="2950"/>
      <c r="P93" s="2975"/>
      <c r="Q93" s="2936"/>
      <c r="R93" s="2922"/>
      <c r="S93" s="2922"/>
      <c r="T93" s="2922"/>
      <c r="U93" s="2922"/>
      <c r="V93" s="2922"/>
      <c r="W93" s="2922"/>
      <c r="X93" s="2922"/>
      <c r="Y93" s="2922"/>
      <c r="Z93" s="2922"/>
      <c r="AA93" s="2922"/>
      <c r="AB93" s="2922"/>
      <c r="AC93" s="2922"/>
      <c r="AD93" s="2922"/>
    </row>
    <row r="94" spans="1:30" ht="15.75" thickBot="1">
      <c r="A94" s="491"/>
      <c r="B94" s="500"/>
      <c r="C94" s="517"/>
      <c r="D94" s="493"/>
      <c r="E94" s="493"/>
      <c r="F94" s="493"/>
      <c r="G94" s="517"/>
      <c r="H94" s="519"/>
      <c r="I94" s="519"/>
      <c r="J94" s="519"/>
      <c r="K94" s="519"/>
      <c r="L94" s="519"/>
      <c r="M94" s="520"/>
      <c r="N94" s="2951"/>
      <c r="O94" s="2951"/>
      <c r="P94" s="2975"/>
      <c r="Q94" s="2936"/>
      <c r="R94" s="2922"/>
      <c r="S94" s="2922"/>
      <c r="T94" s="2922"/>
      <c r="U94" s="2922"/>
      <c r="V94" s="2922"/>
      <c r="W94" s="2922"/>
      <c r="X94" s="2922"/>
      <c r="Y94" s="2922"/>
      <c r="Z94" s="2922"/>
      <c r="AA94" s="2922"/>
      <c r="AB94" s="2922"/>
      <c r="AC94" s="2922"/>
      <c r="AD94" s="2922"/>
    </row>
    <row r="95" spans="1:30" ht="15" thickTop="1">
      <c r="A95" s="556"/>
      <c r="B95" s="592">
        <f>B34</f>
        <v>111</v>
      </c>
      <c r="C95" s="506"/>
      <c r="D95" s="506"/>
      <c r="E95" s="506"/>
      <c r="F95" s="506"/>
      <c r="G95" s="511"/>
      <c r="H95" s="512"/>
      <c r="I95" s="512"/>
      <c r="J95" s="512"/>
      <c r="K95" s="512"/>
      <c r="L95" s="513"/>
      <c r="M95" s="514"/>
      <c r="N95" s="2951"/>
      <c r="O95" s="2951"/>
      <c r="P95" s="2978"/>
      <c r="Q95" s="2965"/>
      <c r="R95" s="2922"/>
      <c r="S95" s="2922"/>
      <c r="T95" s="2922"/>
      <c r="U95" s="2922"/>
      <c r="V95" s="2922"/>
      <c r="W95" s="2922"/>
      <c r="X95" s="2922"/>
      <c r="Y95" s="2922"/>
      <c r="Z95" s="2922"/>
      <c r="AA95" s="2922"/>
      <c r="AB95" s="2922"/>
      <c r="AC95" s="2922"/>
      <c r="AD95" s="2922"/>
    </row>
    <row r="96" spans="1:30" ht="15.75" thickBot="1">
      <c r="A96" s="491"/>
      <c r="B96" s="500"/>
      <c r="C96" s="517"/>
      <c r="D96" s="517"/>
      <c r="E96" s="517"/>
      <c r="F96" s="517"/>
      <c r="G96" s="517"/>
      <c r="H96" s="519"/>
      <c r="I96" s="519"/>
      <c r="J96" s="519"/>
      <c r="K96" s="519"/>
      <c r="L96" s="519"/>
      <c r="M96" s="520"/>
      <c r="N96" s="2951"/>
      <c r="O96" s="2951"/>
      <c r="P96" s="2975"/>
      <c r="Q96" s="2936"/>
      <c r="R96" s="2922"/>
      <c r="S96" s="2922"/>
      <c r="T96" s="2922"/>
      <c r="U96" s="2922"/>
      <c r="V96" s="2922"/>
      <c r="W96" s="2922"/>
      <c r="X96" s="2922"/>
      <c r="Y96" s="2922"/>
      <c r="Z96" s="2922"/>
      <c r="AA96" s="2922"/>
      <c r="AB96" s="2922"/>
      <c r="AC96" s="2922"/>
      <c r="AD96" s="2922"/>
    </row>
    <row r="97" spans="1:30" ht="15" thickTop="1">
      <c r="N97" s="2922"/>
      <c r="O97" s="2922"/>
      <c r="P97" s="2922"/>
      <c r="Q97" s="2922"/>
      <c r="R97" s="2922"/>
      <c r="S97" s="2922"/>
      <c r="T97" s="2922"/>
      <c r="U97" s="2922"/>
      <c r="V97" s="2922"/>
      <c r="W97" s="2922"/>
      <c r="X97" s="2922"/>
      <c r="Y97" s="2922"/>
      <c r="Z97" s="2922"/>
      <c r="AA97" s="2922"/>
      <c r="AB97" s="2922"/>
      <c r="AC97" s="2922"/>
      <c r="AD97" s="2922"/>
    </row>
    <row r="98" spans="1:30">
      <c r="A98" s="1067"/>
      <c r="B98" s="1067"/>
      <c r="C98" s="1067"/>
      <c r="D98" s="1067"/>
      <c r="E98" s="1067"/>
      <c r="F98" s="1067"/>
      <c r="G98" s="1067"/>
      <c r="H98" s="1067"/>
      <c r="I98" s="1067"/>
      <c r="J98" s="1067"/>
      <c r="K98" s="1068"/>
      <c r="L98" s="1069"/>
      <c r="M98" s="1067"/>
      <c r="N98" s="2922"/>
      <c r="O98" s="2922"/>
      <c r="P98" s="2922"/>
      <c r="Q98" s="2922"/>
      <c r="R98" s="2922"/>
      <c r="S98" s="2922"/>
      <c r="T98" s="2922"/>
      <c r="U98" s="2922"/>
      <c r="V98" s="2922"/>
      <c r="W98" s="2922"/>
      <c r="X98" s="2922"/>
      <c r="Y98" s="2922"/>
      <c r="Z98" s="2922"/>
      <c r="AA98" s="2922"/>
      <c r="AB98" s="2922"/>
      <c r="AC98" s="2922"/>
      <c r="AD98" s="2922"/>
    </row>
    <row r="99" spans="1:30">
      <c r="A99" s="1067"/>
      <c r="B99" s="1067"/>
      <c r="C99" s="1067"/>
      <c r="D99" s="1067"/>
      <c r="E99" s="1067"/>
      <c r="F99" s="1067"/>
      <c r="G99" s="1067"/>
      <c r="H99" s="1067"/>
      <c r="I99" s="1067"/>
      <c r="J99" s="1067"/>
      <c r="K99" s="1068"/>
      <c r="L99" s="1069"/>
      <c r="M99" s="1067"/>
      <c r="N99" s="2922"/>
      <c r="O99" s="2922"/>
      <c r="P99" s="2922"/>
      <c r="Q99" s="2922"/>
      <c r="R99" s="2922"/>
      <c r="S99" s="2922"/>
      <c r="T99" s="2922"/>
      <c r="U99" s="2922"/>
      <c r="V99" s="2922"/>
      <c r="W99" s="2922"/>
      <c r="X99" s="2922"/>
      <c r="Y99" s="2922"/>
      <c r="Z99" s="2922"/>
      <c r="AA99" s="2922"/>
      <c r="AB99" s="2922"/>
      <c r="AC99" s="2922"/>
      <c r="AD99" s="2922"/>
    </row>
    <row r="100" spans="1:30">
      <c r="A100" s="1067"/>
      <c r="B100" s="1067"/>
      <c r="C100" s="1067"/>
      <c r="D100" s="1067"/>
      <c r="E100" s="1067"/>
      <c r="F100" s="1067"/>
      <c r="G100" s="1067"/>
      <c r="H100" s="1067"/>
      <c r="I100" s="1067"/>
      <c r="J100" s="1067"/>
      <c r="K100" s="1068"/>
      <c r="L100" s="1069"/>
      <c r="M100" s="1067"/>
      <c r="N100" s="2922"/>
      <c r="O100" s="2922"/>
      <c r="P100" s="2922"/>
      <c r="Q100" s="2922"/>
      <c r="R100" s="2922"/>
      <c r="S100" s="2922"/>
      <c r="T100" s="2922"/>
      <c r="U100" s="2922"/>
      <c r="V100" s="2922"/>
      <c r="W100" s="2922"/>
      <c r="X100" s="2922"/>
      <c r="Y100" s="2922"/>
      <c r="Z100" s="2922"/>
      <c r="AA100" s="2922"/>
      <c r="AB100" s="2922"/>
      <c r="AC100" s="2922"/>
      <c r="AD100" s="2922"/>
    </row>
    <row r="101" spans="1:30">
      <c r="A101" s="1067"/>
      <c r="B101" s="1067"/>
      <c r="C101" s="1067"/>
      <c r="D101" s="1067"/>
      <c r="E101" s="1067"/>
      <c r="F101" s="1067"/>
      <c r="G101" s="1067"/>
      <c r="H101" s="1067"/>
      <c r="I101" s="1067"/>
      <c r="J101" s="1067"/>
      <c r="K101" s="1068"/>
      <c r="L101" s="1069"/>
      <c r="M101" s="1067"/>
      <c r="N101" s="2922"/>
      <c r="O101" s="2922"/>
      <c r="P101" s="2922"/>
      <c r="Q101" s="2922"/>
      <c r="R101" s="2922"/>
      <c r="S101" s="2922"/>
      <c r="T101" s="2922"/>
      <c r="U101" s="2922"/>
      <c r="V101" s="2922"/>
      <c r="W101" s="2922"/>
      <c r="X101" s="2922"/>
      <c r="Y101" s="2922"/>
      <c r="Z101" s="2922"/>
      <c r="AA101" s="2922"/>
      <c r="AB101" s="2922"/>
      <c r="AC101" s="2922"/>
      <c r="AD101" s="2922"/>
    </row>
    <row r="102" spans="1:30">
      <c r="A102" s="1067"/>
      <c r="B102" s="1067"/>
      <c r="C102" s="1067"/>
      <c r="D102" s="1067"/>
      <c r="E102" s="1067"/>
      <c r="F102" s="1067"/>
      <c r="G102" s="1067"/>
      <c r="H102" s="1067"/>
      <c r="I102" s="1067"/>
      <c r="J102" s="1067"/>
      <c r="K102" s="1068"/>
      <c r="L102" s="1069"/>
      <c r="M102" s="1067"/>
      <c r="N102" s="2922"/>
      <c r="O102" s="2922"/>
      <c r="P102" s="2922"/>
      <c r="Q102" s="2922"/>
      <c r="R102" s="2922"/>
      <c r="S102" s="2922"/>
      <c r="T102" s="2922"/>
      <c r="U102" s="2922"/>
      <c r="V102" s="2922"/>
      <c r="W102" s="2922"/>
      <c r="X102" s="2922"/>
      <c r="Y102" s="2922"/>
      <c r="Z102" s="2922"/>
      <c r="AA102" s="2922"/>
      <c r="AB102" s="2922"/>
      <c r="AC102" s="2922"/>
      <c r="AD102" s="2922"/>
    </row>
    <row r="103" spans="1:30">
      <c r="A103" s="1067"/>
      <c r="B103" s="1067"/>
      <c r="C103" s="1067"/>
      <c r="D103" s="1067"/>
      <c r="E103" s="1067"/>
      <c r="F103" s="1067"/>
      <c r="G103" s="1067"/>
      <c r="H103" s="1067"/>
      <c r="I103" s="1067"/>
      <c r="J103" s="1067"/>
      <c r="K103" s="1068"/>
      <c r="L103" s="1069"/>
      <c r="M103" s="1067"/>
      <c r="N103" s="1067"/>
      <c r="O103" s="1067"/>
      <c r="P103" s="2922"/>
      <c r="Q103" s="2922"/>
      <c r="R103" s="2922"/>
      <c r="S103" s="2922"/>
      <c r="T103" s="2922"/>
      <c r="U103" s="2922"/>
      <c r="V103" s="2922"/>
      <c r="W103" s="2922"/>
      <c r="X103" s="2922"/>
      <c r="Y103" s="2922"/>
      <c r="Z103" s="2922"/>
      <c r="AA103" s="2922"/>
      <c r="AB103" s="2922"/>
      <c r="AC103" s="2922"/>
      <c r="AD103" s="2922"/>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2504</v>
      </c>
      <c r="B1" s="355"/>
      <c r="C1" s="356" t="s">
        <v>2505</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2087</v>
      </c>
      <c r="B2" s="627" t="e">
        <f>F66</f>
        <v>#DIV/0!</v>
      </c>
      <c r="C2" s="1038"/>
      <c r="D2" s="1038"/>
      <c r="E2" s="1039"/>
      <c r="F2" s="1040"/>
      <c r="G2" s="1039"/>
      <c r="H2" s="1039"/>
      <c r="I2" s="1039"/>
      <c r="J2" s="1039"/>
      <c r="K2" s="1041"/>
      <c r="L2" s="2931"/>
      <c r="M2" s="2932"/>
      <c r="N2" s="2932"/>
      <c r="O2" s="2932"/>
      <c r="P2" s="708"/>
      <c r="Q2" s="708"/>
      <c r="R2" s="708"/>
      <c r="S2" s="708"/>
      <c r="T2" s="708"/>
      <c r="U2" s="708"/>
      <c r="V2" s="708"/>
      <c r="W2" s="708"/>
      <c r="X2" s="708"/>
      <c r="Y2" s="708"/>
      <c r="Z2" s="708"/>
      <c r="AA2" s="708"/>
      <c r="AB2" s="708"/>
      <c r="AC2" s="709"/>
      <c r="AD2" s="357"/>
    </row>
    <row r="3" spans="1:30" s="358" customFormat="1" ht="28.5" customHeight="1" thickBot="1">
      <c r="A3" s="209" t="s">
        <v>2089</v>
      </c>
      <c r="B3" s="566" t="e">
        <f>ROUND(IF(D3="",B2*10000/'数据-汇总表'!E3,B2*10000/D3),0)</f>
        <v>#DIV/0!</v>
      </c>
      <c r="C3" s="209" t="s">
        <v>2506</v>
      </c>
      <c r="D3" s="1327"/>
      <c r="E3" s="1039"/>
      <c r="F3" s="1040"/>
      <c r="G3" s="1039"/>
      <c r="H3" s="1039"/>
      <c r="I3" s="1039"/>
      <c r="J3" s="1039"/>
      <c r="K3" s="1041"/>
      <c r="L3" s="2931"/>
      <c r="M3" s="2932"/>
      <c r="N3" s="2932"/>
      <c r="O3" s="2932"/>
      <c r="P3" s="708"/>
      <c r="Q3" s="708"/>
      <c r="R3" s="708"/>
      <c r="S3" s="708"/>
      <c r="T3" s="708"/>
      <c r="U3" s="708"/>
      <c r="V3" s="708"/>
      <c r="W3" s="708"/>
      <c r="X3" s="708"/>
      <c r="Y3" s="708"/>
      <c r="Z3" s="708"/>
      <c r="AA3" s="708"/>
      <c r="AB3" s="725"/>
      <c r="AC3" s="722"/>
    </row>
    <row r="4" spans="1:30" ht="15">
      <c r="A4" s="361" t="s">
        <v>2405</v>
      </c>
      <c r="B4" s="362"/>
      <c r="C4" s="3449" t="s">
        <v>2406</v>
      </c>
      <c r="D4" s="3450"/>
      <c r="E4" s="3451" t="s">
        <v>2407</v>
      </c>
      <c r="F4" s="3452"/>
      <c r="G4" s="3449" t="s">
        <v>2408</v>
      </c>
      <c r="H4" s="3450"/>
      <c r="I4" s="3449" t="s">
        <v>2409</v>
      </c>
      <c r="J4" s="3450"/>
      <c r="K4" s="567" t="s">
        <v>2410</v>
      </c>
      <c r="L4" s="2912"/>
      <c r="M4" s="2913"/>
      <c r="N4" s="2913"/>
      <c r="O4" s="2913"/>
      <c r="P4" s="3453" t="s">
        <v>2411</v>
      </c>
      <c r="Q4" s="3454"/>
      <c r="R4" s="3436" t="s">
        <v>2407</v>
      </c>
      <c r="S4" s="3437"/>
      <c r="T4" s="3436" t="s">
        <v>2408</v>
      </c>
      <c r="U4" s="3437"/>
      <c r="V4" s="3461" t="s">
        <v>2409</v>
      </c>
      <c r="W4" s="3461"/>
      <c r="X4" s="1509"/>
      <c r="Y4" s="3436" t="s">
        <v>2411</v>
      </c>
      <c r="Z4" s="3437"/>
      <c r="AA4" s="3431" t="s">
        <v>2407</v>
      </c>
      <c r="AB4" s="3432" t="s">
        <v>2408</v>
      </c>
      <c r="AC4" s="3431" t="s">
        <v>2409</v>
      </c>
    </row>
    <row r="5" spans="1:30" ht="15">
      <c r="A5" s="364"/>
      <c r="B5" s="365"/>
      <c r="C5" s="3442" t="s">
        <v>2302</v>
      </c>
      <c r="D5" s="3443"/>
      <c r="E5" s="3440" t="s">
        <v>2303</v>
      </c>
      <c r="F5" s="3441"/>
      <c r="G5" s="3442" t="s">
        <v>2304</v>
      </c>
      <c r="H5" s="3443"/>
      <c r="I5" s="3442" t="s">
        <v>2305</v>
      </c>
      <c r="J5" s="3443"/>
      <c r="K5" s="567"/>
      <c r="L5" s="2912"/>
      <c r="M5" s="2913"/>
      <c r="N5" s="2913"/>
      <c r="O5" s="2913"/>
      <c r="P5" s="3455"/>
      <c r="Q5" s="3456"/>
      <c r="R5" s="3438"/>
      <c r="S5" s="3439"/>
      <c r="T5" s="3438"/>
      <c r="U5" s="3439"/>
      <c r="V5" s="3461"/>
      <c r="W5" s="3461"/>
      <c r="X5" s="1509"/>
      <c r="Y5" s="3438"/>
      <c r="Z5" s="3439"/>
      <c r="AA5" s="3432"/>
      <c r="AB5" s="3432"/>
      <c r="AC5" s="3432"/>
    </row>
    <row r="6" spans="1:30" ht="15.75" thickBot="1">
      <c r="A6" s="366"/>
      <c r="B6" s="367"/>
      <c r="C6" s="3444" t="s">
        <v>2306</v>
      </c>
      <c r="D6" s="3445"/>
      <c r="E6" s="3446" t="s">
        <v>2306</v>
      </c>
      <c r="F6" s="3447"/>
      <c r="G6" s="3444" t="s">
        <v>2306</v>
      </c>
      <c r="H6" s="3445"/>
      <c r="I6" s="3444" t="s">
        <v>2306</v>
      </c>
      <c r="J6" s="3445"/>
      <c r="K6" s="567" t="s">
        <v>2307</v>
      </c>
      <c r="L6" s="2912"/>
      <c r="M6" s="2913"/>
      <c r="N6" s="2913"/>
      <c r="O6" s="2913"/>
      <c r="P6" s="3457"/>
      <c r="Q6" s="3458"/>
      <c r="R6" s="3438"/>
      <c r="S6" s="3439"/>
      <c r="T6" s="3459"/>
      <c r="U6" s="3460"/>
      <c r="V6" s="3461"/>
      <c r="W6" s="3461"/>
      <c r="X6" s="1509"/>
      <c r="Y6" s="3459"/>
      <c r="Z6" s="3460"/>
      <c r="AA6" s="3433"/>
      <c r="AB6" s="3433"/>
      <c r="AC6" s="3433"/>
    </row>
    <row r="7" spans="1:30" s="113" customFormat="1" ht="15.75" thickBot="1">
      <c r="A7" s="368" t="s">
        <v>2308</v>
      </c>
      <c r="B7" s="369"/>
      <c r="C7" s="370">
        <f>'数据-取费表'!B2</f>
        <v>44641</v>
      </c>
      <c r="D7" s="371">
        <v>100</v>
      </c>
      <c r="E7" s="372"/>
      <c r="F7" s="373">
        <f>SUMIF(70:70,YEAR(E7)&amp;"-"&amp;INT((MONTH(E7)+2)/3),71:71)</f>
        <v>0</v>
      </c>
      <c r="G7" s="2130"/>
      <c r="H7" s="371">
        <f>SUMIF(70:70,YEAR(G7)&amp;"-"&amp;INT((MONTH(G7)+2)/3),71:71)</f>
        <v>0</v>
      </c>
      <c r="I7" s="2130"/>
      <c r="J7" s="371">
        <f>SUMIF(70:70,YEAR(I7)&amp;"-"&amp;INT((MONTH(I7)+2)/3),71:71)</f>
        <v>0</v>
      </c>
      <c r="K7" s="568"/>
      <c r="L7" s="2914"/>
      <c r="M7" s="2915"/>
      <c r="N7" s="2915"/>
      <c r="O7" s="2915"/>
      <c r="P7" s="3434" t="s">
        <v>2309</v>
      </c>
      <c r="Q7" s="3462"/>
      <c r="R7" s="710" t="s">
        <v>17</v>
      </c>
      <c r="S7" s="711">
        <f t="shared" ref="S7:S15" si="0">F7</f>
        <v>0</v>
      </c>
      <c r="T7" s="710" t="s">
        <v>17</v>
      </c>
      <c r="U7" s="711">
        <f t="shared" ref="U7:U15" si="1">H7</f>
        <v>0</v>
      </c>
      <c r="V7" s="710" t="s">
        <v>17</v>
      </c>
      <c r="W7" s="711">
        <f t="shared" ref="W7:W15" si="2">J7</f>
        <v>0</v>
      </c>
      <c r="X7" s="712"/>
      <c r="Y7" s="3434" t="s">
        <v>2309</v>
      </c>
      <c r="Z7" s="3435"/>
      <c r="AA7" s="713" t="e">
        <f>D7/F7</f>
        <v>#DIV/0!</v>
      </c>
      <c r="AB7" s="713" t="e">
        <f>D7/H7</f>
        <v>#DIV/0!</v>
      </c>
      <c r="AC7" s="713" t="e">
        <f>D7/J7</f>
        <v>#DIV/0!</v>
      </c>
    </row>
    <row r="8" spans="1:30" s="113" customFormat="1" ht="15.75" thickBot="1">
      <c r="A8" s="368" t="s">
        <v>2310</v>
      </c>
      <c r="B8" s="369"/>
      <c r="C8" s="374" t="s">
        <v>2311</v>
      </c>
      <c r="D8" s="371">
        <v>100</v>
      </c>
      <c r="E8" s="374"/>
      <c r="F8" s="373">
        <f>SUMIF(73:73,E8,74:74)-SUMIF(73:73,C8,74:74)+100</f>
        <v>0</v>
      </c>
      <c r="G8" s="374"/>
      <c r="H8" s="371">
        <f>SUMIF(73:73,G8,74:74)-SUMIF(73:73,C8,74:74)+100</f>
        <v>0</v>
      </c>
      <c r="I8" s="374"/>
      <c r="J8" s="371">
        <f>SUMIF(73:73,I8,74:74)-SUMIF(73:73,C8,74:74)+100</f>
        <v>0</v>
      </c>
      <c r="K8" s="568"/>
      <c r="L8" s="2914"/>
      <c r="M8" s="2915"/>
      <c r="N8" s="2915"/>
      <c r="O8" s="2915"/>
      <c r="P8" s="3434" t="s">
        <v>2312</v>
      </c>
      <c r="Q8" s="3435"/>
      <c r="R8" s="710" t="s">
        <v>17</v>
      </c>
      <c r="S8" s="711">
        <f t="shared" si="0"/>
        <v>0</v>
      </c>
      <c r="T8" s="710" t="s">
        <v>17</v>
      </c>
      <c r="U8" s="711">
        <f t="shared" si="1"/>
        <v>0</v>
      </c>
      <c r="V8" s="710" t="s">
        <v>17</v>
      </c>
      <c r="W8" s="711">
        <f t="shared" si="2"/>
        <v>0</v>
      </c>
      <c r="X8" s="712"/>
      <c r="Y8" s="3434" t="s">
        <v>2312</v>
      </c>
      <c r="Z8" s="3435"/>
      <c r="AA8" s="713" t="e">
        <f t="shared" ref="AA8:AA45" si="3">D8/F8</f>
        <v>#DIV/0!</v>
      </c>
      <c r="AB8" s="713" t="e">
        <f t="shared" ref="AB8:AB45" si="4">D8/H8</f>
        <v>#DIV/0!</v>
      </c>
      <c r="AC8" s="713" t="e">
        <f t="shared" ref="AC8:AC45" si="5">D8/J8</f>
        <v>#DIV/0!</v>
      </c>
    </row>
    <row r="9" spans="1:30" s="113" customFormat="1">
      <c r="A9" s="375" t="s">
        <v>2313</v>
      </c>
      <c r="B9" s="67" t="s">
        <v>2314</v>
      </c>
      <c r="C9" s="2133"/>
      <c r="D9" s="131">
        <v>100</v>
      </c>
      <c r="E9" s="2133"/>
      <c r="F9" s="131">
        <f>SUMIF(75:75,E9,76:76)-SUMIF(75:75,C9,76:76)+100</f>
        <v>100</v>
      </c>
      <c r="G9" s="2133"/>
      <c r="H9" s="131">
        <f>SUMIF(75:75,G9,76:76)-SUMIF(75:75,C9,76:76)+100</f>
        <v>100</v>
      </c>
      <c r="I9" s="2133"/>
      <c r="J9" s="131">
        <f>SUMIF(75:75,I9,76:76)-SUMIF(75:75,C9,76:76)+100</f>
        <v>100</v>
      </c>
      <c r="K9" s="568"/>
      <c r="L9" s="2914"/>
      <c r="M9" s="2915"/>
      <c r="N9" s="2915"/>
      <c r="O9" s="2969"/>
      <c r="P9" s="3466"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713">
        <f t="shared" si="5"/>
        <v>1</v>
      </c>
    </row>
    <row r="10" spans="1:30" s="386" customFormat="1" ht="27">
      <c r="A10" s="380"/>
      <c r="B10" s="381" t="s">
        <v>2317</v>
      </c>
      <c r="C10" s="391"/>
      <c r="D10" s="132">
        <v>100</v>
      </c>
      <c r="E10" s="424"/>
      <c r="F10" s="132">
        <f>ROUND(100/'数据-取费表'!G16,0)</f>
        <v>123</v>
      </c>
      <c r="G10" s="422"/>
      <c r="H10" s="132">
        <f>ROUND(100/'数据-取费表'!G16,0)</f>
        <v>123</v>
      </c>
      <c r="I10" s="422"/>
      <c r="J10" s="132">
        <f>ROUND(100/'数据-取费表'!G16,0)</f>
        <v>123</v>
      </c>
      <c r="K10" s="628"/>
      <c r="L10" s="2916"/>
      <c r="M10" s="2917"/>
      <c r="N10" s="2917"/>
      <c r="O10" s="2970"/>
      <c r="P10" s="3466"/>
      <c r="Q10" s="1497" t="str">
        <f t="shared" si="6"/>
        <v>土地使用年限（年）</v>
      </c>
      <c r="R10" s="710" t="s">
        <v>17</v>
      </c>
      <c r="S10" s="711">
        <f t="shared" si="0"/>
        <v>123</v>
      </c>
      <c r="T10" s="710" t="s">
        <v>17</v>
      </c>
      <c r="U10" s="711">
        <f t="shared" si="1"/>
        <v>123</v>
      </c>
      <c r="V10" s="710" t="s">
        <v>17</v>
      </c>
      <c r="W10" s="711">
        <f t="shared" si="2"/>
        <v>123</v>
      </c>
      <c r="X10" s="712"/>
      <c r="Y10" s="3378"/>
      <c r="Z10" s="55" t="str">
        <f t="shared" si="7"/>
        <v>土地使用年限（年）</v>
      </c>
      <c r="AA10" s="713">
        <f t="shared" si="3"/>
        <v>0.81300813008130079</v>
      </c>
      <c r="AB10" s="713">
        <f t="shared" si="4"/>
        <v>0.81300813008130079</v>
      </c>
      <c r="AC10" s="713">
        <f t="shared" si="5"/>
        <v>0.81300813008130079</v>
      </c>
    </row>
    <row r="11" spans="1:30" ht="15">
      <c r="A11" s="387"/>
      <c r="B11" s="381" t="s">
        <v>2318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18"/>
      <c r="M11" s="2913"/>
      <c r="N11" s="2913"/>
      <c r="O11" s="2971"/>
      <c r="P11" s="3466"/>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30" s="113" customFormat="1" ht="15">
      <c r="A12" s="390"/>
      <c r="B12" s="2049" t="s">
        <v>2507</v>
      </c>
      <c r="C12" s="391"/>
      <c r="D12" s="392">
        <v>100</v>
      </c>
      <c r="E12" s="424"/>
      <c r="F12" s="132">
        <f>SUMIF(82:82,E12,83:83)-SUMIF(82:82,C12,83:83)+100</f>
        <v>100</v>
      </c>
      <c r="G12" s="422"/>
      <c r="H12" s="132">
        <f>SUMIF(82:82,G12,83:83)-SUMIF(82:82,C12,83:83)+100</f>
        <v>100</v>
      </c>
      <c r="I12" s="424"/>
      <c r="J12" s="132">
        <f>SUMIF(82:82,I12,83:83)-SUMIF(82:82,C12,83:83)+100</f>
        <v>100</v>
      </c>
      <c r="K12" s="628"/>
      <c r="L12" s="2914"/>
      <c r="M12" s="2915"/>
      <c r="N12" s="2915"/>
      <c r="O12" s="2969"/>
      <c r="P12" s="3466"/>
      <c r="Q12" s="1497" t="str">
        <f t="shared" si="6"/>
        <v>配建</v>
      </c>
      <c r="R12" s="710" t="s">
        <v>17</v>
      </c>
      <c r="S12" s="711">
        <f t="shared" si="0"/>
        <v>100</v>
      </c>
      <c r="T12" s="710" t="s">
        <v>17</v>
      </c>
      <c r="U12" s="711">
        <f t="shared" si="1"/>
        <v>100</v>
      </c>
      <c r="V12" s="710" t="s">
        <v>17</v>
      </c>
      <c r="W12" s="711">
        <f t="shared" si="2"/>
        <v>100</v>
      </c>
      <c r="X12" s="712"/>
      <c r="Y12" s="3378"/>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19"/>
      <c r="M13" s="2913"/>
      <c r="N13" s="2913"/>
      <c r="O13" s="2971"/>
      <c r="P13" s="3466"/>
      <c r="Q13" s="1497">
        <f t="shared" si="6"/>
        <v>111</v>
      </c>
      <c r="R13" s="710" t="s">
        <v>17</v>
      </c>
      <c r="S13" s="711">
        <f t="shared" si="0"/>
        <v>100</v>
      </c>
      <c r="T13" s="710" t="s">
        <v>17</v>
      </c>
      <c r="U13" s="711">
        <f t="shared" si="1"/>
        <v>100</v>
      </c>
      <c r="V13" s="710" t="s">
        <v>17</v>
      </c>
      <c r="W13" s="711">
        <f t="shared" si="2"/>
        <v>100</v>
      </c>
      <c r="X13" s="712"/>
      <c r="Y13" s="3378"/>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19"/>
      <c r="M14" s="2913"/>
      <c r="N14" s="2913"/>
      <c r="O14" s="2971"/>
      <c r="P14" s="3466"/>
      <c r="Q14" s="1497">
        <f t="shared" si="6"/>
        <v>111</v>
      </c>
      <c r="R14" s="710" t="s">
        <v>17</v>
      </c>
      <c r="S14" s="711">
        <f t="shared" si="0"/>
        <v>100</v>
      </c>
      <c r="T14" s="710" t="s">
        <v>17</v>
      </c>
      <c r="U14" s="711">
        <f t="shared" si="1"/>
        <v>100</v>
      </c>
      <c r="V14" s="710" t="s">
        <v>17</v>
      </c>
      <c r="W14" s="711">
        <f t="shared" si="2"/>
        <v>100</v>
      </c>
      <c r="X14" s="712"/>
      <c r="Y14" s="3378"/>
      <c r="Z14" s="55">
        <f t="shared" si="7"/>
        <v>111</v>
      </c>
      <c r="AA14" s="713">
        <f>D14/F14</f>
        <v>1</v>
      </c>
      <c r="AB14" s="713">
        <f>D14/H14</f>
        <v>1</v>
      </c>
      <c r="AC14" s="713">
        <f>D14/J14</f>
        <v>1</v>
      </c>
    </row>
    <row r="15" spans="1:30" ht="99.75">
      <c r="A15" s="399" t="s">
        <v>2319</v>
      </c>
      <c r="B15" s="65" t="s">
        <v>1882</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19"/>
      <c r="M15" s="2913"/>
      <c r="N15" s="2913"/>
      <c r="O15" s="2971"/>
      <c r="P15" s="3468" t="s">
        <v>2320</v>
      </c>
      <c r="Q15" s="1506" t="str">
        <f t="shared" si="6"/>
        <v>居住社区成熟度</v>
      </c>
      <c r="R15" s="714" t="s">
        <v>17</v>
      </c>
      <c r="S15" s="715">
        <f t="shared" si="0"/>
        <v>100</v>
      </c>
      <c r="T15" s="714" t="s">
        <v>17</v>
      </c>
      <c r="U15" s="715">
        <f t="shared" si="1"/>
        <v>100</v>
      </c>
      <c r="V15" s="714" t="s">
        <v>17</v>
      </c>
      <c r="W15" s="715">
        <f t="shared" si="2"/>
        <v>100</v>
      </c>
      <c r="X15" s="1509"/>
      <c r="Y15" s="3468" t="s">
        <v>2320</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19"/>
      <c r="M16" s="2913"/>
      <c r="N16" s="2913"/>
      <c r="O16" s="2971"/>
      <c r="P16" s="3469"/>
      <c r="Q16" s="1506"/>
      <c r="R16" s="714"/>
      <c r="S16" s="715"/>
      <c r="T16" s="714"/>
      <c r="U16" s="715"/>
      <c r="V16" s="714"/>
      <c r="W16" s="715"/>
      <c r="X16" s="1509"/>
      <c r="Y16" s="3469"/>
      <c r="Z16" s="1510"/>
      <c r="AA16" s="1507">
        <v>1</v>
      </c>
      <c r="AB16" s="1507">
        <v>1</v>
      </c>
      <c r="AC16" s="1507">
        <v>1</v>
      </c>
    </row>
    <row r="17" spans="1:29" ht="71.25">
      <c r="A17" s="387"/>
      <c r="B17" s="410" t="s">
        <v>2413</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19"/>
      <c r="M17" s="2913"/>
      <c r="N17" s="2913"/>
      <c r="O17" s="2971"/>
      <c r="P17" s="3469"/>
      <c r="Q17" s="1506" t="str">
        <f>B17</f>
        <v>商业繁华度</v>
      </c>
      <c r="R17" s="714" t="s">
        <v>17</v>
      </c>
      <c r="S17" s="715">
        <f>F17</f>
        <v>100</v>
      </c>
      <c r="T17" s="714" t="s">
        <v>17</v>
      </c>
      <c r="U17" s="715">
        <f>H17</f>
        <v>100</v>
      </c>
      <c r="V17" s="714" t="s">
        <v>17</v>
      </c>
      <c r="W17" s="715">
        <f>J17</f>
        <v>100</v>
      </c>
      <c r="X17" s="1509"/>
      <c r="Y17" s="3469"/>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19"/>
      <c r="M18" s="2913"/>
      <c r="N18" s="2913"/>
      <c r="O18" s="2971"/>
      <c r="P18" s="3469"/>
      <c r="Q18" s="1506"/>
      <c r="R18" s="714"/>
      <c r="S18" s="715"/>
      <c r="T18" s="714"/>
      <c r="U18" s="715"/>
      <c r="V18" s="714"/>
      <c r="W18" s="715"/>
      <c r="X18" s="1509"/>
      <c r="Y18" s="3469"/>
      <c r="Z18" s="1510"/>
      <c r="AA18" s="1507">
        <v>1</v>
      </c>
      <c r="AB18" s="1507">
        <v>1</v>
      </c>
      <c r="AC18" s="1507">
        <v>1</v>
      </c>
    </row>
    <row r="19" spans="1:29" ht="71.25">
      <c r="A19" s="387"/>
      <c r="B19" s="410" t="s">
        <v>2447</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19"/>
      <c r="M19" s="2913"/>
      <c r="N19" s="2913"/>
      <c r="O19" s="2971"/>
      <c r="P19" s="3469"/>
      <c r="Q19" s="1506" t="str">
        <f>B19</f>
        <v>办公集聚程度</v>
      </c>
      <c r="R19" s="714" t="s">
        <v>17</v>
      </c>
      <c r="S19" s="715">
        <f>F19</f>
        <v>100</v>
      </c>
      <c r="T19" s="714" t="s">
        <v>17</v>
      </c>
      <c r="U19" s="715">
        <f>H19</f>
        <v>100</v>
      </c>
      <c r="V19" s="714" t="s">
        <v>17</v>
      </c>
      <c r="W19" s="715">
        <f>J19</f>
        <v>100</v>
      </c>
      <c r="X19" s="1509"/>
      <c r="Y19" s="3469"/>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19"/>
      <c r="M20" s="2913"/>
      <c r="N20" s="2913"/>
      <c r="O20" s="2971"/>
      <c r="P20" s="3469"/>
      <c r="Q20" s="1506"/>
      <c r="R20" s="714"/>
      <c r="S20" s="715"/>
      <c r="T20" s="714"/>
      <c r="U20" s="715"/>
      <c r="V20" s="714"/>
      <c r="W20" s="715"/>
      <c r="X20" s="1509"/>
      <c r="Y20" s="3469"/>
      <c r="Z20" s="1510"/>
      <c r="AA20" s="1507">
        <v>1</v>
      </c>
      <c r="AB20" s="1507">
        <v>1</v>
      </c>
      <c r="AC20" s="1507">
        <v>1</v>
      </c>
    </row>
    <row r="21" spans="1:29" ht="85.5">
      <c r="A21" s="387"/>
      <c r="B21" s="410" t="s">
        <v>2469</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19"/>
      <c r="M21" s="2913"/>
      <c r="N21" s="2913"/>
      <c r="O21" s="2971"/>
      <c r="P21" s="3469"/>
      <c r="Q21" s="1506" t="str">
        <f>B21</f>
        <v>交通便捷度</v>
      </c>
      <c r="R21" s="714" t="s">
        <v>17</v>
      </c>
      <c r="S21" s="715">
        <f>F21</f>
        <v>100</v>
      </c>
      <c r="T21" s="714" t="s">
        <v>17</v>
      </c>
      <c r="U21" s="715">
        <f>H21</f>
        <v>100</v>
      </c>
      <c r="V21" s="714" t="s">
        <v>17</v>
      </c>
      <c r="W21" s="715">
        <f>J21</f>
        <v>100</v>
      </c>
      <c r="X21" s="1509"/>
      <c r="Y21" s="3469"/>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19"/>
      <c r="M22" s="2913"/>
      <c r="N22" s="2913"/>
      <c r="O22" s="2971"/>
      <c r="P22" s="3469"/>
      <c r="Q22" s="1506"/>
      <c r="R22" s="714"/>
      <c r="S22" s="715"/>
      <c r="T22" s="714"/>
      <c r="U22" s="715"/>
      <c r="V22" s="714"/>
      <c r="W22" s="715"/>
      <c r="X22" s="1509"/>
      <c r="Y22" s="3469"/>
      <c r="Z22" s="1510"/>
      <c r="AA22" s="1507">
        <v>1</v>
      </c>
      <c r="AB22" s="1507">
        <v>1</v>
      </c>
      <c r="AC22" s="1507">
        <v>1</v>
      </c>
    </row>
    <row r="23" spans="1:29" ht="15">
      <c r="A23" s="364"/>
      <c r="B23" s="410" t="s">
        <v>2508</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19"/>
      <c r="M23" s="2913"/>
      <c r="N23" s="2913"/>
      <c r="O23" s="2971"/>
      <c r="P23" s="3469"/>
      <c r="Q23" s="1506" t="str">
        <f t="shared" ref="Q23:Q37" si="8">B23</f>
        <v>区域土地利用方向</v>
      </c>
      <c r="R23" s="714" t="s">
        <v>17</v>
      </c>
      <c r="S23" s="715">
        <f>F23</f>
        <v>100</v>
      </c>
      <c r="T23" s="714" t="s">
        <v>17</v>
      </c>
      <c r="U23" s="715">
        <f>H23</f>
        <v>100</v>
      </c>
      <c r="V23" s="714" t="s">
        <v>17</v>
      </c>
      <c r="W23" s="715">
        <f>J23</f>
        <v>100</v>
      </c>
      <c r="X23" s="1509"/>
      <c r="Y23" s="3469"/>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19"/>
      <c r="M24" s="2913"/>
      <c r="N24" s="2913"/>
      <c r="O24" s="2971"/>
      <c r="P24" s="3469"/>
      <c r="Q24" s="1506"/>
      <c r="R24" s="714"/>
      <c r="S24" s="715"/>
      <c r="T24" s="714"/>
      <c r="U24" s="715"/>
      <c r="V24" s="714"/>
      <c r="W24" s="715"/>
      <c r="X24" s="1509"/>
      <c r="Y24" s="3469"/>
      <c r="Z24" s="1510"/>
      <c r="AA24" s="1507"/>
      <c r="AB24" s="1507"/>
      <c r="AC24" s="1507"/>
    </row>
    <row r="25" spans="1:29" ht="57">
      <c r="A25" s="364"/>
      <c r="B25" s="1265" t="s">
        <v>2509</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19"/>
      <c r="M25" s="2913"/>
      <c r="N25" s="2913"/>
      <c r="O25" s="2971"/>
      <c r="P25" s="3469"/>
      <c r="Q25" s="1506" t="str">
        <f t="shared" si="8"/>
        <v>自然及人文环境状况</v>
      </c>
      <c r="R25" s="714" t="s">
        <v>17</v>
      </c>
      <c r="S25" s="715">
        <f>F25</f>
        <v>100</v>
      </c>
      <c r="T25" s="714" t="s">
        <v>17</v>
      </c>
      <c r="U25" s="715">
        <f>H25</f>
        <v>100</v>
      </c>
      <c r="V25" s="714" t="s">
        <v>17</v>
      </c>
      <c r="W25" s="715">
        <f>J25</f>
        <v>100</v>
      </c>
      <c r="X25" s="1509"/>
      <c r="Y25" s="3469"/>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19"/>
      <c r="M26" s="2913"/>
      <c r="N26" s="2913"/>
      <c r="O26" s="2971"/>
      <c r="P26" s="3469"/>
      <c r="Q26" s="1506"/>
      <c r="R26" s="714"/>
      <c r="S26" s="715"/>
      <c r="T26" s="714"/>
      <c r="U26" s="715"/>
      <c r="V26" s="714"/>
      <c r="W26" s="715"/>
      <c r="X26" s="1509"/>
      <c r="Y26" s="3469"/>
      <c r="Z26" s="1510"/>
      <c r="AA26" s="1507">
        <v>1</v>
      </c>
      <c r="AB26" s="1507">
        <v>1</v>
      </c>
      <c r="AC26" s="1507">
        <v>1</v>
      </c>
    </row>
    <row r="27" spans="1:29" s="113" customFormat="1" ht="42.75">
      <c r="A27" s="605"/>
      <c r="B27" s="1265" t="s">
        <v>2414</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4"/>
      <c r="M27" s="2915"/>
      <c r="N27" s="2915"/>
      <c r="O27" s="2969"/>
      <c r="P27" s="3469"/>
      <c r="Q27" s="1497" t="str">
        <f t="shared" si="8"/>
        <v>公共配套设施</v>
      </c>
      <c r="R27" s="710" t="s">
        <v>17</v>
      </c>
      <c r="S27" s="711">
        <f>F27</f>
        <v>100</v>
      </c>
      <c r="T27" s="710" t="s">
        <v>17</v>
      </c>
      <c r="U27" s="711">
        <f>H27</f>
        <v>100</v>
      </c>
      <c r="V27" s="710" t="s">
        <v>17</v>
      </c>
      <c r="W27" s="711">
        <f>J27</f>
        <v>100</v>
      </c>
      <c r="X27" s="712"/>
      <c r="Y27" s="3469"/>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4"/>
      <c r="M28" s="2915"/>
      <c r="N28" s="2915"/>
      <c r="O28" s="2969"/>
      <c r="P28" s="3469"/>
      <c r="Q28" s="1497"/>
      <c r="R28" s="710"/>
      <c r="S28" s="711"/>
      <c r="T28" s="710"/>
      <c r="U28" s="711"/>
      <c r="V28" s="710"/>
      <c r="W28" s="711"/>
      <c r="X28" s="712"/>
      <c r="Y28" s="3469"/>
      <c r="Z28" s="55"/>
      <c r="AA28" s="1507">
        <v>1</v>
      </c>
      <c r="AB28" s="1507">
        <v>1</v>
      </c>
      <c r="AC28" s="1507">
        <v>1</v>
      </c>
    </row>
    <row r="29" spans="1:29" s="113" customFormat="1" ht="28.5">
      <c r="A29" s="605"/>
      <c r="B29" s="1265" t="s">
        <v>2415</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4"/>
      <c r="M29" s="2915"/>
      <c r="N29" s="2915"/>
      <c r="O29" s="2969"/>
      <c r="P29" s="3469"/>
      <c r="Q29" s="1497" t="str">
        <f t="shared" ref="Q29" si="9">B29</f>
        <v>基础设施水平</v>
      </c>
      <c r="R29" s="710" t="s">
        <v>17</v>
      </c>
      <c r="S29" s="711">
        <f>F29</f>
        <v>100</v>
      </c>
      <c r="T29" s="710" t="s">
        <v>17</v>
      </c>
      <c r="U29" s="711">
        <f>H29</f>
        <v>100</v>
      </c>
      <c r="V29" s="710" t="s">
        <v>17</v>
      </c>
      <c r="W29" s="711">
        <f>J29</f>
        <v>100</v>
      </c>
      <c r="X29" s="712"/>
      <c r="Y29" s="3469"/>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4"/>
      <c r="M30" s="2915"/>
      <c r="N30" s="2915"/>
      <c r="O30" s="2969"/>
      <c r="P30" s="3469"/>
      <c r="Q30" s="1497"/>
      <c r="R30" s="710"/>
      <c r="S30" s="711"/>
      <c r="T30" s="710"/>
      <c r="U30" s="711"/>
      <c r="V30" s="710"/>
      <c r="W30" s="711"/>
      <c r="X30" s="712"/>
      <c r="Y30" s="3469"/>
      <c r="Z30" s="55"/>
      <c r="AA30" s="1507">
        <v>1</v>
      </c>
      <c r="AB30" s="1507">
        <v>1</v>
      </c>
      <c r="AC30" s="1507">
        <v>1</v>
      </c>
    </row>
    <row r="31" spans="1:29" ht="15">
      <c r="A31" s="387"/>
      <c r="B31" s="415" t="s">
        <v>2416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19"/>
      <c r="M31" s="2913"/>
      <c r="N31" s="2913"/>
      <c r="O31" s="2971"/>
      <c r="P31" s="3469"/>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69"/>
      <c r="Z31" s="1510" t="str">
        <f t="shared" ref="Z31:Z45" si="13">Q31</f>
        <v>临街状况</v>
      </c>
      <c r="AA31" s="1507">
        <f t="shared" si="3"/>
        <v>1</v>
      </c>
      <c r="AB31" s="1507">
        <f t="shared" si="4"/>
        <v>1</v>
      </c>
      <c r="AC31" s="1507">
        <f t="shared" si="5"/>
        <v>1</v>
      </c>
    </row>
    <row r="32" spans="1:29" ht="27">
      <c r="A32" s="387"/>
      <c r="B32" s="1265" t="s">
        <v>2451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19"/>
      <c r="M32" s="2913"/>
      <c r="N32" s="2913"/>
      <c r="O32" s="2971"/>
      <c r="P32" s="3469"/>
      <c r="Q32" s="1506" t="str">
        <f t="shared" si="8"/>
        <v>毗邻道路的类型与等级</v>
      </c>
      <c r="R32" s="714" t="s">
        <v>17</v>
      </c>
      <c r="S32" s="715">
        <f t="shared" si="10"/>
        <v>100</v>
      </c>
      <c r="T32" s="714" t="s">
        <v>17</v>
      </c>
      <c r="U32" s="715">
        <f t="shared" si="11"/>
        <v>100</v>
      </c>
      <c r="V32" s="714" t="s">
        <v>17</v>
      </c>
      <c r="W32" s="715">
        <f t="shared" si="12"/>
        <v>100</v>
      </c>
      <c r="X32" s="1509"/>
      <c r="Y32" s="3469"/>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19"/>
      <c r="M33" s="2913"/>
      <c r="N33" s="2913"/>
      <c r="O33" s="2971"/>
      <c r="P33" s="3469"/>
      <c r="Q33" s="1506"/>
      <c r="R33" s="714"/>
      <c r="S33" s="715"/>
      <c r="T33" s="714"/>
      <c r="U33" s="715"/>
      <c r="V33" s="714"/>
      <c r="W33" s="715"/>
      <c r="X33" s="1509"/>
      <c r="Y33" s="3469"/>
      <c r="Z33" s="1510"/>
      <c r="AA33" s="1507">
        <v>1</v>
      </c>
      <c r="AB33" s="1507">
        <v>1</v>
      </c>
      <c r="AC33" s="1507">
        <v>1</v>
      </c>
    </row>
    <row r="34" spans="1:29" ht="15">
      <c r="A34" s="387"/>
      <c r="B34" s="381" t="s">
        <v>2510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19"/>
      <c r="M34" s="2913"/>
      <c r="N34" s="2913"/>
      <c r="O34" s="2971"/>
      <c r="P34" s="3469"/>
      <c r="Q34" s="1506" t="str">
        <f t="shared" si="8"/>
        <v>土地级别</v>
      </c>
      <c r="R34" s="714" t="s">
        <v>17</v>
      </c>
      <c r="S34" s="715">
        <f t="shared" si="10"/>
        <v>100</v>
      </c>
      <c r="T34" s="714" t="s">
        <v>17</v>
      </c>
      <c r="U34" s="715">
        <f t="shared" si="11"/>
        <v>100</v>
      </c>
      <c r="V34" s="714" t="s">
        <v>17</v>
      </c>
      <c r="W34" s="715">
        <f t="shared" si="12"/>
        <v>100</v>
      </c>
      <c r="X34" s="1509"/>
      <c r="Y34" s="3469"/>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19"/>
      <c r="M35" s="2913"/>
      <c r="N35" s="2913"/>
      <c r="O35" s="2971"/>
      <c r="P35" s="3469"/>
      <c r="Q35" s="1506">
        <f t="shared" si="8"/>
        <v>111</v>
      </c>
      <c r="R35" s="714" t="s">
        <v>17</v>
      </c>
      <c r="S35" s="715">
        <f t="shared" si="10"/>
        <v>100</v>
      </c>
      <c r="T35" s="714" t="s">
        <v>17</v>
      </c>
      <c r="U35" s="715">
        <f t="shared" si="11"/>
        <v>100</v>
      </c>
      <c r="V35" s="714" t="s">
        <v>17</v>
      </c>
      <c r="W35" s="715">
        <f t="shared" si="12"/>
        <v>100</v>
      </c>
      <c r="X35" s="1509"/>
      <c r="Y35" s="3469"/>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19"/>
      <c r="M36" s="2913"/>
      <c r="N36" s="2913"/>
      <c r="O36" s="2971"/>
      <c r="P36" s="3492" t="s">
        <v>2325</v>
      </c>
      <c r="Q36" s="1506">
        <f t="shared" si="8"/>
        <v>111</v>
      </c>
      <c r="R36" s="714" t="s">
        <v>17</v>
      </c>
      <c r="S36" s="715">
        <f t="shared" si="10"/>
        <v>100</v>
      </c>
      <c r="T36" s="714" t="s">
        <v>17</v>
      </c>
      <c r="U36" s="715">
        <f t="shared" si="11"/>
        <v>100</v>
      </c>
      <c r="V36" s="714" t="s">
        <v>17</v>
      </c>
      <c r="W36" s="715">
        <f t="shared" si="12"/>
        <v>100</v>
      </c>
      <c r="X36" s="1509"/>
      <c r="Y36" s="3473" t="s">
        <v>2325</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8"/>
      <c r="M37" s="2920"/>
      <c r="N37" s="2920"/>
      <c r="O37" s="2972"/>
      <c r="P37" s="3473"/>
      <c r="Q37" s="1506">
        <f t="shared" si="8"/>
        <v>111</v>
      </c>
      <c r="R37" s="717" t="s">
        <v>17</v>
      </c>
      <c r="S37" s="718">
        <f t="shared" si="10"/>
        <v>100</v>
      </c>
      <c r="T37" s="717" t="s">
        <v>17</v>
      </c>
      <c r="U37" s="718">
        <f t="shared" si="11"/>
        <v>100</v>
      </c>
      <c r="V37" s="717" t="s">
        <v>17</v>
      </c>
      <c r="W37" s="718">
        <f t="shared" si="12"/>
        <v>100</v>
      </c>
      <c r="X37" s="719"/>
      <c r="Y37" s="3473"/>
      <c r="Z37" s="720">
        <f t="shared" si="13"/>
        <v>111</v>
      </c>
      <c r="AA37" s="1507">
        <f t="shared" si="3"/>
        <v>1</v>
      </c>
      <c r="AB37" s="1507">
        <f t="shared" si="4"/>
        <v>1</v>
      </c>
      <c r="AC37" s="1507">
        <f t="shared" si="5"/>
        <v>1</v>
      </c>
    </row>
    <row r="38" spans="1:29" ht="15">
      <c r="A38" s="431" t="s">
        <v>2323</v>
      </c>
      <c r="B38" s="415" t="s">
        <v>2511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19"/>
      <c r="M38" s="2913"/>
      <c r="N38" s="2913"/>
      <c r="O38" s="2971"/>
      <c r="P38" s="3473"/>
      <c r="Q38" s="1506" t="str">
        <f>B38</f>
        <v>宗地面积</v>
      </c>
      <c r="R38" s="714" t="s">
        <v>17</v>
      </c>
      <c r="S38" s="715" t="e">
        <f t="shared" si="10"/>
        <v>#N/A</v>
      </c>
      <c r="T38" s="714" t="s">
        <v>17</v>
      </c>
      <c r="U38" s="715" t="e">
        <f t="shared" si="11"/>
        <v>#N/A</v>
      </c>
      <c r="V38" s="714" t="s">
        <v>17</v>
      </c>
      <c r="W38" s="715" t="e">
        <f t="shared" si="12"/>
        <v>#N/A</v>
      </c>
      <c r="X38" s="1509"/>
      <c r="Y38" s="3473"/>
      <c r="Z38" s="1510" t="str">
        <f t="shared" si="13"/>
        <v>宗地面积</v>
      </c>
      <c r="AA38" s="1507" t="e">
        <f t="shared" si="3"/>
        <v>#N/A</v>
      </c>
      <c r="AB38" s="1507" t="e">
        <f t="shared" si="4"/>
        <v>#N/A</v>
      </c>
      <c r="AC38" s="1507" t="e">
        <f t="shared" si="5"/>
        <v>#N/A</v>
      </c>
    </row>
    <row r="39" spans="1:29" ht="15">
      <c r="A39" s="431"/>
      <c r="B39" s="381" t="s">
        <v>2512</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19"/>
      <c r="M39" s="2913"/>
      <c r="N39" s="2913"/>
      <c r="O39" s="2971"/>
      <c r="P39" s="3473"/>
      <c r="Q39" s="1506" t="str">
        <f t="shared" ref="Q39:Q45" si="14">B39</f>
        <v>宗地形状</v>
      </c>
      <c r="R39" s="714" t="s">
        <v>17</v>
      </c>
      <c r="S39" s="715">
        <f t="shared" si="10"/>
        <v>100</v>
      </c>
      <c r="T39" s="714" t="s">
        <v>17</v>
      </c>
      <c r="U39" s="715">
        <f t="shared" si="11"/>
        <v>100</v>
      </c>
      <c r="V39" s="714" t="s">
        <v>17</v>
      </c>
      <c r="W39" s="715">
        <f t="shared" si="12"/>
        <v>100</v>
      </c>
      <c r="X39" s="1509"/>
      <c r="Y39" s="3473"/>
      <c r="Z39" s="1510" t="str">
        <f t="shared" si="13"/>
        <v>宗地形状</v>
      </c>
      <c r="AA39" s="1507">
        <f t="shared" si="3"/>
        <v>1</v>
      </c>
      <c r="AB39" s="1507">
        <f t="shared" si="4"/>
        <v>1</v>
      </c>
      <c r="AC39" s="1507">
        <f t="shared" si="5"/>
        <v>1</v>
      </c>
    </row>
    <row r="40" spans="1:29" ht="15">
      <c r="A40" s="431"/>
      <c r="B40" s="381" t="s">
        <v>2513</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19"/>
      <c r="M40" s="2913"/>
      <c r="N40" s="2913"/>
      <c r="O40" s="2971"/>
      <c r="P40" s="3473"/>
      <c r="Q40" s="1506" t="str">
        <f t="shared" si="14"/>
        <v>临街宽度及深度</v>
      </c>
      <c r="R40" s="714" t="s">
        <v>17</v>
      </c>
      <c r="S40" s="715">
        <f t="shared" si="10"/>
        <v>100</v>
      </c>
      <c r="T40" s="714" t="s">
        <v>17</v>
      </c>
      <c r="U40" s="715">
        <f t="shared" si="11"/>
        <v>100</v>
      </c>
      <c r="V40" s="714" t="s">
        <v>17</v>
      </c>
      <c r="W40" s="715">
        <f t="shared" si="12"/>
        <v>100</v>
      </c>
      <c r="X40" s="1509"/>
      <c r="Y40" s="3473"/>
      <c r="Z40" s="1510" t="str">
        <f t="shared" si="13"/>
        <v>临街宽度及深度</v>
      </c>
      <c r="AA40" s="1507">
        <f t="shared" si="3"/>
        <v>1</v>
      </c>
      <c r="AB40" s="1507">
        <f t="shared" si="4"/>
        <v>1</v>
      </c>
      <c r="AC40" s="1507">
        <f t="shared" si="5"/>
        <v>1</v>
      </c>
    </row>
    <row r="41" spans="1:29" s="113" customFormat="1" ht="15">
      <c r="A41" s="432"/>
      <c r="B41" s="381" t="s">
        <v>2514</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4"/>
      <c r="M41" s="2915"/>
      <c r="N41" s="2915"/>
      <c r="O41" s="2969"/>
      <c r="P41" s="3473"/>
      <c r="Q41" s="1506" t="str">
        <f t="shared" si="14"/>
        <v>宗地开发程度</v>
      </c>
      <c r="R41" s="710" t="s">
        <v>17</v>
      </c>
      <c r="S41" s="711">
        <f t="shared" si="10"/>
        <v>100</v>
      </c>
      <c r="T41" s="710" t="s">
        <v>17</v>
      </c>
      <c r="U41" s="711">
        <f t="shared" si="11"/>
        <v>100</v>
      </c>
      <c r="V41" s="710" t="s">
        <v>17</v>
      </c>
      <c r="W41" s="711">
        <f t="shared" si="12"/>
        <v>100</v>
      </c>
      <c r="X41" s="712"/>
      <c r="Y41" s="3473"/>
      <c r="Z41" s="55" t="str">
        <f t="shared" si="13"/>
        <v>宗地开发程度</v>
      </c>
      <c r="AA41" s="713">
        <f t="shared" si="3"/>
        <v>1</v>
      </c>
      <c r="AB41" s="713">
        <f t="shared" si="4"/>
        <v>1</v>
      </c>
      <c r="AC41" s="713">
        <f t="shared" si="5"/>
        <v>1</v>
      </c>
    </row>
    <row r="42" spans="1:29" ht="15">
      <c r="A42" s="431"/>
      <c r="B42" s="381" t="s">
        <v>2515</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19"/>
      <c r="M42" s="2913"/>
      <c r="N42" s="2913"/>
      <c r="O42" s="2971"/>
      <c r="P42" s="3473" t="s">
        <v>2325</v>
      </c>
      <c r="Q42" s="1506" t="str">
        <f t="shared" si="14"/>
        <v>工程地质条件</v>
      </c>
      <c r="R42" s="714" t="s">
        <v>17</v>
      </c>
      <c r="S42" s="715">
        <f t="shared" si="10"/>
        <v>100</v>
      </c>
      <c r="T42" s="714" t="s">
        <v>17</v>
      </c>
      <c r="U42" s="715">
        <f t="shared" si="11"/>
        <v>100</v>
      </c>
      <c r="V42" s="714" t="s">
        <v>17</v>
      </c>
      <c r="W42" s="715">
        <f t="shared" si="12"/>
        <v>100</v>
      </c>
      <c r="X42" s="1509"/>
      <c r="Y42" s="3473" t="s">
        <v>2325</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19"/>
      <c r="M43" s="2913"/>
      <c r="N43" s="2913"/>
      <c r="O43" s="2971"/>
      <c r="P43" s="3473"/>
      <c r="Q43" s="1506">
        <f t="shared" si="14"/>
        <v>111</v>
      </c>
      <c r="R43" s="714" t="s">
        <v>17</v>
      </c>
      <c r="S43" s="715">
        <f t="shared" si="10"/>
        <v>100</v>
      </c>
      <c r="T43" s="714" t="s">
        <v>17</v>
      </c>
      <c r="U43" s="715">
        <f t="shared" si="11"/>
        <v>100</v>
      </c>
      <c r="V43" s="714" t="s">
        <v>17</v>
      </c>
      <c r="W43" s="715">
        <f t="shared" si="12"/>
        <v>100</v>
      </c>
      <c r="X43" s="1509"/>
      <c r="Y43" s="3473"/>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19"/>
      <c r="M44" s="2913"/>
      <c r="N44" s="2913"/>
      <c r="O44" s="2971"/>
      <c r="P44" s="3473"/>
      <c r="Q44" s="1506">
        <f t="shared" si="14"/>
        <v>111</v>
      </c>
      <c r="R44" s="714" t="s">
        <v>17</v>
      </c>
      <c r="S44" s="715">
        <f t="shared" si="10"/>
        <v>100</v>
      </c>
      <c r="T44" s="714" t="s">
        <v>17</v>
      </c>
      <c r="U44" s="715">
        <f t="shared" si="11"/>
        <v>100</v>
      </c>
      <c r="V44" s="714" t="s">
        <v>17</v>
      </c>
      <c r="W44" s="715">
        <f t="shared" si="12"/>
        <v>100</v>
      </c>
      <c r="X44" s="1509"/>
      <c r="Y44" s="3473"/>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18"/>
      <c r="M45" s="2920"/>
      <c r="N45" s="2920"/>
      <c r="O45" s="2972"/>
      <c r="P45" s="3473"/>
      <c r="Q45" s="1506">
        <f t="shared" si="14"/>
        <v>111</v>
      </c>
      <c r="R45" s="717" t="s">
        <v>17</v>
      </c>
      <c r="S45" s="718">
        <f t="shared" si="10"/>
        <v>100</v>
      </c>
      <c r="T45" s="717" t="s">
        <v>17</v>
      </c>
      <c r="U45" s="718">
        <f t="shared" si="11"/>
        <v>100</v>
      </c>
      <c r="V45" s="717" t="s">
        <v>17</v>
      </c>
      <c r="W45" s="718">
        <f t="shared" si="12"/>
        <v>100</v>
      </c>
      <c r="X45" s="719"/>
      <c r="Y45" s="3473"/>
      <c r="Z45" s="720">
        <f t="shared" si="13"/>
        <v>111</v>
      </c>
      <c r="AA45" s="1507">
        <f t="shared" si="3"/>
        <v>1</v>
      </c>
      <c r="AB45" s="1507">
        <f t="shared" si="4"/>
        <v>1</v>
      </c>
      <c r="AC45" s="1507">
        <f t="shared" si="5"/>
        <v>1</v>
      </c>
    </row>
    <row r="46" spans="1:29" ht="15">
      <c r="A46" s="438" t="s">
        <v>2480</v>
      </c>
      <c r="B46" s="2138" t="s">
        <v>2516</v>
      </c>
      <c r="C46" s="638" t="s">
        <v>1</v>
      </c>
      <c r="D46" s="440"/>
      <c r="E46" s="441"/>
      <c r="F46" s="442"/>
      <c r="G46" s="443"/>
      <c r="H46" s="444"/>
      <c r="I46" s="441"/>
      <c r="J46" s="444"/>
      <c r="K46" s="723"/>
      <c r="L46" s="2921"/>
      <c r="M46" s="2922"/>
      <c r="N46" s="2913"/>
      <c r="O46" s="2922"/>
      <c r="P46" s="3466" t="str">
        <f>A46</f>
        <v>成交单价</v>
      </c>
      <c r="Q46" s="3466"/>
      <c r="R46" s="3461">
        <f>E46</f>
        <v>0</v>
      </c>
      <c r="S46" s="3461"/>
      <c r="T46" s="3461">
        <f>G46</f>
        <v>0</v>
      </c>
      <c r="U46" s="3461"/>
      <c r="V46" s="3461">
        <f>I46</f>
        <v>0</v>
      </c>
      <c r="W46" s="3461"/>
      <c r="X46" s="699"/>
      <c r="Y46" s="721"/>
      <c r="Z46" s="699"/>
      <c r="AA46" s="699"/>
      <c r="AB46" s="699"/>
      <c r="AC46" s="699"/>
    </row>
    <row r="47" spans="1:29" ht="15.75" thickBot="1">
      <c r="A47" s="445" t="s">
        <v>2429</v>
      </c>
      <c r="B47" s="639"/>
      <c r="C47" s="448" t="e">
        <f>R48</f>
        <v>#DIV/0!</v>
      </c>
      <c r="D47" s="2508" t="s">
        <v>2820</v>
      </c>
      <c r="E47" s="448" t="e">
        <f>R47</f>
        <v>#DIV/0!</v>
      </c>
      <c r="F47" s="2509"/>
      <c r="G47" s="447" t="e">
        <f>T47</f>
        <v>#DIV/0!</v>
      </c>
      <c r="H47" s="2509"/>
      <c r="I47" s="448" t="e">
        <f>V47</f>
        <v>#DIV/0!</v>
      </c>
      <c r="J47" s="2509"/>
      <c r="K47" s="2511">
        <f>F47+H47+J47</f>
        <v>0</v>
      </c>
      <c r="L47" s="2921"/>
      <c r="M47" s="2922"/>
      <c r="N47" s="2922"/>
      <c r="O47" s="2922"/>
      <c r="P47" s="3466" t="str">
        <f>A47</f>
        <v>比较价值（元/平方米）</v>
      </c>
      <c r="Q47" s="3466"/>
      <c r="R47" s="3494" t="e">
        <f>ROUND(PRODUCT(R46,AA7:AA45),0)</f>
        <v>#DIV/0!</v>
      </c>
      <c r="S47" s="3494"/>
      <c r="T47" s="3494" t="e">
        <f>ROUND(PRODUCT(T46,AB7:AB45),0)</f>
        <v>#DIV/0!</v>
      </c>
      <c r="U47" s="3494"/>
      <c r="V47" s="3494" t="e">
        <f>ROUND(PRODUCT(V46,AC7:AC45),0)</f>
        <v>#DIV/0!</v>
      </c>
      <c r="W47" s="3494"/>
      <c r="X47" s="699"/>
      <c r="Y47" s="699"/>
      <c r="Z47" s="699"/>
      <c r="AA47" s="699"/>
      <c r="AB47" s="699"/>
      <c r="AC47" s="699"/>
    </row>
    <row r="48" spans="1:29" ht="15.75" thickBot="1">
      <c r="A48" s="449" t="s">
        <v>2517</v>
      </c>
      <c r="B48" s="450"/>
      <c r="C48" s="451" t="e">
        <f>R48</f>
        <v>#DIV/0!</v>
      </c>
      <c r="D48" s="451"/>
      <c r="E48" s="451"/>
      <c r="F48" s="451"/>
      <c r="G48" s="451"/>
      <c r="H48" s="451"/>
      <c r="I48" s="451"/>
      <c r="J48" s="451"/>
      <c r="K48" s="724"/>
      <c r="L48" s="2921"/>
      <c r="M48" s="2922"/>
      <c r="N48" s="2922"/>
      <c r="O48" s="2922"/>
      <c r="P48" s="3463" t="str">
        <f>A48</f>
        <v>估价对象XX用房的比较价值（楼面单价，元/平方米）</v>
      </c>
      <c r="Q48" s="3464"/>
      <c r="R48" s="3495" t="e">
        <f>ROUND(IF(D47="简单平均",AVERAGE(R47:W47),R47*F47+T47*H47+V47*J47),0)</f>
        <v>#DIV/0!</v>
      </c>
      <c r="S48" s="3495"/>
      <c r="T48" s="3495"/>
      <c r="U48" s="3495"/>
      <c r="V48" s="3495"/>
      <c r="W48" s="3495"/>
      <c r="X48" s="699"/>
      <c r="Y48" s="699"/>
      <c r="Z48" s="699"/>
      <c r="AA48" s="699"/>
      <c r="AB48" s="699"/>
      <c r="AC48" s="699"/>
    </row>
    <row r="49" spans="1:29">
      <c r="A49" s="2922"/>
      <c r="B49" s="2922"/>
      <c r="C49" s="2922"/>
      <c r="D49" s="2922"/>
      <c r="E49" s="2922"/>
      <c r="F49" s="2922"/>
      <c r="G49" s="2926"/>
      <c r="H49" s="2922"/>
      <c r="I49" s="2922"/>
      <c r="J49" s="2922"/>
      <c r="K49" s="2927"/>
      <c r="L49" s="2923"/>
      <c r="M49" s="2922"/>
      <c r="N49" s="2922"/>
      <c r="O49" s="2922"/>
      <c r="P49" s="2922"/>
      <c r="Q49" s="2922"/>
      <c r="R49" s="2922"/>
      <c r="S49" s="2922"/>
      <c r="T49" s="2922"/>
      <c r="U49" s="2922"/>
      <c r="V49" s="2922"/>
      <c r="W49" s="2922"/>
      <c r="X49" s="2922"/>
      <c r="Y49" s="2922"/>
      <c r="Z49" s="2922"/>
      <c r="AA49" s="2922"/>
      <c r="AB49" s="2922"/>
      <c r="AC49" s="2922"/>
    </row>
    <row r="50" spans="1:29">
      <c r="A50" s="2922"/>
      <c r="B50" s="2922"/>
      <c r="C50" s="2922"/>
      <c r="D50" s="2922"/>
      <c r="E50" s="2922"/>
      <c r="F50" s="2922"/>
      <c r="G50" s="2922"/>
      <c r="H50" s="2922"/>
      <c r="I50" s="2922"/>
      <c r="J50" s="2922"/>
      <c r="K50" s="2927"/>
      <c r="L50" s="2923"/>
      <c r="M50" s="2922"/>
      <c r="N50" s="2922"/>
      <c r="O50" s="2922"/>
      <c r="P50" s="2922"/>
      <c r="Q50" s="2922"/>
      <c r="R50" s="2922"/>
      <c r="S50" s="2922"/>
      <c r="T50" s="2922"/>
      <c r="U50" s="2922"/>
      <c r="V50" s="2922"/>
      <c r="W50" s="2922"/>
      <c r="X50" s="2922"/>
      <c r="Y50" s="2922"/>
      <c r="Z50" s="2922"/>
      <c r="AA50" s="2922"/>
      <c r="AB50" s="2922"/>
      <c r="AC50" s="2922"/>
    </row>
    <row r="51" spans="1:29" ht="13.5" customHeight="1">
      <c r="A51" s="2922"/>
      <c r="B51" s="2922"/>
      <c r="C51" s="454" t="s">
        <v>2431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7"/>
      <c r="L51" s="2923"/>
      <c r="M51" s="2922"/>
      <c r="N51" s="2922"/>
      <c r="O51" s="2922"/>
      <c r="P51" s="2922"/>
      <c r="Q51" s="2922"/>
      <c r="R51" s="2922"/>
      <c r="S51" s="2922"/>
      <c r="T51" s="2922"/>
      <c r="U51" s="2922"/>
      <c r="V51" s="2922"/>
      <c r="W51" s="2922"/>
      <c r="X51" s="2922"/>
      <c r="Y51" s="2922"/>
      <c r="Z51" s="2922"/>
      <c r="AA51" s="2922"/>
      <c r="AB51" s="2922"/>
      <c r="AC51" s="2922"/>
    </row>
    <row r="52" spans="1:29" ht="13.5" customHeight="1">
      <c r="A52" s="2922"/>
      <c r="B52" s="2922"/>
      <c r="C52" s="454" t="s">
        <v>2432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7"/>
      <c r="L52" s="2923"/>
      <c r="M52" s="2922"/>
      <c r="N52" s="2922"/>
      <c r="O52" s="2922"/>
      <c r="P52" s="2922"/>
      <c r="Q52" s="2922"/>
      <c r="R52" s="2922"/>
      <c r="S52" s="2922"/>
      <c r="T52" s="2922"/>
      <c r="U52" s="2922"/>
      <c r="V52" s="2922"/>
      <c r="W52" s="2922"/>
      <c r="X52" s="2922"/>
      <c r="Y52" s="2922"/>
      <c r="Z52" s="2922"/>
      <c r="AA52" s="2922"/>
      <c r="AB52" s="2922"/>
      <c r="AC52" s="2922"/>
    </row>
    <row r="53" spans="1:29" s="459" customFormat="1" ht="13.5" customHeight="1">
      <c r="A53" s="2925"/>
      <c r="B53" s="2925"/>
      <c r="C53" s="454" t="s">
        <v>2433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0"/>
      <c r="L53" s="2924"/>
      <c r="M53" s="2925"/>
      <c r="N53" s="2925"/>
      <c r="O53" s="2925"/>
      <c r="P53" s="2925"/>
      <c r="Q53" s="2925"/>
      <c r="R53" s="2925"/>
      <c r="S53" s="2925"/>
      <c r="T53" s="2925"/>
      <c r="U53" s="2925"/>
      <c r="V53" s="2925"/>
      <c r="W53" s="2925"/>
      <c r="X53" s="2925"/>
      <c r="Y53" s="2925"/>
      <c r="Z53" s="2925"/>
      <c r="AA53" s="2925"/>
      <c r="AB53" s="2925"/>
      <c r="AC53" s="2925"/>
    </row>
    <row r="54" spans="1:29" s="459" customFormat="1" ht="15" thickBot="1">
      <c r="A54" s="2925"/>
      <c r="B54" s="2928"/>
      <c r="C54" s="702"/>
      <c r="D54" s="700"/>
      <c r="E54" s="700"/>
      <c r="F54" s="700"/>
      <c r="G54" s="700"/>
      <c r="H54" s="700"/>
      <c r="I54" s="700"/>
      <c r="J54" s="700"/>
      <c r="K54" s="2930"/>
      <c r="L54" s="2924"/>
      <c r="M54" s="2925"/>
      <c r="N54" s="2925"/>
      <c r="O54" s="2925"/>
      <c r="P54" s="2925"/>
      <c r="Q54" s="2925"/>
      <c r="R54" s="2925"/>
      <c r="S54" s="2925"/>
      <c r="T54" s="2925"/>
      <c r="U54" s="2925"/>
      <c r="V54" s="2925"/>
      <c r="W54" s="2925"/>
      <c r="X54" s="2925"/>
      <c r="Y54" s="2925"/>
      <c r="Z54" s="2925"/>
      <c r="AA54" s="2925"/>
      <c r="AB54" s="2925"/>
      <c r="AC54" s="2925"/>
    </row>
    <row r="55" spans="1:29" ht="27" customHeight="1">
      <c r="A55" s="640" t="s">
        <v>2518</v>
      </c>
      <c r="B55" s="641" t="s">
        <v>2519</v>
      </c>
      <c r="C55" s="2139" t="s">
        <v>2520</v>
      </c>
      <c r="D55" s="2140" t="s">
        <v>2521</v>
      </c>
      <c r="E55" s="642" t="s">
        <v>2522</v>
      </c>
      <c r="F55" s="1021" t="s">
        <v>2523</v>
      </c>
      <c r="G55" s="3449" t="s">
        <v>2524</v>
      </c>
      <c r="H55" s="3496"/>
      <c r="I55" s="140" t="s">
        <v>2525</v>
      </c>
      <c r="J55" s="2141">
        <f>项目基本情况!F35</f>
        <v>0</v>
      </c>
      <c r="K55" s="2142" t="s">
        <v>2526</v>
      </c>
      <c r="L55" s="2923"/>
      <c r="M55" s="2922"/>
      <c r="N55" s="2922"/>
      <c r="O55" s="2922"/>
      <c r="P55" s="2922"/>
      <c r="Q55" s="2922"/>
      <c r="R55" s="2922"/>
      <c r="S55" s="2922"/>
      <c r="T55" s="2922"/>
      <c r="U55" s="2922"/>
      <c r="V55" s="2922"/>
      <c r="W55" s="2922"/>
      <c r="X55" s="2922"/>
      <c r="Y55" s="2922"/>
      <c r="Z55" s="2922"/>
      <c r="AA55" s="2922"/>
      <c r="AB55" s="2922"/>
      <c r="AC55" s="2922"/>
    </row>
    <row r="56" spans="1:29" s="648" customFormat="1">
      <c r="A56" s="644" t="s">
        <v>2527</v>
      </c>
      <c r="B56" s="645" t="e">
        <f>C48</f>
        <v>#DIV/0!</v>
      </c>
      <c r="C56" s="646">
        <v>1</v>
      </c>
      <c r="D56" s="1075">
        <v>1</v>
      </c>
      <c r="E56" s="646">
        <f>'数据-汇总表'!E8+'数据-汇总表'!E9</f>
        <v>8494.75</v>
      </c>
      <c r="F56" s="1017" t="e">
        <f t="shared" ref="F56:F65" si="15">ROUND(B56*E56/10000,0)</f>
        <v>#DIV/0!</v>
      </c>
      <c r="G56" s="3448"/>
      <c r="H56" s="3466"/>
      <c r="I56" s="1022">
        <v>1</v>
      </c>
      <c r="J56" s="1025">
        <v>1</v>
      </c>
      <c r="K56" s="2925"/>
      <c r="L56" s="2979"/>
      <c r="M56" s="2979"/>
      <c r="N56" s="2979"/>
      <c r="O56" s="2979"/>
      <c r="P56" s="2979"/>
      <c r="Q56" s="2979"/>
      <c r="R56" s="2979"/>
      <c r="S56" s="2979"/>
      <c r="T56" s="2979"/>
      <c r="U56" s="2979"/>
      <c r="V56" s="2979"/>
      <c r="W56" s="2979"/>
      <c r="X56" s="2979"/>
      <c r="Y56" s="2979"/>
      <c r="Z56" s="2979"/>
      <c r="AA56" s="2979"/>
      <c r="AB56" s="2979"/>
      <c r="AC56" s="2979"/>
    </row>
    <row r="57" spans="1:29" s="648" customFormat="1">
      <c r="A57" s="649" t="s">
        <v>2528</v>
      </c>
      <c r="B57" s="224" t="e">
        <f>ROUND($C$48*C57*D57,0)</f>
        <v>#DIV/0!</v>
      </c>
      <c r="C57" s="176">
        <f t="shared" ref="C57:C65" si="16">IF($C$55="北京市系数",I57,J57)</f>
        <v>0.8</v>
      </c>
      <c r="D57" s="1076">
        <v>0.25</v>
      </c>
      <c r="E57" s="650"/>
      <c r="F57" s="1017" t="e">
        <f t="shared" si="15"/>
        <v>#DIV/0!</v>
      </c>
      <c r="G57" s="3497" t="s">
        <v>2529</v>
      </c>
      <c r="H57" s="1018" t="str">
        <f>项目基本情况!B37</f>
        <v>二级</v>
      </c>
      <c r="I57" s="1022">
        <f>SUMIF(修正!A45:A56,H57,修正!B45:B56)</f>
        <v>0.8</v>
      </c>
      <c r="J57" s="1026"/>
      <c r="K57" s="2922"/>
      <c r="L57" s="2979"/>
      <c r="M57" s="2979"/>
      <c r="N57" s="2979"/>
      <c r="O57" s="2979"/>
      <c r="P57" s="2979"/>
      <c r="Q57" s="2979"/>
      <c r="R57" s="2979"/>
      <c r="S57" s="2979"/>
      <c r="T57" s="2979"/>
      <c r="U57" s="2979"/>
      <c r="V57" s="2979"/>
      <c r="W57" s="2979"/>
      <c r="X57" s="2979"/>
      <c r="Y57" s="2979"/>
      <c r="Z57" s="2979"/>
      <c r="AA57" s="2979"/>
      <c r="AB57" s="2979"/>
      <c r="AC57" s="2979"/>
    </row>
    <row r="58" spans="1:29" s="648" customFormat="1">
      <c r="A58" s="649" t="s">
        <v>2530</v>
      </c>
      <c r="B58" s="224" t="e">
        <f t="shared" ref="B58:B65" si="17">ROUND($C$48*C58*D58,0)</f>
        <v>#DIV/0!</v>
      </c>
      <c r="C58" s="176">
        <f t="shared" si="16"/>
        <v>0.5</v>
      </c>
      <c r="D58" s="1076">
        <v>0.25</v>
      </c>
      <c r="E58" s="650"/>
      <c r="F58" s="1017" t="e">
        <f t="shared" si="15"/>
        <v>#DIV/0!</v>
      </c>
      <c r="G58" s="3497"/>
      <c r="H58" s="1018" t="str">
        <f>项目基本情况!B37</f>
        <v>二级</v>
      </c>
      <c r="I58" s="1022">
        <f>SUMIF(修正!A45:A56,H58,修正!C45:C56)</f>
        <v>0.5</v>
      </c>
      <c r="J58" s="1026"/>
      <c r="K58" s="2925"/>
      <c r="L58" s="2979"/>
      <c r="M58" s="2979"/>
      <c r="N58" s="2979"/>
      <c r="O58" s="2979"/>
      <c r="P58" s="2979"/>
      <c r="Q58" s="2979"/>
      <c r="R58" s="2979"/>
      <c r="S58" s="2979"/>
      <c r="T58" s="2979"/>
      <c r="U58" s="2979"/>
      <c r="V58" s="2979"/>
      <c r="W58" s="2979"/>
      <c r="X58" s="2979"/>
      <c r="Y58" s="2979"/>
      <c r="Z58" s="2979"/>
      <c r="AA58" s="2979"/>
      <c r="AB58" s="2979"/>
      <c r="AC58" s="2979"/>
    </row>
    <row r="59" spans="1:29" s="648" customFormat="1">
      <c r="A59" s="649" t="s">
        <v>2531</v>
      </c>
      <c r="B59" s="224" t="e">
        <f t="shared" si="17"/>
        <v>#DIV/0!</v>
      </c>
      <c r="C59" s="176">
        <f t="shared" si="16"/>
        <v>0.36</v>
      </c>
      <c r="D59" s="1076">
        <v>0.25</v>
      </c>
      <c r="E59" s="650"/>
      <c r="F59" s="1017" t="e">
        <f t="shared" si="15"/>
        <v>#DIV/0!</v>
      </c>
      <c r="G59" s="3497"/>
      <c r="H59" s="1018" t="str">
        <f>项目基本情况!B37</f>
        <v>二级</v>
      </c>
      <c r="I59" s="1022">
        <f>SUMIF(修正!A45:A56,H59,修正!D45:D56)</f>
        <v>0.36</v>
      </c>
      <c r="J59" s="1026"/>
      <c r="K59" s="2922"/>
      <c r="L59" s="2979"/>
      <c r="M59" s="2979"/>
      <c r="N59" s="2979"/>
      <c r="O59" s="2979"/>
      <c r="P59" s="2979"/>
      <c r="Q59" s="2979"/>
      <c r="R59" s="2979"/>
      <c r="S59" s="2979"/>
      <c r="T59" s="2979"/>
      <c r="U59" s="2979"/>
      <c r="V59" s="2979"/>
      <c r="W59" s="2979"/>
      <c r="X59" s="2979"/>
      <c r="Y59" s="2979"/>
      <c r="Z59" s="2979"/>
      <c r="AA59" s="2979"/>
      <c r="AB59" s="2979"/>
      <c r="AC59" s="2979"/>
    </row>
    <row r="60" spans="1:29" s="648" customFormat="1">
      <c r="A60" s="649" t="s">
        <v>2532</v>
      </c>
      <c r="B60" s="224" t="e">
        <f t="shared" si="17"/>
        <v>#DIV/0!</v>
      </c>
      <c r="C60" s="176">
        <f t="shared" si="16"/>
        <v>0.3</v>
      </c>
      <c r="D60" s="1076">
        <v>0.25</v>
      </c>
      <c r="E60" s="650"/>
      <c r="F60" s="1017" t="e">
        <f t="shared" si="15"/>
        <v>#DIV/0!</v>
      </c>
      <c r="G60" s="3497"/>
      <c r="H60" s="1018" t="str">
        <f>项目基本情况!B37</f>
        <v>二级</v>
      </c>
      <c r="I60" s="1022">
        <f>SUMIF(修正!A45:A56,H60,修正!E45:E56)</f>
        <v>0.3</v>
      </c>
      <c r="J60" s="1026"/>
      <c r="K60" s="2925"/>
      <c r="L60" s="2979"/>
      <c r="M60" s="2979"/>
      <c r="N60" s="2979"/>
      <c r="O60" s="2979"/>
      <c r="P60" s="2979"/>
      <c r="Q60" s="2979"/>
      <c r="R60" s="2979"/>
      <c r="S60" s="2979"/>
      <c r="T60" s="2979"/>
      <c r="U60" s="2979"/>
      <c r="V60" s="2979"/>
      <c r="W60" s="2979"/>
      <c r="X60" s="2979"/>
      <c r="Y60" s="2979"/>
      <c r="Z60" s="2979"/>
      <c r="AA60" s="2979"/>
      <c r="AB60" s="2979"/>
      <c r="AC60" s="2979"/>
    </row>
    <row r="61" spans="1:29" s="648" customFormat="1">
      <c r="A61" s="649" t="s">
        <v>2533</v>
      </c>
      <c r="B61" s="224" t="e">
        <f t="shared" si="17"/>
        <v>#DIV/0!</v>
      </c>
      <c r="C61" s="176">
        <f t="shared" si="16"/>
        <v>0</v>
      </c>
      <c r="D61" s="1076">
        <v>0.25</v>
      </c>
      <c r="E61" s="223">
        <f>'数据-汇总表'!E11</f>
        <v>0</v>
      </c>
      <c r="F61" s="1017" t="e">
        <f t="shared" si="15"/>
        <v>#DIV/0!</v>
      </c>
      <c r="G61" s="2143" t="s">
        <v>2534</v>
      </c>
      <c r="H61" s="1018">
        <f>项目基本情况!C37</f>
        <v>0</v>
      </c>
      <c r="I61" s="1022">
        <f>SUMIF(修正!A45:A56,H61,修正!F45:F56)</f>
        <v>0</v>
      </c>
      <c r="J61" s="1026"/>
      <c r="K61" s="2922"/>
      <c r="L61" s="2979"/>
      <c r="M61" s="2979"/>
      <c r="N61" s="2979"/>
      <c r="O61" s="2979"/>
      <c r="P61" s="2979"/>
      <c r="Q61" s="2979"/>
      <c r="R61" s="2979"/>
      <c r="S61" s="2979"/>
      <c r="T61" s="2979"/>
      <c r="U61" s="2979"/>
      <c r="V61" s="2979"/>
      <c r="W61" s="2979"/>
      <c r="X61" s="2979"/>
      <c r="Y61" s="2979"/>
      <c r="Z61" s="2979"/>
      <c r="AA61" s="2979"/>
      <c r="AB61" s="2979"/>
      <c r="AC61" s="2979"/>
    </row>
    <row r="62" spans="1:29" s="648" customFormat="1">
      <c r="A62" s="649" t="s">
        <v>2535</v>
      </c>
      <c r="B62" s="224" t="e">
        <f t="shared" si="17"/>
        <v>#DIV/0!</v>
      </c>
      <c r="C62" s="176">
        <f t="shared" si="16"/>
        <v>0</v>
      </c>
      <c r="D62" s="1076">
        <v>0.25</v>
      </c>
      <c r="E62" s="223">
        <f>'数据-汇总表'!E12</f>
        <v>0</v>
      </c>
      <c r="F62" s="1017" t="e">
        <f t="shared" si="15"/>
        <v>#DIV/0!</v>
      </c>
      <c r="G62" s="1023" t="s">
        <v>2536</v>
      </c>
      <c r="H62" s="1018">
        <f>IF(G62="商业",项目基本情况!B37,IF(G62="办公",项目基本情况!C37,IF(G62="住宅",项目基本情况!D37,项目基本情况!E37)))</f>
        <v>0</v>
      </c>
      <c r="I62" s="1022">
        <f>SUMIF(修正!A45:A56,H62,修正!G45:G56)</f>
        <v>0</v>
      </c>
      <c r="J62" s="1026"/>
      <c r="K62" s="2925"/>
      <c r="L62" s="2979"/>
      <c r="M62" s="2979"/>
      <c r="N62" s="2979"/>
      <c r="O62" s="2979"/>
      <c r="P62" s="2979"/>
      <c r="Q62" s="2979"/>
      <c r="R62" s="2979"/>
      <c r="S62" s="2979"/>
      <c r="T62" s="2979"/>
      <c r="U62" s="2979"/>
      <c r="V62" s="2979"/>
      <c r="W62" s="2979"/>
      <c r="X62" s="2979"/>
      <c r="Y62" s="2979"/>
      <c r="Z62" s="2979"/>
      <c r="AA62" s="2979"/>
      <c r="AB62" s="2979"/>
      <c r="AC62" s="2979"/>
    </row>
    <row r="63" spans="1:29" s="648" customFormat="1">
      <c r="A63" s="649" t="s">
        <v>2537</v>
      </c>
      <c r="B63" s="224" t="e">
        <f t="shared" si="17"/>
        <v>#DIV/0!</v>
      </c>
      <c r="C63" s="176">
        <f t="shared" si="16"/>
        <v>0</v>
      </c>
      <c r="D63" s="1076">
        <v>0.25</v>
      </c>
      <c r="E63" s="223">
        <f>'数据-汇总表'!E13</f>
        <v>0</v>
      </c>
      <c r="F63" s="1017" t="e">
        <f t="shared" si="15"/>
        <v>#DIV/0!</v>
      </c>
      <c r="G63" s="1023" t="s">
        <v>2538</v>
      </c>
      <c r="H63" s="1018">
        <f>IF(G63="商业",项目基本情况!B37,IF(G63="办公",项目基本情况!C37,IF(G63="住宅",项目基本情况!D37,项目基本情况!E37)))</f>
        <v>0</v>
      </c>
      <c r="I63" s="1022">
        <f>SUMIF(修正!A45:A56,H63,修正!H45:H56)</f>
        <v>0</v>
      </c>
      <c r="J63" s="1026"/>
      <c r="K63" s="2922"/>
      <c r="L63" s="2979"/>
      <c r="M63" s="2979"/>
      <c r="N63" s="2979"/>
      <c r="O63" s="2979"/>
      <c r="P63" s="2979"/>
      <c r="Q63" s="2979"/>
      <c r="R63" s="2979"/>
      <c r="S63" s="2979"/>
      <c r="T63" s="2979"/>
      <c r="U63" s="2979"/>
      <c r="V63" s="2979"/>
      <c r="W63" s="2979"/>
      <c r="X63" s="2979"/>
      <c r="Y63" s="2979"/>
      <c r="Z63" s="2979"/>
      <c r="AA63" s="2979"/>
      <c r="AB63" s="2979"/>
      <c r="AC63" s="2979"/>
    </row>
    <row r="64" spans="1:29" s="648" customFormat="1">
      <c r="A64" s="649" t="s">
        <v>2539</v>
      </c>
      <c r="B64" s="224" t="e">
        <f t="shared" si="17"/>
        <v>#DIV/0!</v>
      </c>
      <c r="C64" s="176">
        <f t="shared" si="16"/>
        <v>0.25</v>
      </c>
      <c r="D64" s="1076">
        <v>0.25</v>
      </c>
      <c r="E64" s="223">
        <f>'数据-汇总表'!E14</f>
        <v>0</v>
      </c>
      <c r="F64" s="1017" t="e">
        <f t="shared" si="15"/>
        <v>#DIV/0!</v>
      </c>
      <c r="G64" s="2143" t="s">
        <v>2529</v>
      </c>
      <c r="H64" s="1018" t="str">
        <f>项目基本情况!B37</f>
        <v>二级</v>
      </c>
      <c r="I64" s="1022">
        <f>SUMIF(修正!A45:A56,H64,修正!H45:H56)</f>
        <v>0.25</v>
      </c>
      <c r="J64" s="1026"/>
      <c r="K64" s="2925"/>
      <c r="L64" s="2979"/>
      <c r="M64" s="2979"/>
      <c r="N64" s="2979"/>
      <c r="O64" s="2979"/>
      <c r="P64" s="2979"/>
      <c r="Q64" s="2979"/>
      <c r="R64" s="2979"/>
      <c r="S64" s="2979"/>
      <c r="T64" s="2979"/>
      <c r="U64" s="2979"/>
      <c r="V64" s="2979"/>
      <c r="W64" s="2979"/>
      <c r="X64" s="2979"/>
      <c r="Y64" s="2979"/>
      <c r="Z64" s="2979"/>
      <c r="AA64" s="2979"/>
      <c r="AB64" s="2979"/>
      <c r="AC64" s="2979"/>
    </row>
    <row r="65" spans="1:29" s="648" customFormat="1" ht="15" thickBot="1">
      <c r="A65" s="649" t="s">
        <v>2540</v>
      </c>
      <c r="B65" s="224" t="e">
        <f t="shared" si="17"/>
        <v>#DIV/0!</v>
      </c>
      <c r="C65" s="176">
        <f t="shared" si="16"/>
        <v>0</v>
      </c>
      <c r="D65" s="1076">
        <v>0.25</v>
      </c>
      <c r="E65" s="223">
        <f>'数据-汇总表'!E15</f>
        <v>0</v>
      </c>
      <c r="F65" s="1017" t="e">
        <f t="shared" si="15"/>
        <v>#DIV/0!</v>
      </c>
      <c r="G65" s="2144" t="s">
        <v>2534</v>
      </c>
      <c r="H65" s="1028">
        <f>项目基本情况!C37</f>
        <v>0</v>
      </c>
      <c r="I65" s="1024">
        <f>SUMIF(修正!A45:A56,H65,修正!H45:H56)</f>
        <v>0</v>
      </c>
      <c r="J65" s="1027"/>
      <c r="K65" s="2922"/>
      <c r="L65" s="2979"/>
      <c r="M65" s="2979"/>
      <c r="N65" s="2979"/>
      <c r="O65" s="2979"/>
      <c r="P65" s="2979"/>
      <c r="Q65" s="2979"/>
      <c r="R65" s="2979"/>
      <c r="S65" s="2979"/>
      <c r="T65" s="2979"/>
      <c r="U65" s="2979"/>
      <c r="V65" s="2979"/>
      <c r="W65" s="2979"/>
      <c r="X65" s="2979"/>
      <c r="Y65" s="2979"/>
      <c r="Z65" s="2979"/>
      <c r="AA65" s="2979"/>
      <c r="AB65" s="2979"/>
      <c r="AC65" s="2979"/>
    </row>
    <row r="66" spans="1:29" s="648" customFormat="1" ht="13.5" thickBot="1">
      <c r="A66" s="651" t="s">
        <v>2541</v>
      </c>
      <c r="B66" s="652" t="s">
        <v>28</v>
      </c>
      <c r="C66" s="652" t="s">
        <v>29</v>
      </c>
      <c r="D66" s="652" t="s">
        <v>997</v>
      </c>
      <c r="E66" s="652">
        <f>IF(B46="楼面地价",SUM(E56:E65),'数据-汇总表'!D3)</f>
        <v>8494.75</v>
      </c>
      <c r="F66" s="653" t="e">
        <f>IF(B46="楼面地价",SUM(F56:F65),ROUND(C48*E66/10000,0))</f>
        <v>#DIV/0!</v>
      </c>
      <c r="G66" s="726"/>
      <c r="H66" s="726"/>
      <c r="I66" s="726"/>
      <c r="J66" s="726"/>
      <c r="K66" s="2980"/>
      <c r="L66" s="2979"/>
      <c r="M66" s="2979"/>
      <c r="N66" s="2979"/>
      <c r="O66" s="2979"/>
      <c r="P66" s="2979"/>
      <c r="Q66" s="2979"/>
      <c r="R66" s="2979"/>
      <c r="S66" s="2979"/>
      <c r="T66" s="2979"/>
      <c r="U66" s="2979"/>
      <c r="V66" s="2979"/>
      <c r="W66" s="2979"/>
      <c r="X66" s="2979"/>
      <c r="Y66" s="2979"/>
      <c r="Z66" s="2979"/>
      <c r="AA66" s="2979"/>
      <c r="AB66" s="2979"/>
      <c r="AC66" s="2979"/>
    </row>
    <row r="67" spans="1:29">
      <c r="A67" s="699"/>
      <c r="B67" s="701"/>
      <c r="C67" s="702"/>
      <c r="D67" s="699"/>
      <c r="E67" s="699"/>
      <c r="F67" s="699"/>
      <c r="G67" s="699"/>
      <c r="H67" s="699"/>
      <c r="I67" s="699"/>
      <c r="J67" s="1058"/>
      <c r="K67" s="1019"/>
      <c r="L67" s="1020"/>
      <c r="M67" s="1058"/>
      <c r="N67" s="1058"/>
      <c r="O67" s="1058"/>
      <c r="P67" s="2922"/>
      <c r="Q67" s="2922"/>
      <c r="R67" s="2922"/>
      <c r="S67" s="2922"/>
      <c r="T67" s="2922"/>
      <c r="U67" s="2922"/>
      <c r="V67" s="2922"/>
      <c r="W67" s="2922"/>
      <c r="X67" s="2922"/>
      <c r="Y67" s="2922"/>
      <c r="Z67" s="2922"/>
      <c r="AA67" s="2922"/>
      <c r="AB67" s="2922"/>
      <c r="AC67" s="2922"/>
    </row>
    <row r="68" spans="1:29">
      <c r="A68" s="699"/>
      <c r="B68" s="701"/>
      <c r="C68" s="701" t="str">
        <f>YEAR(C7)&amp;"-"&amp;MONTH(C7)&amp;"-1"</f>
        <v>2022-3-1</v>
      </c>
      <c r="D68" s="701">
        <f>EDATE(C68,-3)</f>
        <v>44531</v>
      </c>
      <c r="E68" s="701">
        <f>EDATE(D68,-3)</f>
        <v>44440</v>
      </c>
      <c r="F68" s="701">
        <f t="shared" ref="F68:O68" si="18">EDATE(E68,-3)</f>
        <v>44348</v>
      </c>
      <c r="G68" s="701">
        <f t="shared" si="18"/>
        <v>44256</v>
      </c>
      <c r="H68" s="701">
        <f t="shared" si="18"/>
        <v>44166</v>
      </c>
      <c r="I68" s="701">
        <f t="shared" si="18"/>
        <v>44075</v>
      </c>
      <c r="J68" s="701">
        <f t="shared" si="18"/>
        <v>43983</v>
      </c>
      <c r="K68" s="701">
        <f t="shared" si="18"/>
        <v>43891</v>
      </c>
      <c r="L68" s="701">
        <f t="shared" si="18"/>
        <v>43800</v>
      </c>
      <c r="M68" s="701">
        <f t="shared" si="18"/>
        <v>43709</v>
      </c>
      <c r="N68" s="701">
        <f t="shared" si="18"/>
        <v>43617</v>
      </c>
      <c r="O68" s="701">
        <f t="shared" si="18"/>
        <v>43525</v>
      </c>
      <c r="P68" s="2922"/>
      <c r="Q68" s="2922"/>
      <c r="R68" s="2922"/>
      <c r="S68" s="2922"/>
      <c r="T68" s="2922"/>
      <c r="U68" s="2922"/>
      <c r="V68" s="2922"/>
      <c r="W68" s="2922"/>
      <c r="X68" s="2922"/>
      <c r="Y68" s="2922"/>
      <c r="Z68" s="2922"/>
      <c r="AA68" s="2922"/>
      <c r="AB68" s="2922"/>
      <c r="AC68" s="2922"/>
    </row>
    <row r="69" spans="1:29" ht="21.75" thickBot="1">
      <c r="A69" s="703" t="s">
        <v>2434</v>
      </c>
      <c r="B69" s="699"/>
      <c r="C69" s="704"/>
      <c r="D69" s="704"/>
      <c r="E69" s="704"/>
      <c r="F69" s="705"/>
      <c r="G69" s="705"/>
      <c r="H69" s="704"/>
      <c r="I69" s="704"/>
      <c r="J69" s="1071"/>
      <c r="K69" s="1072"/>
      <c r="L69" s="1073"/>
      <c r="M69" s="1071"/>
      <c r="N69" s="2966"/>
      <c r="O69" s="2966"/>
      <c r="P69" s="2966"/>
      <c r="Q69" s="2936"/>
      <c r="R69" s="2922"/>
      <c r="S69" s="2922"/>
      <c r="T69" s="2922"/>
      <c r="U69" s="2922"/>
      <c r="V69" s="2922"/>
      <c r="W69" s="2922"/>
      <c r="X69" s="2922"/>
      <c r="Y69" s="2922"/>
      <c r="Z69" s="2922"/>
      <c r="AA69" s="2922"/>
      <c r="AB69" s="2922"/>
      <c r="AC69" s="2922"/>
    </row>
    <row r="70" spans="1:29" s="465" customFormat="1" ht="15">
      <c r="A70" s="2145" t="s">
        <v>2542</v>
      </c>
      <c r="B70" s="1241"/>
      <c r="C70" s="1316" t="str">
        <f>YEAR(C68)&amp;"-"&amp;ROUNDUP(MONTH(C68)/3,0)</f>
        <v>2022-1</v>
      </c>
      <c r="D70" s="1316" t="str">
        <f>YEAR(D68)&amp;"-"&amp;ROUNDUP(MONTH(D68)/3,0)</f>
        <v>2021-4</v>
      </c>
      <c r="E70" s="1316" t="str">
        <f t="shared" ref="E70:O70" si="19">YEAR(E68)&amp;"-"&amp;ROUNDUP(MONTH(E68)/3,0)</f>
        <v>2021-3</v>
      </c>
      <c r="F70" s="1316" t="str">
        <f t="shared" si="19"/>
        <v>2021-2</v>
      </c>
      <c r="G70" s="1316" t="str">
        <f t="shared" si="19"/>
        <v>2021-1</v>
      </c>
      <c r="H70" s="1316" t="str">
        <f t="shared" si="19"/>
        <v>2020-4</v>
      </c>
      <c r="I70" s="1316" t="str">
        <f t="shared" si="19"/>
        <v>2020-3</v>
      </c>
      <c r="J70" s="1316" t="str">
        <f t="shared" si="19"/>
        <v>2020-2</v>
      </c>
      <c r="K70" s="1316" t="str">
        <f t="shared" si="19"/>
        <v>2020-1</v>
      </c>
      <c r="L70" s="1316" t="str">
        <f t="shared" si="19"/>
        <v>2019-4</v>
      </c>
      <c r="M70" s="1316" t="str">
        <f t="shared" si="19"/>
        <v>2019-3</v>
      </c>
      <c r="N70" s="1316" t="str">
        <f t="shared" si="19"/>
        <v>2019-2</v>
      </c>
      <c r="O70" s="1316" t="str">
        <f t="shared" si="19"/>
        <v>2019-1</v>
      </c>
      <c r="P70" s="2973"/>
      <c r="Q70" s="2938"/>
      <c r="R70" s="2938"/>
      <c r="S70" s="2938"/>
      <c r="T70" s="2938"/>
      <c r="U70" s="2938"/>
      <c r="V70" s="2938"/>
      <c r="W70" s="2938"/>
      <c r="X70" s="2938"/>
      <c r="Y70" s="2938"/>
      <c r="Z70" s="2938"/>
      <c r="AA70" s="2938"/>
      <c r="AB70" s="2938"/>
      <c r="AC70" s="2938"/>
    </row>
    <row r="71" spans="1:29" s="113" customFormat="1" ht="30" customHeight="1">
      <c r="A71" s="2146" t="s">
        <v>2543</v>
      </c>
      <c r="B71" s="294" t="str">
        <f>"北京市平均增长率"&amp;TEXT(SUMIF(基准地价修正!N21:N25,A71,基准地价修正!P21:P25),"0.00%")</f>
        <v>北京市平均增长率1.81%</v>
      </c>
      <c r="C71" s="560">
        <v>100</v>
      </c>
      <c r="D71" s="552"/>
      <c r="E71" s="552"/>
      <c r="F71" s="552"/>
      <c r="G71" s="552"/>
      <c r="H71" s="552"/>
      <c r="I71" s="552"/>
      <c r="J71" s="552"/>
      <c r="K71" s="552"/>
      <c r="L71" s="552"/>
      <c r="M71" s="1312"/>
      <c r="N71" s="552"/>
      <c r="O71" s="1313"/>
      <c r="P71" s="2936"/>
      <c r="Q71" s="2856"/>
      <c r="R71" s="2856"/>
      <c r="S71" s="2856"/>
      <c r="T71" s="2856"/>
      <c r="U71" s="2856"/>
      <c r="V71" s="2856"/>
      <c r="W71" s="2856"/>
      <c r="X71" s="2856"/>
      <c r="Y71" s="2856"/>
      <c r="Z71" s="2856"/>
      <c r="AA71" s="2856"/>
      <c r="AB71" s="2856"/>
      <c r="AC71" s="2856"/>
    </row>
    <row r="72" spans="1:29" s="113" customFormat="1" ht="15.75" thickBot="1">
      <c r="A72" s="472" t="s">
        <v>2345</v>
      </c>
      <c r="B72" s="473"/>
      <c r="C72" s="474"/>
      <c r="D72" s="475"/>
      <c r="E72" s="475"/>
      <c r="F72" s="475"/>
      <c r="G72" s="475"/>
      <c r="H72" s="475"/>
      <c r="I72" s="475"/>
      <c r="J72" s="475"/>
      <c r="K72" s="475"/>
      <c r="L72" s="475"/>
      <c r="M72" s="476"/>
      <c r="N72" s="475"/>
      <c r="O72" s="1074"/>
      <c r="P72" s="2936"/>
      <c r="Q72" s="2936"/>
      <c r="R72" s="2856"/>
      <c r="S72" s="2856"/>
      <c r="T72" s="2856"/>
      <c r="U72" s="2856"/>
      <c r="V72" s="2856"/>
      <c r="W72" s="2856"/>
      <c r="X72" s="2856"/>
      <c r="Y72" s="2856"/>
      <c r="Z72" s="2856"/>
      <c r="AA72" s="2856"/>
      <c r="AB72" s="2856"/>
      <c r="AC72" s="2856"/>
    </row>
    <row r="73" spans="1:29" s="113" customFormat="1" ht="15">
      <c r="A73" s="478" t="s">
        <v>2310</v>
      </c>
      <c r="B73" s="467"/>
      <c r="C73" s="479" t="s">
        <v>2412</v>
      </c>
      <c r="D73" s="480"/>
      <c r="E73" s="480"/>
      <c r="F73" s="480"/>
      <c r="G73" s="480"/>
      <c r="H73" s="480"/>
      <c r="I73" s="480"/>
      <c r="J73" s="480"/>
      <c r="K73" s="480"/>
      <c r="L73" s="481"/>
      <c r="M73" s="482"/>
      <c r="N73" s="2949"/>
      <c r="O73" s="2949"/>
      <c r="P73" s="2974"/>
      <c r="Q73" s="2936"/>
      <c r="R73" s="2856"/>
      <c r="S73" s="2856"/>
      <c r="T73" s="2856"/>
      <c r="U73" s="2856"/>
      <c r="V73" s="2856"/>
      <c r="W73" s="2856"/>
      <c r="X73" s="2856"/>
      <c r="Y73" s="2856"/>
      <c r="Z73" s="2856"/>
      <c r="AA73" s="2856"/>
      <c r="AB73" s="2856"/>
      <c r="AC73" s="2856"/>
    </row>
    <row r="74" spans="1:29" s="113" customFormat="1" ht="15.75" thickBot="1">
      <c r="A74" s="478"/>
      <c r="B74" s="467"/>
      <c r="C74" s="595">
        <v>100</v>
      </c>
      <c r="D74" s="469"/>
      <c r="E74" s="469"/>
      <c r="F74" s="469"/>
      <c r="G74" s="469"/>
      <c r="H74" s="469"/>
      <c r="I74" s="469"/>
      <c r="J74" s="469"/>
      <c r="K74" s="469"/>
      <c r="L74" s="469"/>
      <c r="M74" s="471"/>
      <c r="N74" s="2949"/>
      <c r="O74" s="2949"/>
      <c r="P74" s="2936"/>
      <c r="Q74" s="2936"/>
      <c r="R74" s="2856"/>
      <c r="S74" s="2856"/>
      <c r="T74" s="2856"/>
      <c r="U74" s="2856"/>
      <c r="V74" s="2856"/>
      <c r="W74" s="2856"/>
      <c r="X74" s="2856"/>
      <c r="Y74" s="2856"/>
      <c r="Z74" s="2856"/>
      <c r="AA74" s="2856"/>
      <c r="AB74" s="2856"/>
      <c r="AC74" s="2856"/>
    </row>
    <row r="75" spans="1:29">
      <c r="A75" s="484" t="s">
        <v>2348</v>
      </c>
      <c r="B75" s="485" t="s">
        <v>2314</v>
      </c>
      <c r="C75" s="487"/>
      <c r="D75" s="487"/>
      <c r="E75" s="487"/>
      <c r="F75" s="487"/>
      <c r="G75" s="487"/>
      <c r="H75" s="487"/>
      <c r="I75" s="487"/>
      <c r="J75" s="487"/>
      <c r="K75" s="488"/>
      <c r="L75" s="489"/>
      <c r="M75" s="490"/>
      <c r="N75" s="2950"/>
      <c r="O75" s="2950"/>
      <c r="P75" s="2975"/>
      <c r="Q75" s="2936"/>
      <c r="R75" s="2922"/>
      <c r="S75" s="2922"/>
      <c r="T75" s="2922"/>
      <c r="U75" s="2922"/>
      <c r="V75" s="2922"/>
      <c r="W75" s="2922"/>
      <c r="X75" s="2922"/>
      <c r="Y75" s="2922"/>
      <c r="Z75" s="2922"/>
      <c r="AA75" s="2922"/>
      <c r="AB75" s="2922"/>
      <c r="AC75" s="2922"/>
    </row>
    <row r="76" spans="1:29" ht="15.75" thickBot="1">
      <c r="A76" s="491"/>
      <c r="B76" s="492"/>
      <c r="C76" s="493"/>
      <c r="D76" s="493"/>
      <c r="E76" s="493"/>
      <c r="F76" s="493"/>
      <c r="G76" s="493"/>
      <c r="H76" s="493"/>
      <c r="I76" s="493"/>
      <c r="J76" s="493"/>
      <c r="K76" s="493"/>
      <c r="L76" s="493"/>
      <c r="M76" s="494"/>
      <c r="N76" s="2951"/>
      <c r="O76" s="2951"/>
      <c r="P76" s="2975"/>
      <c r="Q76" s="2936"/>
      <c r="R76" s="2922"/>
      <c r="S76" s="2922"/>
      <c r="T76" s="2922"/>
      <c r="U76" s="2922"/>
      <c r="V76" s="2922"/>
      <c r="W76" s="2922"/>
      <c r="X76" s="2922"/>
      <c r="Y76" s="2922"/>
      <c r="Z76" s="2922"/>
      <c r="AA76" s="2922"/>
      <c r="AB76" s="2922"/>
      <c r="AC76" s="2922"/>
    </row>
    <row r="77" spans="1:29" ht="27.75" thickTop="1">
      <c r="A77" s="491"/>
      <c r="B77" s="495" t="s">
        <v>2317</v>
      </c>
      <c r="C77" s="496"/>
      <c r="D77" s="496"/>
      <c r="E77" s="496"/>
      <c r="F77" s="496"/>
      <c r="G77" s="496"/>
      <c r="H77" s="496"/>
      <c r="I77" s="496"/>
      <c r="J77" s="496"/>
      <c r="K77" s="497"/>
      <c r="L77" s="498"/>
      <c r="M77" s="499"/>
      <c r="N77" s="2950"/>
      <c r="O77" s="2950"/>
      <c r="P77" s="2975"/>
      <c r="Q77" s="2936"/>
      <c r="R77" s="2922"/>
      <c r="S77" s="2922"/>
      <c r="T77" s="2922"/>
      <c r="U77" s="2922"/>
      <c r="V77" s="2922"/>
      <c r="W77" s="2922"/>
      <c r="X77" s="2922"/>
      <c r="Y77" s="2922"/>
      <c r="Z77" s="2922"/>
      <c r="AA77" s="2922"/>
      <c r="AB77" s="2922"/>
      <c r="AC77" s="2922"/>
    </row>
    <row r="78" spans="1:29" ht="15.75" thickBot="1">
      <c r="A78" s="491"/>
      <c r="B78" s="500"/>
      <c r="C78" s="501"/>
      <c r="D78" s="501"/>
      <c r="E78" s="501"/>
      <c r="F78" s="501"/>
      <c r="G78" s="501"/>
      <c r="H78" s="501"/>
      <c r="I78" s="501"/>
      <c r="J78" s="501"/>
      <c r="K78" s="501"/>
      <c r="L78" s="501"/>
      <c r="M78" s="502"/>
      <c r="N78" s="2951"/>
      <c r="O78" s="2951"/>
      <c r="P78" s="2975"/>
      <c r="Q78" s="2936"/>
      <c r="R78" s="2922"/>
      <c r="S78" s="2922"/>
      <c r="T78" s="2922"/>
      <c r="U78" s="2922"/>
      <c r="V78" s="2922"/>
      <c r="W78" s="2922"/>
      <c r="X78" s="2922"/>
      <c r="Y78" s="2922"/>
      <c r="Z78" s="2922"/>
      <c r="AA78" s="2922"/>
      <c r="AB78" s="2922"/>
      <c r="AC78" s="2922"/>
    </row>
    <row r="79" spans="1:29" ht="15.75" thickTop="1">
      <c r="A79" s="491"/>
      <c r="B79" s="503" t="s">
        <v>2318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1"/>
      <c r="O79" s="2951"/>
      <c r="P79" s="2975"/>
      <c r="Q79" s="2936"/>
      <c r="R79" s="2922"/>
      <c r="S79" s="2922"/>
      <c r="T79" s="2922"/>
      <c r="U79" s="2922"/>
      <c r="V79" s="2922"/>
      <c r="W79" s="2922"/>
      <c r="X79" s="2922"/>
      <c r="Y79" s="2922"/>
      <c r="Z79" s="2922"/>
      <c r="AA79" s="2922"/>
      <c r="AB79" s="2922"/>
      <c r="AC79" s="2922"/>
    </row>
    <row r="80" spans="1:29" ht="15">
      <c r="A80" s="491"/>
      <c r="B80" s="505"/>
      <c r="C80" s="506"/>
      <c r="D80" s="506"/>
      <c r="E80" s="506"/>
      <c r="F80" s="506"/>
      <c r="G80" s="506"/>
      <c r="H80" s="506"/>
      <c r="I80" s="506"/>
      <c r="J80" s="506"/>
      <c r="K80" s="507"/>
      <c r="L80" s="508"/>
      <c r="M80" s="509"/>
      <c r="N80" s="2950"/>
      <c r="O80" s="2950"/>
      <c r="P80" s="2975"/>
      <c r="Q80" s="2936"/>
      <c r="R80" s="2922"/>
      <c r="S80" s="2922"/>
      <c r="T80" s="2922"/>
      <c r="U80" s="2922"/>
      <c r="V80" s="2922"/>
      <c r="W80" s="2922"/>
      <c r="X80" s="2922"/>
      <c r="Y80" s="2922"/>
      <c r="Z80" s="2922"/>
      <c r="AA80" s="2922"/>
      <c r="AB80" s="2922"/>
      <c r="AC80" s="2922"/>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1"/>
      <c r="O81" s="2951"/>
      <c r="P81" s="2975"/>
      <c r="Q81" s="2936"/>
      <c r="R81" s="2922"/>
      <c r="S81" s="2922"/>
      <c r="T81" s="2922"/>
      <c r="U81" s="2922"/>
      <c r="V81" s="2922"/>
      <c r="W81" s="2922"/>
      <c r="X81" s="2922"/>
      <c r="Y81" s="2922"/>
      <c r="Z81" s="2922"/>
      <c r="AA81" s="2922"/>
      <c r="AB81" s="2922"/>
      <c r="AC81" s="2922"/>
    </row>
    <row r="82" spans="1:29" s="430" customFormat="1" ht="15.75" thickTop="1">
      <c r="A82" s="510"/>
      <c r="B82" s="495" t="str">
        <f>B12</f>
        <v>配建</v>
      </c>
      <c r="C82" s="511"/>
      <c r="D82" s="511"/>
      <c r="E82" s="511"/>
      <c r="F82" s="511"/>
      <c r="G82" s="511"/>
      <c r="H82" s="512"/>
      <c r="I82" s="512"/>
      <c r="J82" s="512"/>
      <c r="K82" s="512"/>
      <c r="L82" s="513"/>
      <c r="M82" s="514"/>
      <c r="N82" s="2952"/>
      <c r="O82" s="2952"/>
      <c r="P82" s="2976"/>
      <c r="Q82" s="2943"/>
      <c r="R82" s="2944"/>
      <c r="S82" s="2944"/>
      <c r="T82" s="2944"/>
      <c r="U82" s="2944"/>
      <c r="V82" s="2944"/>
      <c r="W82" s="2944"/>
      <c r="X82" s="2944"/>
      <c r="Y82" s="2944"/>
      <c r="Z82" s="2944"/>
      <c r="AA82" s="2944"/>
      <c r="AB82" s="2944"/>
      <c r="AC82" s="2944"/>
    </row>
    <row r="83" spans="1:29" s="430" customFormat="1" ht="15.75" thickBot="1">
      <c r="A83" s="510"/>
      <c r="B83" s="500"/>
      <c r="C83" s="517"/>
      <c r="D83" s="493"/>
      <c r="E83" s="493"/>
      <c r="F83" s="493"/>
      <c r="G83" s="493"/>
      <c r="H83" s="493"/>
      <c r="I83" s="493"/>
      <c r="J83" s="493"/>
      <c r="K83" s="493"/>
      <c r="L83" s="493"/>
      <c r="M83" s="494"/>
      <c r="N83" s="2951"/>
      <c r="O83" s="2951"/>
      <c r="P83" s="2976"/>
      <c r="Q83" s="2943"/>
      <c r="R83" s="2944"/>
      <c r="S83" s="2944"/>
      <c r="T83" s="2944"/>
      <c r="U83" s="2944"/>
      <c r="V83" s="2944"/>
      <c r="W83" s="2944"/>
      <c r="X83" s="2944"/>
      <c r="Y83" s="2944"/>
      <c r="Z83" s="2944"/>
      <c r="AA83" s="2944"/>
      <c r="AB83" s="2944"/>
      <c r="AC83" s="2944"/>
    </row>
    <row r="84" spans="1:29" s="430" customFormat="1" ht="15.75" thickTop="1">
      <c r="A84" s="510"/>
      <c r="B84" s="495">
        <f>B13</f>
        <v>111</v>
      </c>
      <c r="C84" s="511"/>
      <c r="D84" s="511"/>
      <c r="E84" s="511"/>
      <c r="F84" s="511"/>
      <c r="G84" s="511"/>
      <c r="H84" s="512"/>
      <c r="I84" s="512"/>
      <c r="J84" s="512"/>
      <c r="K84" s="512"/>
      <c r="L84" s="513"/>
      <c r="M84" s="514"/>
      <c r="N84" s="2952"/>
      <c r="O84" s="2952"/>
      <c r="P84" s="2920"/>
      <c r="Q84" s="2946"/>
      <c r="R84" s="2944"/>
      <c r="S84" s="2944"/>
      <c r="T84" s="2944"/>
      <c r="U84" s="2944"/>
      <c r="V84" s="2944"/>
      <c r="W84" s="2944"/>
      <c r="X84" s="2944"/>
      <c r="Y84" s="2944"/>
      <c r="Z84" s="2944"/>
      <c r="AA84" s="2944"/>
      <c r="AB84" s="2944"/>
      <c r="AC84" s="2944"/>
    </row>
    <row r="85" spans="1:29" s="430" customFormat="1" ht="15.75" thickBot="1">
      <c r="A85" s="510"/>
      <c r="B85" s="500"/>
      <c r="C85" s="517"/>
      <c r="D85" s="517"/>
      <c r="E85" s="517"/>
      <c r="F85" s="517"/>
      <c r="G85" s="517"/>
      <c r="H85" s="519"/>
      <c r="I85" s="519"/>
      <c r="J85" s="519"/>
      <c r="K85" s="519"/>
      <c r="L85" s="519"/>
      <c r="M85" s="520"/>
      <c r="N85" s="2952"/>
      <c r="O85" s="2952"/>
      <c r="P85" s="2976"/>
      <c r="Q85" s="2943"/>
      <c r="R85" s="2944"/>
      <c r="S85" s="2944"/>
      <c r="T85" s="2944"/>
      <c r="U85" s="2944"/>
      <c r="V85" s="2944"/>
      <c r="W85" s="2944"/>
      <c r="X85" s="2944"/>
      <c r="Y85" s="2944"/>
      <c r="Z85" s="2944"/>
      <c r="AA85" s="2944"/>
      <c r="AB85" s="2944"/>
      <c r="AC85" s="2944"/>
    </row>
    <row r="86" spans="1:29" s="430" customFormat="1" ht="15.75" thickTop="1">
      <c r="A86" s="510"/>
      <c r="B86" s="503">
        <f>B14</f>
        <v>111</v>
      </c>
      <c r="C86" s="480"/>
      <c r="D86" s="480"/>
      <c r="E86" s="480"/>
      <c r="F86" s="480"/>
      <c r="G86" s="480"/>
      <c r="H86" s="521"/>
      <c r="I86" s="521"/>
      <c r="J86" s="521"/>
      <c r="K86" s="521"/>
      <c r="L86" s="522"/>
      <c r="M86" s="523"/>
      <c r="N86" s="2952"/>
      <c r="O86" s="2952"/>
      <c r="P86" s="2981"/>
      <c r="Q86" s="2943"/>
      <c r="R86" s="2944"/>
      <c r="S86" s="2944"/>
      <c r="T86" s="2944"/>
      <c r="U86" s="2944"/>
      <c r="V86" s="2944"/>
      <c r="W86" s="2944"/>
      <c r="X86" s="2944"/>
      <c r="Y86" s="2944"/>
      <c r="Z86" s="2944"/>
      <c r="AA86" s="2944"/>
      <c r="AB86" s="2944"/>
      <c r="AC86" s="2944"/>
    </row>
    <row r="87" spans="1:29" s="430" customFormat="1" ht="15.75" thickBot="1">
      <c r="A87" s="525"/>
      <c r="B87" s="526"/>
      <c r="C87" s="527"/>
      <c r="D87" s="527"/>
      <c r="E87" s="527"/>
      <c r="F87" s="527"/>
      <c r="G87" s="527"/>
      <c r="H87" s="528"/>
      <c r="I87" s="528"/>
      <c r="J87" s="528"/>
      <c r="K87" s="528"/>
      <c r="L87" s="528"/>
      <c r="M87" s="529"/>
      <c r="N87" s="2952"/>
      <c r="O87" s="2952"/>
      <c r="P87" s="2976"/>
      <c r="Q87" s="2943"/>
      <c r="R87" s="2944"/>
      <c r="S87" s="2944"/>
      <c r="T87" s="2944"/>
      <c r="U87" s="2944"/>
      <c r="V87" s="2944"/>
      <c r="W87" s="2944"/>
      <c r="X87" s="2944"/>
      <c r="Y87" s="2944"/>
      <c r="Z87" s="2944"/>
      <c r="AA87" s="2944"/>
      <c r="AB87" s="2944"/>
      <c r="AC87" s="2944"/>
    </row>
    <row r="88" spans="1:29">
      <c r="A88" s="484" t="s">
        <v>2319</v>
      </c>
      <c r="B88" s="485" t="s">
        <v>2356</v>
      </c>
      <c r="C88" s="530" t="s">
        <v>2357</v>
      </c>
      <c r="D88" s="530" t="s">
        <v>2358</v>
      </c>
      <c r="E88" s="530" t="s">
        <v>2359</v>
      </c>
      <c r="F88" s="530" t="s">
        <v>2360</v>
      </c>
      <c r="G88" s="530" t="s">
        <v>2361</v>
      </c>
      <c r="H88" s="486"/>
      <c r="I88" s="486"/>
      <c r="J88" s="486"/>
      <c r="K88" s="531"/>
      <c r="L88" s="532"/>
      <c r="M88" s="533"/>
      <c r="N88" s="2950"/>
      <c r="O88" s="2950"/>
      <c r="P88" s="2977"/>
      <c r="Q88" s="2936"/>
      <c r="R88" s="2922"/>
      <c r="S88" s="2922"/>
      <c r="T88" s="2922"/>
      <c r="U88" s="2922"/>
      <c r="V88" s="2922"/>
      <c r="W88" s="2922"/>
      <c r="X88" s="2922"/>
      <c r="Y88" s="2922"/>
      <c r="Z88" s="2922"/>
      <c r="AA88" s="2922"/>
      <c r="AB88" s="2922"/>
      <c r="AC88" s="2922"/>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1"/>
      <c r="O89" s="2951"/>
      <c r="P89" s="2975"/>
      <c r="Q89" s="2936"/>
      <c r="R89" s="2922"/>
      <c r="S89" s="2922"/>
      <c r="T89" s="2922"/>
      <c r="U89" s="2922"/>
      <c r="V89" s="2922"/>
      <c r="W89" s="2922"/>
      <c r="X89" s="2922"/>
      <c r="Y89" s="2922"/>
      <c r="Z89" s="2922"/>
      <c r="AA89" s="2922"/>
      <c r="AB89" s="2922"/>
      <c r="AC89" s="2922"/>
    </row>
    <row r="90" spans="1:29" ht="15.75" thickTop="1">
      <c r="A90" s="491"/>
      <c r="B90" s="495" t="s">
        <v>2544</v>
      </c>
      <c r="C90" s="535" t="s">
        <v>2357</v>
      </c>
      <c r="D90" s="535" t="s">
        <v>2358</v>
      </c>
      <c r="E90" s="535" t="s">
        <v>2359</v>
      </c>
      <c r="F90" s="535" t="s">
        <v>2360</v>
      </c>
      <c r="G90" s="535" t="s">
        <v>2361</v>
      </c>
      <c r="H90" s="496"/>
      <c r="I90" s="496"/>
      <c r="J90" s="496"/>
      <c r="K90" s="497"/>
      <c r="L90" s="498"/>
      <c r="M90" s="499"/>
      <c r="N90" s="2950"/>
      <c r="O90" s="2950"/>
      <c r="P90" s="2975"/>
      <c r="Q90" s="2936"/>
      <c r="R90" s="2922"/>
      <c r="S90" s="2922"/>
      <c r="T90" s="2922"/>
      <c r="U90" s="2922"/>
      <c r="V90" s="2922"/>
      <c r="W90" s="2922"/>
      <c r="X90" s="2922"/>
      <c r="Y90" s="2922"/>
      <c r="Z90" s="2922"/>
      <c r="AA90" s="2922"/>
      <c r="AB90" s="2922"/>
      <c r="AC90" s="2922"/>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1"/>
      <c r="O91" s="2951"/>
      <c r="P91" s="2975"/>
      <c r="Q91" s="2936"/>
      <c r="R91" s="2922"/>
      <c r="S91" s="2922"/>
      <c r="T91" s="2922"/>
      <c r="U91" s="2922"/>
      <c r="V91" s="2922"/>
      <c r="W91" s="2922"/>
      <c r="X91" s="2922"/>
      <c r="Y91" s="2922"/>
      <c r="Z91" s="2922"/>
      <c r="AA91" s="2922"/>
      <c r="AB91" s="2922"/>
      <c r="AC91" s="2922"/>
    </row>
    <row r="92" spans="1:29" ht="15.75" thickTop="1">
      <c r="A92" s="491"/>
      <c r="B92" s="495" t="s">
        <v>2457</v>
      </c>
      <c r="C92" s="535" t="s">
        <v>2357</v>
      </c>
      <c r="D92" s="535" t="s">
        <v>2358</v>
      </c>
      <c r="E92" s="535" t="s">
        <v>2359</v>
      </c>
      <c r="F92" s="535" t="s">
        <v>2360</v>
      </c>
      <c r="G92" s="535" t="s">
        <v>2361</v>
      </c>
      <c r="H92" s="496"/>
      <c r="I92" s="496"/>
      <c r="J92" s="496"/>
      <c r="K92" s="497"/>
      <c r="L92" s="498"/>
      <c r="M92" s="499"/>
      <c r="N92" s="2950"/>
      <c r="O92" s="2950"/>
      <c r="P92" s="2975"/>
      <c r="Q92" s="2936"/>
      <c r="R92" s="2922"/>
      <c r="S92" s="2922"/>
      <c r="T92" s="2922"/>
      <c r="U92" s="2922"/>
      <c r="V92" s="2922"/>
      <c r="W92" s="2922"/>
      <c r="X92" s="2922"/>
      <c r="Y92" s="2922"/>
      <c r="Z92" s="2922"/>
      <c r="AA92" s="2922"/>
      <c r="AB92" s="2922"/>
      <c r="AC92" s="2922"/>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1"/>
      <c r="O93" s="2951"/>
      <c r="P93" s="2975"/>
      <c r="Q93" s="2936"/>
      <c r="R93" s="2922"/>
      <c r="S93" s="2922"/>
      <c r="T93" s="2922"/>
      <c r="U93" s="2922"/>
      <c r="V93" s="2922"/>
      <c r="W93" s="2922"/>
      <c r="X93" s="2922"/>
      <c r="Y93" s="2922"/>
      <c r="Z93" s="2922"/>
      <c r="AA93" s="2922"/>
      <c r="AB93" s="2922"/>
      <c r="AC93" s="2922"/>
    </row>
    <row r="94" spans="1:29" ht="15.75" thickTop="1">
      <c r="A94" s="491"/>
      <c r="B94" s="495" t="s">
        <v>2362</v>
      </c>
      <c r="C94" s="535" t="s">
        <v>2357</v>
      </c>
      <c r="D94" s="535" t="s">
        <v>2358</v>
      </c>
      <c r="E94" s="535" t="s">
        <v>2359</v>
      </c>
      <c r="F94" s="535" t="s">
        <v>2360</v>
      </c>
      <c r="G94" s="535" t="s">
        <v>2361</v>
      </c>
      <c r="H94" s="496"/>
      <c r="I94" s="496"/>
      <c r="J94" s="496"/>
      <c r="K94" s="497"/>
      <c r="L94" s="498"/>
      <c r="M94" s="499"/>
      <c r="N94" s="2950"/>
      <c r="O94" s="2950"/>
      <c r="P94" s="2975"/>
      <c r="Q94" s="2936"/>
      <c r="R94" s="2922"/>
      <c r="S94" s="2922"/>
      <c r="T94" s="2922"/>
      <c r="U94" s="2922"/>
      <c r="V94" s="2922"/>
      <c r="W94" s="2922"/>
      <c r="X94" s="2922"/>
      <c r="Y94" s="2922"/>
      <c r="Z94" s="2922"/>
      <c r="AA94" s="2922"/>
      <c r="AB94" s="2922"/>
      <c r="AC94" s="2922"/>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1"/>
      <c r="O95" s="2951"/>
      <c r="P95" s="2975"/>
      <c r="Q95" s="2936"/>
      <c r="R95" s="2922"/>
      <c r="S95" s="2922"/>
      <c r="T95" s="2922"/>
      <c r="U95" s="2922"/>
      <c r="V95" s="2922"/>
      <c r="W95" s="2922"/>
      <c r="X95" s="2922"/>
      <c r="Y95" s="2922"/>
      <c r="Z95" s="2922"/>
      <c r="AA95" s="2922"/>
      <c r="AB95" s="2922"/>
      <c r="AC95" s="2922"/>
    </row>
    <row r="96" spans="1:29" s="113" customFormat="1" ht="15.75" thickTop="1">
      <c r="A96" s="536"/>
      <c r="B96" s="495" t="s">
        <v>2545</v>
      </c>
      <c r="C96" s="535" t="s">
        <v>2357</v>
      </c>
      <c r="D96" s="535" t="s">
        <v>2358</v>
      </c>
      <c r="E96" s="535" t="s">
        <v>2359</v>
      </c>
      <c r="F96" s="535" t="s">
        <v>2360</v>
      </c>
      <c r="G96" s="535" t="s">
        <v>2361</v>
      </c>
      <c r="H96" s="535"/>
      <c r="I96" s="535"/>
      <c r="J96" s="535"/>
      <c r="K96" s="535"/>
      <c r="L96" s="654"/>
      <c r="M96" s="578"/>
      <c r="N96" s="2949"/>
      <c r="O96" s="2949"/>
      <c r="P96" s="2975"/>
      <c r="Q96" s="2936"/>
      <c r="R96" s="2856"/>
      <c r="S96" s="2856"/>
      <c r="T96" s="2856"/>
      <c r="U96" s="2856"/>
      <c r="V96" s="2856"/>
      <c r="W96" s="2856"/>
      <c r="X96" s="2856"/>
      <c r="Y96" s="2856"/>
      <c r="Z96" s="2856"/>
      <c r="AA96" s="2856"/>
      <c r="AB96" s="2856"/>
      <c r="AC96" s="2856"/>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1"/>
      <c r="O97" s="2951"/>
      <c r="P97" s="2975"/>
      <c r="Q97" s="2936"/>
      <c r="R97" s="2856"/>
      <c r="S97" s="2856"/>
      <c r="T97" s="2856"/>
      <c r="U97" s="2856"/>
      <c r="V97" s="2856"/>
      <c r="W97" s="2856"/>
      <c r="X97" s="2856"/>
      <c r="Y97" s="2856"/>
      <c r="Z97" s="2856"/>
      <c r="AA97" s="2856"/>
      <c r="AB97" s="2856"/>
      <c r="AC97" s="2856"/>
    </row>
    <row r="98" spans="1:29" s="113" customFormat="1" ht="27.75" thickTop="1">
      <c r="A98" s="536"/>
      <c r="B98" s="495" t="s">
        <v>2546</v>
      </c>
      <c r="C98" s="530" t="s">
        <v>2357</v>
      </c>
      <c r="D98" s="530" t="s">
        <v>2358</v>
      </c>
      <c r="E98" s="530" t="s">
        <v>2359</v>
      </c>
      <c r="F98" s="530" t="s">
        <v>2360</v>
      </c>
      <c r="G98" s="530" t="s">
        <v>2361</v>
      </c>
      <c r="H98" s="535"/>
      <c r="I98" s="535"/>
      <c r="J98" s="535"/>
      <c r="K98" s="535"/>
      <c r="L98" s="535"/>
      <c r="M98" s="578"/>
      <c r="N98" s="2949"/>
      <c r="O98" s="2949"/>
      <c r="P98" s="2975"/>
      <c r="Q98" s="2936"/>
      <c r="R98" s="2856"/>
      <c r="S98" s="2856"/>
      <c r="T98" s="2856"/>
      <c r="U98" s="2856"/>
      <c r="V98" s="2856"/>
      <c r="W98" s="2856"/>
      <c r="X98" s="2856"/>
      <c r="Y98" s="2856"/>
      <c r="Z98" s="2856"/>
      <c r="AA98" s="2856"/>
      <c r="AB98" s="2856"/>
      <c r="AC98" s="2856"/>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1"/>
      <c r="O99" s="2951"/>
      <c r="P99" s="2975"/>
      <c r="Q99" s="2936"/>
      <c r="R99" s="2856"/>
      <c r="S99" s="2856"/>
      <c r="T99" s="2856"/>
      <c r="U99" s="2856"/>
      <c r="V99" s="2856"/>
      <c r="W99" s="2856"/>
      <c r="X99" s="2856"/>
      <c r="Y99" s="2856"/>
      <c r="Z99" s="2856"/>
      <c r="AA99" s="2856"/>
      <c r="AB99" s="2856"/>
      <c r="AC99" s="2856"/>
    </row>
    <row r="100" spans="1:29" s="430" customFormat="1" ht="15.75" thickTop="1">
      <c r="A100" s="510"/>
      <c r="B100" s="495" t="s">
        <v>2414</v>
      </c>
      <c r="C100" s="530" t="s">
        <v>2357</v>
      </c>
      <c r="D100" s="530" t="s">
        <v>2358</v>
      </c>
      <c r="E100" s="530" t="s">
        <v>2359</v>
      </c>
      <c r="F100" s="530" t="s">
        <v>2360</v>
      </c>
      <c r="G100" s="530" t="s">
        <v>2361</v>
      </c>
      <c r="H100" s="557"/>
      <c r="I100" s="557"/>
      <c r="J100" s="557"/>
      <c r="K100" s="557"/>
      <c r="L100" s="558"/>
      <c r="M100" s="559"/>
      <c r="N100" s="2952"/>
      <c r="O100" s="2952"/>
      <c r="P100" s="2976"/>
      <c r="Q100" s="2943"/>
      <c r="R100" s="2944"/>
      <c r="S100" s="2944"/>
      <c r="T100" s="2944"/>
      <c r="U100" s="2944"/>
      <c r="V100" s="2944"/>
      <c r="W100" s="2944"/>
      <c r="X100" s="2944"/>
      <c r="Y100" s="2944"/>
      <c r="Z100" s="2944"/>
      <c r="AA100" s="2944"/>
      <c r="AB100" s="2944"/>
      <c r="AC100" s="2944"/>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2"/>
      <c r="O101" s="2952"/>
      <c r="P101" s="2976"/>
      <c r="Q101" s="2943"/>
      <c r="R101" s="2944"/>
      <c r="S101" s="2944"/>
      <c r="T101" s="2944"/>
      <c r="U101" s="2944"/>
      <c r="V101" s="2944"/>
      <c r="W101" s="2944"/>
      <c r="X101" s="2944"/>
      <c r="Y101" s="2944"/>
      <c r="Z101" s="2944"/>
      <c r="AA101" s="2944"/>
      <c r="AB101" s="2944"/>
      <c r="AC101" s="2944"/>
    </row>
    <row r="102" spans="1:29" s="430" customFormat="1" ht="15.75" thickTop="1">
      <c r="A102" s="510"/>
      <c r="B102" s="503" t="s">
        <v>2415</v>
      </c>
      <c r="C102" s="616" t="s">
        <v>2435</v>
      </c>
      <c r="D102" s="616" t="s">
        <v>2436</v>
      </c>
      <c r="E102" s="616" t="s">
        <v>2437</v>
      </c>
      <c r="F102" s="616" t="s">
        <v>2438</v>
      </c>
      <c r="G102" s="616" t="s">
        <v>2439</v>
      </c>
      <c r="H102" s="557"/>
      <c r="I102" s="557"/>
      <c r="J102" s="557"/>
      <c r="K102" s="557"/>
      <c r="L102" s="557"/>
      <c r="M102" s="1266"/>
      <c r="N102" s="2952"/>
      <c r="O102" s="2952"/>
      <c r="P102" s="2976"/>
      <c r="Q102" s="2943"/>
      <c r="R102" s="2944"/>
      <c r="S102" s="2944"/>
      <c r="T102" s="2944"/>
      <c r="U102" s="2944"/>
      <c r="V102" s="2944"/>
      <c r="W102" s="2944"/>
      <c r="X102" s="2944"/>
      <c r="Y102" s="2944"/>
      <c r="Z102" s="2944"/>
      <c r="AA102" s="2944"/>
      <c r="AB102" s="2944"/>
      <c r="AC102" s="2944"/>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2"/>
      <c r="O103" s="2952"/>
      <c r="P103" s="2976"/>
      <c r="Q103" s="2943"/>
      <c r="R103" s="2944"/>
      <c r="S103" s="2944"/>
      <c r="T103" s="2944"/>
      <c r="U103" s="2944"/>
      <c r="V103" s="2944"/>
      <c r="W103" s="2944"/>
      <c r="X103" s="2944"/>
      <c r="Y103" s="2944"/>
      <c r="Z103" s="2944"/>
      <c r="AA103" s="2944"/>
      <c r="AB103" s="2944"/>
      <c r="AC103" s="2944"/>
    </row>
    <row r="104" spans="1:29" ht="15.75" thickTop="1">
      <c r="A104" s="491"/>
      <c r="B104" s="495" t="str">
        <f>B31</f>
        <v>临街状况</v>
      </c>
      <c r="C104" s="496" t="s">
        <v>2547</v>
      </c>
      <c r="D104" s="496" t="s">
        <v>2548</v>
      </c>
      <c r="E104" s="496" t="s">
        <v>2549</v>
      </c>
      <c r="F104" s="496" t="s">
        <v>2550</v>
      </c>
      <c r="G104" s="496"/>
      <c r="H104" s="496"/>
      <c r="I104" s="496"/>
      <c r="J104" s="496"/>
      <c r="K104" s="497"/>
      <c r="L104" s="498"/>
      <c r="M104" s="499"/>
      <c r="N104" s="2950"/>
      <c r="O104" s="2950"/>
      <c r="P104" s="2975"/>
      <c r="Q104" s="2936"/>
      <c r="R104" s="2922"/>
      <c r="S104" s="2922"/>
      <c r="T104" s="2922"/>
      <c r="U104" s="2922"/>
      <c r="V104" s="2922"/>
      <c r="W104" s="2922"/>
      <c r="X104" s="2922"/>
      <c r="Y104" s="2922"/>
      <c r="Z104" s="2922"/>
      <c r="AA104" s="2922"/>
      <c r="AB104" s="2922"/>
      <c r="AC104" s="2922"/>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1"/>
      <c r="O105" s="2951"/>
      <c r="P105" s="2975"/>
      <c r="Q105" s="2936"/>
      <c r="R105" s="2922"/>
      <c r="S105" s="2922"/>
      <c r="T105" s="2922"/>
      <c r="U105" s="2922"/>
      <c r="V105" s="2922"/>
      <c r="W105" s="2922"/>
      <c r="X105" s="2922"/>
      <c r="Y105" s="2922"/>
      <c r="Z105" s="2922"/>
      <c r="AA105" s="2922"/>
      <c r="AB105" s="2922"/>
      <c r="AC105" s="2922"/>
    </row>
    <row r="106" spans="1:29" ht="27.75" thickTop="1">
      <c r="A106" s="491"/>
      <c r="B106" s="495" t="s">
        <v>2451</v>
      </c>
      <c r="C106" s="511"/>
      <c r="D106" s="511"/>
      <c r="E106" s="511"/>
      <c r="F106" s="511"/>
      <c r="G106" s="511"/>
      <c r="H106" s="540"/>
      <c r="I106" s="540"/>
      <c r="J106" s="540"/>
      <c r="K106" s="541"/>
      <c r="L106" s="542"/>
      <c r="M106" s="543"/>
      <c r="N106" s="2950"/>
      <c r="O106" s="2950"/>
      <c r="P106" s="2975"/>
      <c r="Q106" s="2936"/>
      <c r="R106" s="2922"/>
      <c r="S106" s="2922"/>
      <c r="T106" s="2922"/>
      <c r="U106" s="2922"/>
      <c r="V106" s="2922"/>
      <c r="W106" s="2922"/>
      <c r="X106" s="2922"/>
      <c r="Y106" s="2922"/>
      <c r="Z106" s="2922"/>
      <c r="AA106" s="2922"/>
      <c r="AB106" s="2922"/>
      <c r="AC106" s="2922"/>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1"/>
      <c r="O107" s="2951"/>
      <c r="P107" s="2975"/>
      <c r="Q107" s="2936"/>
      <c r="R107" s="2922"/>
      <c r="S107" s="2922"/>
      <c r="T107" s="2922"/>
      <c r="U107" s="2922"/>
      <c r="V107" s="2922"/>
      <c r="W107" s="2922"/>
      <c r="X107" s="2922"/>
      <c r="Y107" s="2922"/>
      <c r="Z107" s="2922"/>
      <c r="AA107" s="2922"/>
      <c r="AB107" s="2922"/>
      <c r="AC107" s="2922"/>
    </row>
    <row r="108" spans="1:29" ht="15.75" thickTop="1">
      <c r="A108" s="491"/>
      <c r="B108" s="495" t="s">
        <v>2510</v>
      </c>
      <c r="C108" s="540"/>
      <c r="D108" s="540"/>
      <c r="E108" s="540"/>
      <c r="F108" s="540"/>
      <c r="G108" s="540"/>
      <c r="H108" s="540"/>
      <c r="I108" s="540"/>
      <c r="J108" s="540"/>
      <c r="K108" s="541"/>
      <c r="L108" s="542"/>
      <c r="M108" s="543"/>
      <c r="N108" s="2950"/>
      <c r="O108" s="2950"/>
      <c r="P108" s="2975"/>
      <c r="Q108" s="2936"/>
      <c r="R108" s="2922"/>
      <c r="S108" s="2922"/>
      <c r="T108" s="2922"/>
      <c r="U108" s="2922"/>
      <c r="V108" s="2922"/>
      <c r="W108" s="2922"/>
      <c r="X108" s="2922"/>
      <c r="Y108" s="2922"/>
      <c r="Z108" s="2922"/>
      <c r="AA108" s="2922"/>
      <c r="AB108" s="2922"/>
      <c r="AC108" s="2922"/>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1"/>
      <c r="O109" s="2951"/>
      <c r="P109" s="2975"/>
      <c r="Q109" s="2936"/>
      <c r="R109" s="2922"/>
      <c r="S109" s="2922"/>
      <c r="T109" s="2922"/>
      <c r="U109" s="2922"/>
      <c r="V109" s="2922"/>
      <c r="W109" s="2922"/>
      <c r="X109" s="2922"/>
      <c r="Y109" s="2922"/>
      <c r="Z109" s="2922"/>
      <c r="AA109" s="2922"/>
      <c r="AB109" s="2922"/>
      <c r="AC109" s="2922"/>
    </row>
    <row r="110" spans="1:29" ht="15.75" thickTop="1">
      <c r="A110" s="491"/>
      <c r="B110" s="503">
        <f>B35</f>
        <v>111</v>
      </c>
      <c r="C110" s="511"/>
      <c r="D110" s="511"/>
      <c r="E110" s="511"/>
      <c r="F110" s="511"/>
      <c r="G110" s="544"/>
      <c r="H110" s="544"/>
      <c r="I110" s="544"/>
      <c r="J110" s="544"/>
      <c r="K110" s="545"/>
      <c r="L110" s="546"/>
      <c r="M110" s="547"/>
      <c r="N110" s="2950"/>
      <c r="O110" s="2950"/>
      <c r="P110" s="2975"/>
      <c r="Q110" s="2936"/>
      <c r="R110" s="2922"/>
      <c r="S110" s="2922"/>
      <c r="T110" s="2922"/>
      <c r="U110" s="2922"/>
      <c r="V110" s="2922"/>
      <c r="W110" s="2922"/>
      <c r="X110" s="2922"/>
      <c r="Y110" s="2922"/>
      <c r="Z110" s="2922"/>
      <c r="AA110" s="2922"/>
      <c r="AB110" s="2922"/>
      <c r="AC110" s="2922"/>
    </row>
    <row r="111" spans="1:29" ht="15.75" thickBot="1">
      <c r="A111" s="491"/>
      <c r="B111" s="526"/>
      <c r="C111" s="517"/>
      <c r="D111" s="517"/>
      <c r="E111" s="517"/>
      <c r="F111" s="517"/>
      <c r="G111" s="548"/>
      <c r="H111" s="548"/>
      <c r="I111" s="548"/>
      <c r="J111" s="548"/>
      <c r="K111" s="548"/>
      <c r="L111" s="548"/>
      <c r="M111" s="549"/>
      <c r="N111" s="2951"/>
      <c r="O111" s="2951"/>
      <c r="P111" s="2975"/>
      <c r="Q111" s="2936"/>
      <c r="R111" s="2922"/>
      <c r="S111" s="2922"/>
      <c r="T111" s="2922"/>
      <c r="U111" s="2922"/>
      <c r="V111" s="2922"/>
      <c r="W111" s="2922"/>
      <c r="X111" s="2922"/>
      <c r="Y111" s="2922"/>
      <c r="Z111" s="2922"/>
      <c r="AA111" s="2922"/>
      <c r="AB111" s="2922"/>
      <c r="AC111" s="2922"/>
    </row>
    <row r="112" spans="1:29" ht="15" thickTop="1">
      <c r="A112" s="631"/>
      <c r="B112" s="495">
        <f>B36</f>
        <v>111</v>
      </c>
      <c r="C112" s="480"/>
      <c r="D112" s="480"/>
      <c r="E112" s="480"/>
      <c r="F112" s="480"/>
      <c r="G112" s="540"/>
      <c r="H112" s="540"/>
      <c r="I112" s="540"/>
      <c r="J112" s="540"/>
      <c r="K112" s="541"/>
      <c r="L112" s="542"/>
      <c r="M112" s="543"/>
      <c r="N112" s="2950"/>
      <c r="O112" s="2950"/>
      <c r="P112" s="2975"/>
      <c r="Q112" s="2936"/>
      <c r="R112" s="2922"/>
      <c r="S112" s="2922"/>
      <c r="T112" s="2922"/>
      <c r="U112" s="2922"/>
      <c r="V112" s="2922"/>
      <c r="W112" s="2922"/>
      <c r="X112" s="2922"/>
      <c r="Y112" s="2922"/>
      <c r="Z112" s="2922"/>
      <c r="AA112" s="2922"/>
      <c r="AB112" s="2922"/>
      <c r="AC112" s="2922"/>
    </row>
    <row r="113" spans="1:29" ht="15.75" thickBot="1">
      <c r="A113" s="491"/>
      <c r="B113" s="500"/>
      <c r="C113" s="527"/>
      <c r="D113" s="527"/>
      <c r="E113" s="527"/>
      <c r="F113" s="527"/>
      <c r="G113" s="493"/>
      <c r="H113" s="493"/>
      <c r="I113" s="493"/>
      <c r="J113" s="493"/>
      <c r="K113" s="493"/>
      <c r="L113" s="493"/>
      <c r="M113" s="494"/>
      <c r="N113" s="2951"/>
      <c r="O113" s="2951"/>
      <c r="P113" s="2975"/>
      <c r="Q113" s="2936"/>
      <c r="R113" s="2922"/>
      <c r="S113" s="2922"/>
      <c r="T113" s="2922"/>
      <c r="U113" s="2922"/>
      <c r="V113" s="2922"/>
      <c r="W113" s="2922"/>
      <c r="X113" s="2922"/>
      <c r="Y113" s="2922"/>
      <c r="Z113" s="2922"/>
      <c r="AA113" s="2922"/>
      <c r="AB113" s="2922"/>
      <c r="AC113" s="2922"/>
    </row>
    <row r="114" spans="1:29" s="430" customFormat="1" ht="15" thickTop="1">
      <c r="A114" s="550"/>
      <c r="B114" s="551">
        <f>B37</f>
        <v>111</v>
      </c>
      <c r="C114" s="552"/>
      <c r="D114" s="552"/>
      <c r="E114" s="552"/>
      <c r="F114" s="552"/>
      <c r="G114" s="552"/>
      <c r="H114" s="552"/>
      <c r="I114" s="552"/>
      <c r="J114" s="553"/>
      <c r="K114" s="553"/>
      <c r="L114" s="554"/>
      <c r="M114" s="555"/>
      <c r="N114" s="2952"/>
      <c r="O114" s="2952"/>
      <c r="P114" s="2976"/>
      <c r="Q114" s="2943"/>
      <c r="R114" s="2944"/>
      <c r="S114" s="2944"/>
      <c r="T114" s="2944"/>
      <c r="U114" s="2944"/>
      <c r="V114" s="2944"/>
      <c r="W114" s="2944"/>
      <c r="X114" s="2944"/>
      <c r="Y114" s="2944"/>
      <c r="Z114" s="2944"/>
      <c r="AA114" s="2944"/>
      <c r="AB114" s="2944"/>
      <c r="AC114" s="2944"/>
    </row>
    <row r="115" spans="1:29" s="430" customFormat="1" ht="15.75" thickBot="1">
      <c r="A115" s="510"/>
      <c r="B115" s="503"/>
      <c r="C115" s="469"/>
      <c r="D115" s="633"/>
      <c r="E115" s="633"/>
      <c r="F115" s="633"/>
      <c r="G115" s="633"/>
      <c r="H115" s="633"/>
      <c r="I115" s="633"/>
      <c r="J115" s="633"/>
      <c r="K115" s="633"/>
      <c r="L115" s="633"/>
      <c r="M115" s="655"/>
      <c r="N115" s="2951"/>
      <c r="O115" s="2951"/>
      <c r="P115" s="2976"/>
      <c r="Q115" s="2943"/>
      <c r="R115" s="2944"/>
      <c r="S115" s="2944"/>
      <c r="T115" s="2944"/>
      <c r="U115" s="2944"/>
      <c r="V115" s="2944"/>
      <c r="W115" s="2944"/>
      <c r="X115" s="2944"/>
      <c r="Y115" s="2944"/>
      <c r="Z115" s="2944"/>
      <c r="AA115" s="2944"/>
      <c r="AB115" s="2944"/>
      <c r="AC115" s="2944"/>
    </row>
    <row r="116" spans="1:29">
      <c r="A116" s="484" t="s">
        <v>2323</v>
      </c>
      <c r="B116" s="485" t="s">
        <v>2551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0"/>
      <c r="O116" s="2950"/>
      <c r="P116" s="2975"/>
      <c r="Q116" s="2936"/>
      <c r="R116" s="2922"/>
      <c r="S116" s="2922"/>
      <c r="T116" s="2922"/>
      <c r="U116" s="2922"/>
      <c r="V116" s="2922"/>
      <c r="W116" s="2922"/>
      <c r="X116" s="2922"/>
      <c r="Y116" s="2922"/>
      <c r="Z116" s="2922"/>
      <c r="AA116" s="2922"/>
      <c r="AB116" s="2922"/>
      <c r="AC116" s="2922"/>
    </row>
    <row r="117" spans="1:29" ht="15">
      <c r="A117" s="491"/>
      <c r="B117" s="503"/>
      <c r="C117" s="552"/>
      <c r="D117" s="552"/>
      <c r="E117" s="552"/>
      <c r="F117" s="552"/>
      <c r="G117" s="552"/>
      <c r="H117" s="552"/>
      <c r="I117" s="552"/>
      <c r="J117" s="553"/>
      <c r="K117" s="553"/>
      <c r="L117" s="554"/>
      <c r="M117" s="555"/>
      <c r="N117" s="2950"/>
      <c r="O117" s="2950"/>
      <c r="P117" s="2975"/>
      <c r="Q117" s="2936"/>
      <c r="R117" s="2922"/>
      <c r="S117" s="2922"/>
      <c r="T117" s="2922"/>
      <c r="U117" s="2922"/>
      <c r="V117" s="2922"/>
      <c r="W117" s="2922"/>
      <c r="X117" s="2922"/>
      <c r="Y117" s="2922"/>
      <c r="Z117" s="2922"/>
      <c r="AA117" s="2922"/>
      <c r="AB117" s="2922"/>
      <c r="AC117" s="2922"/>
    </row>
    <row r="118" spans="1:29" ht="15.75" thickBot="1">
      <c r="A118" s="491"/>
      <c r="B118" s="500"/>
      <c r="C118" s="527"/>
      <c r="D118" s="548"/>
      <c r="E118" s="548"/>
      <c r="F118" s="548"/>
      <c r="G118" s="548"/>
      <c r="H118" s="548"/>
      <c r="I118" s="548"/>
      <c r="J118" s="548"/>
      <c r="K118" s="548"/>
      <c r="L118" s="548"/>
      <c r="M118" s="549"/>
      <c r="N118" s="2951"/>
      <c r="O118" s="2951"/>
      <c r="P118" s="2975"/>
      <c r="Q118" s="2936"/>
      <c r="R118" s="2922"/>
      <c r="S118" s="2922"/>
      <c r="T118" s="2922"/>
      <c r="U118" s="2922"/>
      <c r="V118" s="2922"/>
      <c r="W118" s="2922"/>
      <c r="X118" s="2922"/>
      <c r="Y118" s="2922"/>
      <c r="Z118" s="2922"/>
      <c r="AA118" s="2922"/>
      <c r="AB118" s="2922"/>
      <c r="AC118" s="2922"/>
    </row>
    <row r="119" spans="1:29" ht="15" thickTop="1">
      <c r="A119" s="556"/>
      <c r="B119" s="495" t="s">
        <v>2552</v>
      </c>
      <c r="C119" s="540"/>
      <c r="D119" s="540"/>
      <c r="E119" s="540"/>
      <c r="F119" s="540"/>
      <c r="G119" s="540"/>
      <c r="H119" s="540"/>
      <c r="I119" s="540"/>
      <c r="J119" s="540"/>
      <c r="K119" s="541"/>
      <c r="L119" s="542"/>
      <c r="M119" s="543"/>
      <c r="N119" s="2950"/>
      <c r="O119" s="2950"/>
      <c r="P119" s="2975"/>
      <c r="Q119" s="2936"/>
      <c r="R119" s="2922"/>
      <c r="S119" s="2922"/>
      <c r="T119" s="2922"/>
      <c r="U119" s="2922"/>
      <c r="V119" s="2922"/>
      <c r="W119" s="2922"/>
      <c r="X119" s="2922"/>
      <c r="Y119" s="2922"/>
      <c r="Z119" s="2922"/>
      <c r="AA119" s="2922"/>
      <c r="AB119" s="2922"/>
      <c r="AC119" s="2922"/>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1"/>
      <c r="O120" s="2951"/>
      <c r="P120" s="2975"/>
      <c r="Q120" s="2936"/>
      <c r="R120" s="2922"/>
      <c r="S120" s="2922"/>
      <c r="T120" s="2922"/>
      <c r="U120" s="2922"/>
      <c r="V120" s="2922"/>
      <c r="W120" s="2922"/>
      <c r="X120" s="2922"/>
      <c r="Y120" s="2922"/>
      <c r="Z120" s="2922"/>
      <c r="AA120" s="2922"/>
      <c r="AB120" s="2922"/>
      <c r="AC120" s="2922"/>
    </row>
    <row r="121" spans="1:29" ht="15" thickTop="1">
      <c r="A121" s="556"/>
      <c r="B121" s="495" t="s">
        <v>2553</v>
      </c>
      <c r="C121" s="511"/>
      <c r="D121" s="511"/>
      <c r="E121" s="511"/>
      <c r="F121" s="540"/>
      <c r="G121" s="540"/>
      <c r="H121" s="540"/>
      <c r="I121" s="540"/>
      <c r="J121" s="540"/>
      <c r="K121" s="541"/>
      <c r="L121" s="542"/>
      <c r="M121" s="543"/>
      <c r="N121" s="2950"/>
      <c r="O121" s="2950"/>
      <c r="P121" s="2975"/>
      <c r="Q121" s="2936"/>
      <c r="R121" s="2922"/>
      <c r="S121" s="2922"/>
      <c r="T121" s="2922"/>
      <c r="U121" s="2922"/>
      <c r="V121" s="2922"/>
      <c r="W121" s="2922"/>
      <c r="X121" s="2922"/>
      <c r="Y121" s="2922"/>
      <c r="Z121" s="2922"/>
      <c r="AA121" s="2922"/>
      <c r="AB121" s="2922"/>
      <c r="AC121" s="2922"/>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1"/>
      <c r="O122" s="2951"/>
      <c r="P122" s="2975"/>
      <c r="Q122" s="2936"/>
      <c r="R122" s="2922"/>
      <c r="S122" s="2922"/>
      <c r="T122" s="2922"/>
      <c r="U122" s="2922"/>
      <c r="V122" s="2922"/>
      <c r="W122" s="2922"/>
      <c r="X122" s="2922"/>
      <c r="Y122" s="2922"/>
      <c r="Z122" s="2922"/>
      <c r="AA122" s="2922"/>
      <c r="AB122" s="2922"/>
      <c r="AC122" s="2922"/>
    </row>
    <row r="123" spans="1:29" s="430" customFormat="1" ht="15" thickTop="1">
      <c r="A123" s="550"/>
      <c r="B123" s="495" t="s">
        <v>2554</v>
      </c>
      <c r="C123" s="511"/>
      <c r="D123" s="511"/>
      <c r="E123" s="511"/>
      <c r="F123" s="511"/>
      <c r="G123" s="511"/>
      <c r="H123" s="540"/>
      <c r="I123" s="540"/>
      <c r="J123" s="540"/>
      <c r="K123" s="541"/>
      <c r="L123" s="542"/>
      <c r="M123" s="543"/>
      <c r="N123" s="2952"/>
      <c r="O123" s="2952"/>
      <c r="P123" s="2976"/>
      <c r="Q123" s="2943"/>
      <c r="R123" s="2944"/>
      <c r="S123" s="2944"/>
      <c r="T123" s="2944"/>
      <c r="U123" s="2944"/>
      <c r="V123" s="2944"/>
      <c r="W123" s="2944"/>
      <c r="X123" s="2944"/>
      <c r="Y123" s="2944"/>
      <c r="Z123" s="2944"/>
      <c r="AA123" s="2944"/>
      <c r="AB123" s="2944"/>
      <c r="AC123" s="2944"/>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2"/>
      <c r="O124" s="2952"/>
      <c r="P124" s="2976"/>
      <c r="Q124" s="2943"/>
      <c r="R124" s="2944"/>
      <c r="S124" s="2944"/>
      <c r="T124" s="2944"/>
      <c r="U124" s="2944"/>
      <c r="V124" s="2944"/>
      <c r="W124" s="2944"/>
      <c r="X124" s="2944"/>
      <c r="Y124" s="2944"/>
      <c r="Z124" s="2944"/>
      <c r="AA124" s="2944"/>
      <c r="AB124" s="2944"/>
      <c r="AC124" s="2944"/>
    </row>
    <row r="125" spans="1:29" ht="15" thickTop="1">
      <c r="A125" s="556"/>
      <c r="B125" s="495" t="s">
        <v>2555</v>
      </c>
      <c r="C125" s="511"/>
      <c r="D125" s="511"/>
      <c r="E125" s="540"/>
      <c r="F125" s="540"/>
      <c r="G125" s="540"/>
      <c r="H125" s="540"/>
      <c r="I125" s="540"/>
      <c r="J125" s="540"/>
      <c r="K125" s="541"/>
      <c r="L125" s="542"/>
      <c r="M125" s="543"/>
      <c r="N125" s="2950"/>
      <c r="O125" s="2950"/>
      <c r="P125" s="2975"/>
      <c r="Q125" s="2936"/>
      <c r="R125" s="2922"/>
      <c r="S125" s="2922"/>
      <c r="T125" s="2922"/>
      <c r="U125" s="2922"/>
      <c r="V125" s="2922"/>
      <c r="W125" s="2922"/>
      <c r="X125" s="2922"/>
      <c r="Y125" s="2922"/>
      <c r="Z125" s="2922"/>
      <c r="AA125" s="2922"/>
      <c r="AB125" s="2922"/>
      <c r="AC125" s="2922"/>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1"/>
      <c r="O126" s="2951"/>
      <c r="P126" s="2975"/>
      <c r="Q126" s="2936"/>
      <c r="R126" s="2922"/>
      <c r="S126" s="2922"/>
      <c r="T126" s="2922"/>
      <c r="U126" s="2922"/>
      <c r="V126" s="2922"/>
      <c r="W126" s="2922"/>
      <c r="X126" s="2922"/>
      <c r="Y126" s="2922"/>
      <c r="Z126" s="2922"/>
      <c r="AA126" s="2922"/>
      <c r="AB126" s="2922"/>
      <c r="AC126" s="2922"/>
    </row>
    <row r="127" spans="1:29" ht="15" thickTop="1">
      <c r="A127" s="556"/>
      <c r="B127" s="495">
        <f>B43</f>
        <v>111</v>
      </c>
      <c r="C127" s="511"/>
      <c r="D127" s="511"/>
      <c r="E127" s="511"/>
      <c r="F127" s="511"/>
      <c r="G127" s="511"/>
      <c r="H127" s="540"/>
      <c r="I127" s="540"/>
      <c r="J127" s="540"/>
      <c r="K127" s="541"/>
      <c r="L127" s="542"/>
      <c r="M127" s="543"/>
      <c r="N127" s="2950"/>
      <c r="O127" s="2950"/>
      <c r="P127" s="2975"/>
      <c r="Q127" s="2936"/>
      <c r="R127" s="2922"/>
      <c r="S127" s="2922"/>
      <c r="T127" s="2922"/>
      <c r="U127" s="2922"/>
      <c r="V127" s="2922"/>
      <c r="W127" s="2922"/>
      <c r="X127" s="2922"/>
      <c r="Y127" s="2922"/>
      <c r="Z127" s="2922"/>
      <c r="AA127" s="2922"/>
      <c r="AB127" s="2922"/>
      <c r="AC127" s="2922"/>
    </row>
    <row r="128" spans="1:29" ht="15.75" thickBot="1">
      <c r="A128" s="491"/>
      <c r="B128" s="500"/>
      <c r="C128" s="517"/>
      <c r="D128" s="517"/>
      <c r="E128" s="517"/>
      <c r="F128" s="517"/>
      <c r="G128" s="493"/>
      <c r="H128" s="493"/>
      <c r="I128" s="493"/>
      <c r="J128" s="493"/>
      <c r="K128" s="493"/>
      <c r="L128" s="493"/>
      <c r="M128" s="494"/>
      <c r="N128" s="2951"/>
      <c r="O128" s="2951"/>
      <c r="P128" s="2975"/>
      <c r="Q128" s="2936"/>
      <c r="R128" s="2922"/>
      <c r="S128" s="2922"/>
      <c r="T128" s="2922"/>
      <c r="U128" s="2922"/>
      <c r="V128" s="2922"/>
      <c r="W128" s="2922"/>
      <c r="X128" s="2922"/>
      <c r="Y128" s="2922"/>
      <c r="Z128" s="2922"/>
      <c r="AA128" s="2922"/>
      <c r="AB128" s="2922"/>
      <c r="AC128" s="2922"/>
    </row>
    <row r="129" spans="1:29" ht="15" thickTop="1">
      <c r="A129" s="556"/>
      <c r="B129" s="495">
        <f>B44</f>
        <v>111</v>
      </c>
      <c r="C129" s="480"/>
      <c r="D129" s="480"/>
      <c r="E129" s="480"/>
      <c r="F129" s="480"/>
      <c r="G129" s="540"/>
      <c r="H129" s="540"/>
      <c r="I129" s="540"/>
      <c r="J129" s="540"/>
      <c r="K129" s="541"/>
      <c r="L129" s="542"/>
      <c r="M129" s="543"/>
      <c r="N129" s="2950"/>
      <c r="O129" s="2950"/>
      <c r="P129" s="2975"/>
      <c r="Q129" s="2936"/>
      <c r="R129" s="2922"/>
      <c r="S129" s="2922"/>
      <c r="T129" s="2922"/>
      <c r="U129" s="2922"/>
      <c r="V129" s="2922"/>
      <c r="W129" s="2922"/>
      <c r="X129" s="2922"/>
      <c r="Y129" s="2922"/>
      <c r="Z129" s="2922"/>
      <c r="AA129" s="2922"/>
      <c r="AB129" s="2922"/>
      <c r="AC129" s="2922"/>
    </row>
    <row r="130" spans="1:29" ht="15.75" thickBot="1">
      <c r="A130" s="491"/>
      <c r="B130" s="500"/>
      <c r="C130" s="527"/>
      <c r="D130" s="527"/>
      <c r="E130" s="527"/>
      <c r="F130" s="527"/>
      <c r="G130" s="493"/>
      <c r="H130" s="493"/>
      <c r="I130" s="493"/>
      <c r="J130" s="493"/>
      <c r="K130" s="493"/>
      <c r="L130" s="493"/>
      <c r="M130" s="494"/>
      <c r="N130" s="2951"/>
      <c r="O130" s="2951"/>
      <c r="P130" s="2975"/>
      <c r="Q130" s="2936"/>
      <c r="R130" s="2922"/>
      <c r="S130" s="2922"/>
      <c r="T130" s="2922"/>
      <c r="U130" s="2922"/>
      <c r="V130" s="2922"/>
      <c r="W130" s="2922"/>
      <c r="X130" s="2922"/>
      <c r="Y130" s="2922"/>
      <c r="Z130" s="2922"/>
      <c r="AA130" s="2922"/>
      <c r="AB130" s="2922"/>
      <c r="AC130" s="2922"/>
    </row>
    <row r="131" spans="1:29" s="430" customFormat="1" ht="15" thickTop="1">
      <c r="A131" s="550"/>
      <c r="B131" s="495">
        <f>B45</f>
        <v>111</v>
      </c>
      <c r="C131" s="480"/>
      <c r="D131" s="480"/>
      <c r="E131" s="480"/>
      <c r="F131" s="480"/>
      <c r="G131" s="512"/>
      <c r="H131" s="512"/>
      <c r="I131" s="512"/>
      <c r="J131" s="512"/>
      <c r="K131" s="512"/>
      <c r="L131" s="513"/>
      <c r="M131" s="514"/>
      <c r="N131" s="2952"/>
      <c r="O131" s="2952"/>
      <c r="P131" s="2976"/>
      <c r="Q131" s="2943"/>
      <c r="R131" s="2944"/>
      <c r="S131" s="2944"/>
      <c r="T131" s="2944"/>
      <c r="U131" s="2944"/>
      <c r="V131" s="2944"/>
      <c r="W131" s="2944"/>
      <c r="X131" s="2944"/>
      <c r="Y131" s="2944"/>
      <c r="Z131" s="2944"/>
      <c r="AA131" s="2944"/>
      <c r="AB131" s="2944"/>
      <c r="AC131" s="2944"/>
    </row>
    <row r="132" spans="1:29" s="430" customFormat="1" ht="15.75" thickBot="1">
      <c r="A132" s="525"/>
      <c r="B132" s="656"/>
      <c r="C132" s="527"/>
      <c r="D132" s="527"/>
      <c r="E132" s="527"/>
      <c r="F132" s="527"/>
      <c r="G132" s="548"/>
      <c r="H132" s="548"/>
      <c r="I132" s="548"/>
      <c r="J132" s="548"/>
      <c r="K132" s="548"/>
      <c r="L132" s="548"/>
      <c r="M132" s="549"/>
      <c r="N132" s="2952"/>
      <c r="O132" s="2952"/>
      <c r="P132" s="2976"/>
      <c r="Q132" s="2943"/>
      <c r="R132" s="2944"/>
      <c r="S132" s="2944"/>
      <c r="T132" s="2944"/>
      <c r="U132" s="2944"/>
      <c r="V132" s="2944"/>
      <c r="W132" s="2944"/>
      <c r="X132" s="2944"/>
      <c r="Y132" s="2944"/>
      <c r="Z132" s="2944"/>
      <c r="AA132" s="2944"/>
      <c r="AB132" s="2944"/>
      <c r="AC132" s="2944"/>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2504</v>
      </c>
      <c r="B1" s="355"/>
      <c r="C1" s="356" t="s">
        <v>2556</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2087</v>
      </c>
      <c r="B2" s="627" t="e">
        <f>F61</f>
        <v>#DIV/0!</v>
      </c>
      <c r="C2" s="1039"/>
      <c r="D2" s="1039"/>
      <c r="E2" s="1039"/>
      <c r="F2" s="1040"/>
      <c r="G2" s="1039"/>
      <c r="H2" s="1039"/>
      <c r="I2" s="1039"/>
      <c r="J2" s="1039"/>
      <c r="K2" s="1041"/>
      <c r="L2" s="2931"/>
      <c r="M2" s="2932"/>
      <c r="N2" s="2932"/>
      <c r="O2" s="2932"/>
      <c r="P2" s="708"/>
      <c r="Q2" s="708"/>
      <c r="R2" s="708"/>
      <c r="S2" s="708"/>
      <c r="T2" s="708"/>
      <c r="U2" s="708"/>
      <c r="V2" s="708"/>
      <c r="W2" s="708"/>
      <c r="X2" s="708"/>
      <c r="Y2" s="708"/>
      <c r="Z2" s="708"/>
      <c r="AA2" s="708"/>
      <c r="AB2" s="708"/>
      <c r="AC2" s="709"/>
    </row>
    <row r="3" spans="1:29" s="358" customFormat="1" ht="28.5" customHeight="1" thickBot="1">
      <c r="A3" s="209" t="s">
        <v>2089</v>
      </c>
      <c r="B3" s="566" t="e">
        <f>ROUND(IF(D3="",B2*10000/'数据-汇总表'!E3,B2*10000/D3),0)</f>
        <v>#DIV/0!</v>
      </c>
      <c r="C3" s="209" t="s">
        <v>2506</v>
      </c>
      <c r="D3" s="1327"/>
      <c r="E3" s="1039"/>
      <c r="F3" s="1040"/>
      <c r="G3" s="1039"/>
      <c r="H3" s="1039"/>
      <c r="I3" s="1039"/>
      <c r="J3" s="1039"/>
      <c r="K3" s="1041"/>
      <c r="L3" s="2931"/>
      <c r="M3" s="2932"/>
      <c r="N3" s="2932"/>
      <c r="O3" s="2932"/>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2"/>
      <c r="M4" s="2913"/>
      <c r="N4" s="2913"/>
      <c r="O4" s="2913"/>
      <c r="P4" s="3453" t="s">
        <v>2411</v>
      </c>
      <c r="Q4" s="3454"/>
      <c r="R4" s="3436" t="s">
        <v>2407</v>
      </c>
      <c r="S4" s="3437"/>
      <c r="T4" s="3436" t="s">
        <v>2408</v>
      </c>
      <c r="U4" s="3437"/>
      <c r="V4" s="3461" t="s">
        <v>2409</v>
      </c>
      <c r="W4" s="3461"/>
      <c r="X4" s="1509"/>
      <c r="Y4" s="3436" t="s">
        <v>2411</v>
      </c>
      <c r="Z4" s="3437"/>
      <c r="AA4" s="3431" t="s">
        <v>2407</v>
      </c>
      <c r="AB4" s="3432" t="s">
        <v>2408</v>
      </c>
      <c r="AC4" s="3431" t="s">
        <v>2409</v>
      </c>
    </row>
    <row r="5" spans="1:29" ht="15">
      <c r="A5" s="364"/>
      <c r="B5" s="365"/>
      <c r="C5" s="3442" t="s">
        <v>2302</v>
      </c>
      <c r="D5" s="3443"/>
      <c r="E5" s="3440" t="s">
        <v>2303</v>
      </c>
      <c r="F5" s="3441"/>
      <c r="G5" s="3442" t="s">
        <v>2304</v>
      </c>
      <c r="H5" s="3443"/>
      <c r="I5" s="3442" t="s">
        <v>2305</v>
      </c>
      <c r="J5" s="3443"/>
      <c r="K5" s="567"/>
      <c r="L5" s="2912"/>
      <c r="M5" s="2913"/>
      <c r="N5" s="2913"/>
      <c r="O5" s="2913"/>
      <c r="P5" s="3455"/>
      <c r="Q5" s="3456"/>
      <c r="R5" s="3438"/>
      <c r="S5" s="3439"/>
      <c r="T5" s="3438"/>
      <c r="U5" s="3439"/>
      <c r="V5" s="3461"/>
      <c r="W5" s="3461"/>
      <c r="X5" s="1509"/>
      <c r="Y5" s="3438"/>
      <c r="Z5" s="3439"/>
      <c r="AA5" s="3432"/>
      <c r="AB5" s="3432"/>
      <c r="AC5" s="3432"/>
    </row>
    <row r="6" spans="1:29" ht="15.75" thickBot="1">
      <c r="A6" s="366"/>
      <c r="B6" s="367"/>
      <c r="C6" s="3498" t="s">
        <v>2557</v>
      </c>
      <c r="D6" s="3499"/>
      <c r="E6" s="3500" t="s">
        <v>2557</v>
      </c>
      <c r="F6" s="3501"/>
      <c r="G6" s="3498" t="s">
        <v>2557</v>
      </c>
      <c r="H6" s="3499"/>
      <c r="I6" s="3498" t="s">
        <v>2557</v>
      </c>
      <c r="J6" s="3499"/>
      <c r="K6" s="567" t="s">
        <v>2307</v>
      </c>
      <c r="L6" s="2912"/>
      <c r="M6" s="2913"/>
      <c r="N6" s="2913"/>
      <c r="O6" s="2913"/>
      <c r="P6" s="3457"/>
      <c r="Q6" s="3458"/>
      <c r="R6" s="3438"/>
      <c r="S6" s="3439"/>
      <c r="T6" s="3459"/>
      <c r="U6" s="3460"/>
      <c r="V6" s="3461"/>
      <c r="W6" s="3461"/>
      <c r="X6" s="1509"/>
      <c r="Y6" s="3459"/>
      <c r="Z6" s="3460"/>
      <c r="AA6" s="3433"/>
      <c r="AB6" s="3433"/>
      <c r="AC6" s="3433"/>
    </row>
    <row r="7" spans="1:29" s="113" customFormat="1" ht="15.75" thickBot="1">
      <c r="A7" s="368" t="s">
        <v>2308</v>
      </c>
      <c r="B7" s="369"/>
      <c r="C7" s="370">
        <f>'数据-取费表'!B2</f>
        <v>44641</v>
      </c>
      <c r="D7" s="371">
        <v>100</v>
      </c>
      <c r="E7" s="372"/>
      <c r="F7" s="373">
        <f>SUMIF(65:65,YEAR(E7)&amp;"-"&amp;INT((MONTH(E7)+2)/3),66:66)</f>
        <v>0</v>
      </c>
      <c r="G7" s="2130"/>
      <c r="H7" s="371">
        <f>SUMIF(65:65,YEAR(G7)&amp;"-"&amp;INT((MONTH(G7)+2)/3),66:66)</f>
        <v>0</v>
      </c>
      <c r="I7" s="2130"/>
      <c r="J7" s="371">
        <f>SUMIF(65:65,YEAR(I7)&amp;"-"&amp;INT((MONTH(I7)+2)/3),66:66)</f>
        <v>0</v>
      </c>
      <c r="K7" s="568"/>
      <c r="L7" s="2914"/>
      <c r="M7" s="2915"/>
      <c r="N7" s="2915"/>
      <c r="O7" s="2915"/>
      <c r="P7" s="3434" t="s">
        <v>2309</v>
      </c>
      <c r="Q7" s="3462"/>
      <c r="R7" s="710" t="s">
        <v>17</v>
      </c>
      <c r="S7" s="711">
        <f t="shared" ref="S7:S15" si="0">F7</f>
        <v>0</v>
      </c>
      <c r="T7" s="710" t="s">
        <v>17</v>
      </c>
      <c r="U7" s="711">
        <f t="shared" ref="U7:U15" si="1">H7</f>
        <v>0</v>
      </c>
      <c r="V7" s="710" t="s">
        <v>17</v>
      </c>
      <c r="W7" s="711">
        <f t="shared" ref="W7:W15" si="2">J7</f>
        <v>0</v>
      </c>
      <c r="X7" s="712"/>
      <c r="Y7" s="3434" t="s">
        <v>2309</v>
      </c>
      <c r="Z7" s="3435"/>
      <c r="AA7" s="713" t="e">
        <f>D7/F7</f>
        <v>#DIV/0!</v>
      </c>
      <c r="AB7" s="713" t="e">
        <f>D7/H7</f>
        <v>#DIV/0!</v>
      </c>
      <c r="AC7" s="713" t="e">
        <f>D7/J7</f>
        <v>#DIV/0!</v>
      </c>
    </row>
    <row r="8" spans="1:29" s="113" customFormat="1" ht="15.75" thickBot="1">
      <c r="A8" s="368" t="s">
        <v>2310</v>
      </c>
      <c r="B8" s="369"/>
      <c r="C8" s="374" t="s">
        <v>2311</v>
      </c>
      <c r="D8" s="371">
        <v>100</v>
      </c>
      <c r="E8" s="374"/>
      <c r="F8" s="373">
        <f>SUMIF(68:68,E8,69:69)-SUMIF(68:68,C8,69:69)+100</f>
        <v>0</v>
      </c>
      <c r="G8" s="374"/>
      <c r="H8" s="371">
        <f>SUMIF(68:68,G8,69:69)-SUMIF(68:68,C8,69:69)+100</f>
        <v>0</v>
      </c>
      <c r="I8" s="374"/>
      <c r="J8" s="371">
        <f>SUMIF(68:68,I8,69:69)-SUMIF(68:68,C8,69:69)+100</f>
        <v>0</v>
      </c>
      <c r="K8" s="568"/>
      <c r="L8" s="2914"/>
      <c r="M8" s="2915"/>
      <c r="N8" s="2915"/>
      <c r="O8" s="2915"/>
      <c r="P8" s="3434" t="s">
        <v>2312</v>
      </c>
      <c r="Q8" s="3435"/>
      <c r="R8" s="710" t="s">
        <v>17</v>
      </c>
      <c r="S8" s="711">
        <f t="shared" si="0"/>
        <v>0</v>
      </c>
      <c r="T8" s="710" t="s">
        <v>17</v>
      </c>
      <c r="U8" s="711">
        <f t="shared" si="1"/>
        <v>0</v>
      </c>
      <c r="V8" s="710" t="s">
        <v>17</v>
      </c>
      <c r="W8" s="711">
        <f t="shared" si="2"/>
        <v>0</v>
      </c>
      <c r="X8" s="712"/>
      <c r="Y8" s="3434" t="s">
        <v>2312</v>
      </c>
      <c r="Z8" s="3435"/>
      <c r="AA8" s="713" t="e">
        <f t="shared" ref="AA8:AA40" si="3">D8/F8</f>
        <v>#DIV/0!</v>
      </c>
      <c r="AB8" s="713" t="e">
        <f t="shared" ref="AB8:AB40" si="4">D8/H8</f>
        <v>#DIV/0!</v>
      </c>
      <c r="AC8" s="713" t="e">
        <f t="shared" ref="AC8:AC40" si="5">D8/J8</f>
        <v>#DIV/0!</v>
      </c>
    </row>
    <row r="9" spans="1:29" s="113" customFormat="1">
      <c r="A9" s="375" t="s">
        <v>2313</v>
      </c>
      <c r="B9" s="67" t="s">
        <v>2314</v>
      </c>
      <c r="C9" s="2133"/>
      <c r="D9" s="131">
        <v>100</v>
      </c>
      <c r="E9" s="2133"/>
      <c r="F9" s="131">
        <f>SUMIF(70:70,E9,71:71)-SUMIF(70:70,C9,71:71)+100</f>
        <v>100</v>
      </c>
      <c r="G9" s="2133"/>
      <c r="H9" s="131">
        <f>SUMIF(70:70,G9,71:71)-SUMIF(70:70,C9,71:71)+100</f>
        <v>100</v>
      </c>
      <c r="I9" s="2133"/>
      <c r="J9" s="131">
        <f>SUMIF(70:70,I9,71:71)-SUMIF(70:70,C9,71:71)+100</f>
        <v>100</v>
      </c>
      <c r="K9" s="568"/>
      <c r="L9" s="2914"/>
      <c r="M9" s="2915"/>
      <c r="N9" s="2915"/>
      <c r="O9" s="2969"/>
      <c r="P9" s="3466" t="s">
        <v>2315</v>
      </c>
      <c r="Q9" s="1497" t="str">
        <f t="shared" ref="Q9:Q15" si="6">B9</f>
        <v>用途</v>
      </c>
      <c r="R9" s="710" t="s">
        <v>17</v>
      </c>
      <c r="S9" s="711">
        <f t="shared" si="0"/>
        <v>100</v>
      </c>
      <c r="T9" s="710" t="s">
        <v>17</v>
      </c>
      <c r="U9" s="711">
        <f t="shared" si="1"/>
        <v>100</v>
      </c>
      <c r="V9" s="710" t="s">
        <v>17</v>
      </c>
      <c r="W9" s="711">
        <f t="shared" si="2"/>
        <v>100</v>
      </c>
      <c r="X9" s="712"/>
      <c r="Y9" s="3378" t="s">
        <v>2316</v>
      </c>
      <c r="Z9" s="55" t="str">
        <f t="shared" ref="Z9:Z15" si="7">Q9</f>
        <v>用途</v>
      </c>
      <c r="AA9" s="713">
        <f t="shared" si="3"/>
        <v>1</v>
      </c>
      <c r="AB9" s="713">
        <f t="shared" si="4"/>
        <v>1</v>
      </c>
      <c r="AC9" s="713">
        <f t="shared" si="5"/>
        <v>1</v>
      </c>
    </row>
    <row r="10" spans="1:29" s="386" customFormat="1" ht="27">
      <c r="A10" s="380"/>
      <c r="B10" s="381" t="s">
        <v>2317</v>
      </c>
      <c r="C10" s="391"/>
      <c r="D10" s="132">
        <v>100</v>
      </c>
      <c r="E10" s="391"/>
      <c r="F10" s="132">
        <f>ROUND(100/'数据-取费表'!G16,0)</f>
        <v>123</v>
      </c>
      <c r="G10" s="391"/>
      <c r="H10" s="132">
        <f>ROUND(100/'数据-取费表'!G16,0)</f>
        <v>123</v>
      </c>
      <c r="I10" s="391"/>
      <c r="J10" s="132">
        <f>ROUND(100/'数据-取费表'!G16,0)</f>
        <v>123</v>
      </c>
      <c r="K10" s="628"/>
      <c r="L10" s="2916"/>
      <c r="M10" s="2917"/>
      <c r="N10" s="2917"/>
      <c r="O10" s="2970"/>
      <c r="P10" s="3466"/>
      <c r="Q10" s="1497" t="str">
        <f t="shared" si="6"/>
        <v>土地使用年限（年）</v>
      </c>
      <c r="R10" s="710" t="s">
        <v>17</v>
      </c>
      <c r="S10" s="711">
        <f t="shared" si="0"/>
        <v>123</v>
      </c>
      <c r="T10" s="710" t="s">
        <v>17</v>
      </c>
      <c r="U10" s="711">
        <f t="shared" si="1"/>
        <v>123</v>
      </c>
      <c r="V10" s="710" t="s">
        <v>17</v>
      </c>
      <c r="W10" s="711">
        <f t="shared" si="2"/>
        <v>123</v>
      </c>
      <c r="X10" s="712"/>
      <c r="Y10" s="3378"/>
      <c r="Z10" s="55" t="str">
        <f t="shared" si="7"/>
        <v>土地使用年限（年）</v>
      </c>
      <c r="AA10" s="713">
        <f t="shared" si="3"/>
        <v>0.81300813008130079</v>
      </c>
      <c r="AB10" s="713">
        <f t="shared" si="4"/>
        <v>0.81300813008130079</v>
      </c>
      <c r="AC10" s="713">
        <f t="shared" si="5"/>
        <v>0.81300813008130079</v>
      </c>
    </row>
    <row r="11" spans="1:29" ht="15">
      <c r="A11" s="387"/>
      <c r="B11" s="381" t="s">
        <v>2318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18"/>
      <c r="M11" s="2913"/>
      <c r="N11" s="2913"/>
      <c r="O11" s="2971"/>
      <c r="P11" s="3466"/>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4"/>
      <c r="M12" s="2915"/>
      <c r="N12" s="2915"/>
      <c r="O12" s="2969"/>
      <c r="P12" s="3466"/>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19"/>
      <c r="M13" s="2913"/>
      <c r="N13" s="2913"/>
      <c r="O13" s="2971"/>
      <c r="P13" s="3466"/>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19"/>
      <c r="M14" s="2913"/>
      <c r="N14" s="2913"/>
      <c r="O14" s="2971"/>
      <c r="P14" s="3466"/>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57">
      <c r="A15" s="399" t="s">
        <v>2319</v>
      </c>
      <c r="B15" s="585" t="s">
        <v>2558</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19"/>
      <c r="M15" s="2913"/>
      <c r="N15" s="2913"/>
      <c r="O15" s="2971"/>
      <c r="P15" s="3468" t="s">
        <v>2320</v>
      </c>
      <c r="Q15" s="1506" t="str">
        <f t="shared" si="6"/>
        <v>产业集聚程度</v>
      </c>
      <c r="R15" s="714" t="s">
        <v>17</v>
      </c>
      <c r="S15" s="715">
        <f t="shared" si="0"/>
        <v>100</v>
      </c>
      <c r="T15" s="714" t="s">
        <v>17</v>
      </c>
      <c r="U15" s="715">
        <f t="shared" si="1"/>
        <v>100</v>
      </c>
      <c r="V15" s="714" t="s">
        <v>17</v>
      </c>
      <c r="W15" s="715">
        <f t="shared" si="2"/>
        <v>100</v>
      </c>
      <c r="X15" s="1509"/>
      <c r="Y15" s="3468" t="s">
        <v>2320</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19"/>
      <c r="M16" s="2913"/>
      <c r="N16" s="2913"/>
      <c r="O16" s="2971"/>
      <c r="P16" s="3469"/>
      <c r="Q16" s="1506"/>
      <c r="R16" s="714"/>
      <c r="S16" s="715"/>
      <c r="T16" s="714"/>
      <c r="U16" s="715"/>
      <c r="V16" s="714"/>
      <c r="W16" s="715"/>
      <c r="X16" s="1509"/>
      <c r="Y16" s="3469"/>
      <c r="Z16" s="1510"/>
      <c r="AA16" s="1507">
        <v>1</v>
      </c>
      <c r="AB16" s="1507">
        <v>1</v>
      </c>
      <c r="AC16" s="1507">
        <v>1</v>
      </c>
    </row>
    <row r="17" spans="1:29" ht="85.5">
      <c r="A17" s="387"/>
      <c r="B17" s="587" t="s">
        <v>2469</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19"/>
      <c r="M17" s="2913"/>
      <c r="N17" s="2913"/>
      <c r="O17" s="2971"/>
      <c r="P17" s="3469"/>
      <c r="Q17" s="1506" t="str">
        <f>B17</f>
        <v>交通便捷度</v>
      </c>
      <c r="R17" s="714" t="s">
        <v>17</v>
      </c>
      <c r="S17" s="715">
        <f>F17</f>
        <v>100</v>
      </c>
      <c r="T17" s="714" t="s">
        <v>17</v>
      </c>
      <c r="U17" s="715">
        <f>H17</f>
        <v>100</v>
      </c>
      <c r="V17" s="714" t="s">
        <v>17</v>
      </c>
      <c r="W17" s="715">
        <f>J17</f>
        <v>100</v>
      </c>
      <c r="X17" s="1509"/>
      <c r="Y17" s="3469"/>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19"/>
      <c r="M18" s="2913"/>
      <c r="N18" s="2913"/>
      <c r="O18" s="2971"/>
      <c r="P18" s="3469"/>
      <c r="Q18" s="1506"/>
      <c r="R18" s="714"/>
      <c r="S18" s="715"/>
      <c r="T18" s="714"/>
      <c r="U18" s="715"/>
      <c r="V18" s="714"/>
      <c r="W18" s="715"/>
      <c r="X18" s="1509"/>
      <c r="Y18" s="3469"/>
      <c r="Z18" s="1510"/>
      <c r="AA18" s="1507">
        <v>1</v>
      </c>
      <c r="AB18" s="1507">
        <v>1</v>
      </c>
      <c r="AC18" s="1507">
        <v>1</v>
      </c>
    </row>
    <row r="19" spans="1:29" ht="15">
      <c r="A19" s="387"/>
      <c r="B19" s="587" t="s">
        <v>2508</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19"/>
      <c r="M19" s="2913"/>
      <c r="N19" s="2913"/>
      <c r="O19" s="2971"/>
      <c r="P19" s="3469"/>
      <c r="Q19" s="1506" t="str">
        <f t="shared" ref="Q19:Q33" si="8">B19</f>
        <v>区域土地利用方向</v>
      </c>
      <c r="R19" s="714" t="s">
        <v>17</v>
      </c>
      <c r="S19" s="715">
        <f>F19</f>
        <v>100</v>
      </c>
      <c r="T19" s="714" t="s">
        <v>17</v>
      </c>
      <c r="U19" s="715">
        <f>H19</f>
        <v>100</v>
      </c>
      <c r="V19" s="714" t="s">
        <v>17</v>
      </c>
      <c r="W19" s="715">
        <f>J19</f>
        <v>100</v>
      </c>
      <c r="X19" s="1509"/>
      <c r="Y19" s="3469"/>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19"/>
      <c r="M20" s="2913"/>
      <c r="N20" s="2913"/>
      <c r="O20" s="2971"/>
      <c r="P20" s="3469"/>
      <c r="Q20" s="1506"/>
      <c r="R20" s="714"/>
      <c r="S20" s="715"/>
      <c r="T20" s="714"/>
      <c r="U20" s="715"/>
      <c r="V20" s="714"/>
      <c r="W20" s="715"/>
      <c r="X20" s="1509"/>
      <c r="Y20" s="3469"/>
      <c r="Z20" s="1510"/>
      <c r="AA20" s="1507"/>
      <c r="AB20" s="1507"/>
      <c r="AC20" s="1507"/>
    </row>
    <row r="21" spans="1:29" ht="71.25">
      <c r="A21" s="364"/>
      <c r="B21" s="587" t="s">
        <v>2559</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19"/>
      <c r="M21" s="2913"/>
      <c r="N21" s="2913"/>
      <c r="O21" s="2971"/>
      <c r="P21" s="3469"/>
      <c r="Q21" s="1506" t="str">
        <f t="shared" si="8"/>
        <v>环境状况</v>
      </c>
      <c r="R21" s="714" t="s">
        <v>17</v>
      </c>
      <c r="S21" s="715">
        <f>F21</f>
        <v>100</v>
      </c>
      <c r="T21" s="714" t="s">
        <v>17</v>
      </c>
      <c r="U21" s="715">
        <f>H21</f>
        <v>100</v>
      </c>
      <c r="V21" s="714" t="s">
        <v>17</v>
      </c>
      <c r="W21" s="715">
        <f>J21</f>
        <v>100</v>
      </c>
      <c r="X21" s="1509"/>
      <c r="Y21" s="3469"/>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19"/>
      <c r="M22" s="2913"/>
      <c r="N22" s="2913"/>
      <c r="O22" s="2971"/>
      <c r="P22" s="3469"/>
      <c r="Q22" s="1506"/>
      <c r="R22" s="714"/>
      <c r="S22" s="715"/>
      <c r="T22" s="714"/>
      <c r="U22" s="715"/>
      <c r="V22" s="714"/>
      <c r="W22" s="715"/>
      <c r="X22" s="1509"/>
      <c r="Y22" s="3469"/>
      <c r="Z22" s="1510"/>
      <c r="AA22" s="1507">
        <v>1</v>
      </c>
      <c r="AB22" s="1507">
        <v>1</v>
      </c>
      <c r="AC22" s="1507">
        <v>1</v>
      </c>
    </row>
    <row r="23" spans="1:29" s="113" customFormat="1" ht="42.75">
      <c r="A23" s="605"/>
      <c r="B23" s="589" t="s">
        <v>2414</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14"/>
      <c r="M23" s="2915"/>
      <c r="N23" s="2915"/>
      <c r="O23" s="2969"/>
      <c r="P23" s="3469"/>
      <c r="Q23" s="1497" t="str">
        <f t="shared" si="8"/>
        <v>公共配套设施</v>
      </c>
      <c r="R23" s="710" t="s">
        <v>17</v>
      </c>
      <c r="S23" s="711">
        <f>F23</f>
        <v>100</v>
      </c>
      <c r="T23" s="710" t="s">
        <v>17</v>
      </c>
      <c r="U23" s="711">
        <f>H23</f>
        <v>100</v>
      </c>
      <c r="V23" s="710" t="s">
        <v>17</v>
      </c>
      <c r="W23" s="711">
        <f>J23</f>
        <v>100</v>
      </c>
      <c r="X23" s="712"/>
      <c r="Y23" s="3469"/>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4"/>
      <c r="M24" s="2915"/>
      <c r="N24" s="2915"/>
      <c r="O24" s="2969"/>
      <c r="P24" s="3469"/>
      <c r="Q24" s="1497"/>
      <c r="R24" s="710"/>
      <c r="S24" s="711"/>
      <c r="T24" s="710"/>
      <c r="U24" s="711"/>
      <c r="V24" s="710"/>
      <c r="W24" s="711"/>
      <c r="X24" s="712"/>
      <c r="Y24" s="3469"/>
      <c r="Z24" s="55"/>
      <c r="AA24" s="713">
        <v>1</v>
      </c>
      <c r="AB24" s="713">
        <v>1</v>
      </c>
      <c r="AC24" s="713">
        <v>1</v>
      </c>
    </row>
    <row r="25" spans="1:29" s="113" customFormat="1" ht="28.5">
      <c r="A25" s="605"/>
      <c r="B25" s="589" t="s">
        <v>2415</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14"/>
      <c r="M25" s="2915"/>
      <c r="N25" s="2915"/>
      <c r="O25" s="2969"/>
      <c r="P25" s="3469"/>
      <c r="Q25" s="1497" t="str">
        <f t="shared" ref="Q25" si="9">B25</f>
        <v>基础设施水平</v>
      </c>
      <c r="R25" s="710" t="s">
        <v>17</v>
      </c>
      <c r="S25" s="711">
        <f>F25</f>
        <v>100</v>
      </c>
      <c r="T25" s="710" t="s">
        <v>17</v>
      </c>
      <c r="U25" s="711">
        <f>H25</f>
        <v>100</v>
      </c>
      <c r="V25" s="710" t="s">
        <v>17</v>
      </c>
      <c r="W25" s="711">
        <f>J25</f>
        <v>100</v>
      </c>
      <c r="X25" s="712"/>
      <c r="Y25" s="3469"/>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4"/>
      <c r="M26" s="2915"/>
      <c r="N26" s="2915"/>
      <c r="O26" s="2969"/>
      <c r="P26" s="3469"/>
      <c r="Q26" s="1497"/>
      <c r="R26" s="710"/>
      <c r="S26" s="711"/>
      <c r="T26" s="710"/>
      <c r="U26" s="711"/>
      <c r="V26" s="710"/>
      <c r="W26" s="711"/>
      <c r="X26" s="712"/>
      <c r="Y26" s="3469"/>
      <c r="Z26" s="55"/>
      <c r="AA26" s="713">
        <v>1</v>
      </c>
      <c r="AB26" s="713">
        <v>1</v>
      </c>
      <c r="AC26" s="713">
        <v>1</v>
      </c>
    </row>
    <row r="27" spans="1:29" ht="15">
      <c r="A27" s="387"/>
      <c r="B27" s="588" t="s">
        <v>2416</v>
      </c>
      <c r="C27" s="573"/>
      <c r="D27" s="394">
        <v>100</v>
      </c>
      <c r="E27" s="590"/>
      <c r="F27" s="394">
        <f>SUMIF(95:95,E27,96:96)-SUMIF(95:95,C27,96:96)+100</f>
        <v>100</v>
      </c>
      <c r="G27" s="590"/>
      <c r="H27" s="394">
        <f>SUMIF(95:95,G27,96:96)-SUMIF(95:95,C27,96:96)+100</f>
        <v>100</v>
      </c>
      <c r="I27" s="590"/>
      <c r="J27" s="394">
        <f>SUMIF(95:95,I27,96:96)-SUMIF(95:95,C27,96:96)+100</f>
        <v>100</v>
      </c>
      <c r="K27" s="629"/>
      <c r="L27" s="2919"/>
      <c r="M27" s="2913"/>
      <c r="N27" s="2913"/>
      <c r="O27" s="2971"/>
      <c r="P27" s="3469"/>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69"/>
      <c r="Z27" s="1510" t="str">
        <f t="shared" ref="Z27:Z40" si="13">Q27</f>
        <v>临街状况</v>
      </c>
      <c r="AA27" s="1507">
        <f t="shared" si="3"/>
        <v>1</v>
      </c>
      <c r="AB27" s="1507">
        <f t="shared" si="4"/>
        <v>1</v>
      </c>
      <c r="AC27" s="1507">
        <f t="shared" si="5"/>
        <v>1</v>
      </c>
    </row>
    <row r="28" spans="1:29" ht="27">
      <c r="A28" s="387"/>
      <c r="B28" s="589" t="s">
        <v>2451</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19"/>
      <c r="M28" s="2913"/>
      <c r="N28" s="2913"/>
      <c r="O28" s="2971"/>
      <c r="P28" s="3469"/>
      <c r="Q28" s="1506" t="str">
        <f t="shared" si="8"/>
        <v>毗邻道路的类型与等级</v>
      </c>
      <c r="R28" s="714" t="s">
        <v>17</v>
      </c>
      <c r="S28" s="715">
        <f t="shared" si="10"/>
        <v>100</v>
      </c>
      <c r="T28" s="714" t="s">
        <v>17</v>
      </c>
      <c r="U28" s="715">
        <f t="shared" si="11"/>
        <v>100</v>
      </c>
      <c r="V28" s="714" t="s">
        <v>17</v>
      </c>
      <c r="W28" s="715">
        <f t="shared" si="12"/>
        <v>100</v>
      </c>
      <c r="X28" s="1509"/>
      <c r="Y28" s="3469"/>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19"/>
      <c r="M29" s="2913"/>
      <c r="N29" s="2913"/>
      <c r="O29" s="2971"/>
      <c r="P29" s="3469"/>
      <c r="Q29" s="1506"/>
      <c r="R29" s="714"/>
      <c r="S29" s="715"/>
      <c r="T29" s="714"/>
      <c r="U29" s="715"/>
      <c r="V29" s="714"/>
      <c r="W29" s="715"/>
      <c r="X29" s="1509"/>
      <c r="Y29" s="3469"/>
      <c r="Z29" s="1510"/>
      <c r="AA29" s="1507">
        <v>1</v>
      </c>
      <c r="AB29" s="1507">
        <v>1</v>
      </c>
      <c r="AC29" s="1507">
        <v>1</v>
      </c>
    </row>
    <row r="30" spans="1:29" ht="15">
      <c r="A30" s="387"/>
      <c r="B30" s="610" t="s">
        <v>2510</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19"/>
      <c r="M30" s="2913"/>
      <c r="N30" s="2913"/>
      <c r="O30" s="2971"/>
      <c r="P30" s="3469"/>
      <c r="Q30" s="1506" t="str">
        <f t="shared" si="8"/>
        <v>土地级别</v>
      </c>
      <c r="R30" s="714" t="s">
        <v>17</v>
      </c>
      <c r="S30" s="715">
        <f t="shared" si="10"/>
        <v>100</v>
      </c>
      <c r="T30" s="714" t="s">
        <v>17</v>
      </c>
      <c r="U30" s="715">
        <f t="shared" si="11"/>
        <v>100</v>
      </c>
      <c r="V30" s="714" t="s">
        <v>17</v>
      </c>
      <c r="W30" s="715">
        <f t="shared" si="12"/>
        <v>100</v>
      </c>
      <c r="X30" s="1509"/>
      <c r="Y30" s="3469"/>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19"/>
      <c r="M31" s="2913"/>
      <c r="N31" s="2913"/>
      <c r="O31" s="2971"/>
      <c r="P31" s="3469"/>
      <c r="Q31" s="1506">
        <f t="shared" si="8"/>
        <v>111</v>
      </c>
      <c r="R31" s="714" t="s">
        <v>17</v>
      </c>
      <c r="S31" s="715">
        <f t="shared" si="10"/>
        <v>100</v>
      </c>
      <c r="T31" s="714" t="s">
        <v>17</v>
      </c>
      <c r="U31" s="715">
        <f t="shared" si="11"/>
        <v>100</v>
      </c>
      <c r="V31" s="714" t="s">
        <v>17</v>
      </c>
      <c r="W31" s="715">
        <f t="shared" si="12"/>
        <v>100</v>
      </c>
      <c r="X31" s="1509"/>
      <c r="Y31" s="3469"/>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19"/>
      <c r="M32" s="2913"/>
      <c r="N32" s="2913"/>
      <c r="O32" s="2971"/>
      <c r="P32" s="3492" t="s">
        <v>2325</v>
      </c>
      <c r="Q32" s="1506">
        <f t="shared" si="8"/>
        <v>111</v>
      </c>
      <c r="R32" s="714" t="s">
        <v>17</v>
      </c>
      <c r="S32" s="715">
        <f t="shared" si="10"/>
        <v>100</v>
      </c>
      <c r="T32" s="714" t="s">
        <v>17</v>
      </c>
      <c r="U32" s="715">
        <f t="shared" si="11"/>
        <v>100</v>
      </c>
      <c r="V32" s="714" t="s">
        <v>17</v>
      </c>
      <c r="W32" s="715">
        <f t="shared" si="12"/>
        <v>100</v>
      </c>
      <c r="X32" s="1509"/>
      <c r="Y32" s="3473" t="s">
        <v>2325</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8"/>
      <c r="M33" s="2920"/>
      <c r="N33" s="2920"/>
      <c r="O33" s="2972"/>
      <c r="P33" s="3473"/>
      <c r="Q33" s="1506">
        <f t="shared" si="8"/>
        <v>111</v>
      </c>
      <c r="R33" s="717" t="s">
        <v>17</v>
      </c>
      <c r="S33" s="718">
        <f t="shared" si="10"/>
        <v>100</v>
      </c>
      <c r="T33" s="717" t="s">
        <v>17</v>
      </c>
      <c r="U33" s="718">
        <f t="shared" si="11"/>
        <v>100</v>
      </c>
      <c r="V33" s="717" t="s">
        <v>17</v>
      </c>
      <c r="W33" s="718">
        <f t="shared" si="12"/>
        <v>100</v>
      </c>
      <c r="X33" s="719"/>
      <c r="Y33" s="3473"/>
      <c r="Z33" s="720">
        <f t="shared" si="13"/>
        <v>111</v>
      </c>
      <c r="AA33" s="1507">
        <f t="shared" si="3"/>
        <v>1</v>
      </c>
      <c r="AB33" s="1507">
        <f t="shared" si="4"/>
        <v>1</v>
      </c>
      <c r="AC33" s="1507">
        <f t="shared" si="5"/>
        <v>1</v>
      </c>
    </row>
    <row r="34" spans="1:31" ht="15">
      <c r="A34" s="399" t="s">
        <v>2323</v>
      </c>
      <c r="B34" s="415" t="s">
        <v>2511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19"/>
      <c r="M34" s="2913"/>
      <c r="N34" s="2913"/>
      <c r="O34" s="2971"/>
      <c r="P34" s="3473"/>
      <c r="Q34" s="1506" t="str">
        <f>B34</f>
        <v>宗地面积</v>
      </c>
      <c r="R34" s="714" t="s">
        <v>17</v>
      </c>
      <c r="S34" s="715" t="e">
        <f t="shared" si="10"/>
        <v>#N/A</v>
      </c>
      <c r="T34" s="714" t="s">
        <v>17</v>
      </c>
      <c r="U34" s="715" t="e">
        <f t="shared" si="11"/>
        <v>#N/A</v>
      </c>
      <c r="V34" s="714" t="s">
        <v>17</v>
      </c>
      <c r="W34" s="715" t="e">
        <f t="shared" si="12"/>
        <v>#N/A</v>
      </c>
      <c r="X34" s="1509"/>
      <c r="Y34" s="3473"/>
      <c r="Z34" s="1510" t="str">
        <f t="shared" si="13"/>
        <v>宗地面积</v>
      </c>
      <c r="AA34" s="1507" t="e">
        <f t="shared" si="3"/>
        <v>#N/A</v>
      </c>
      <c r="AB34" s="1507" t="e">
        <f t="shared" si="4"/>
        <v>#N/A</v>
      </c>
      <c r="AC34" s="1507" t="e">
        <f t="shared" si="5"/>
        <v>#N/A</v>
      </c>
    </row>
    <row r="35" spans="1:31" ht="15">
      <c r="A35" s="431"/>
      <c r="B35" s="381" t="s">
        <v>2512</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19"/>
      <c r="M35" s="2913"/>
      <c r="N35" s="2913"/>
      <c r="O35" s="2971"/>
      <c r="P35" s="3473"/>
      <c r="Q35" s="1506" t="str">
        <f t="shared" ref="Q35:Q40" si="14">B35</f>
        <v>宗地形状</v>
      </c>
      <c r="R35" s="714" t="s">
        <v>17</v>
      </c>
      <c r="S35" s="715">
        <f t="shared" si="10"/>
        <v>100</v>
      </c>
      <c r="T35" s="714" t="s">
        <v>17</v>
      </c>
      <c r="U35" s="715">
        <f t="shared" si="11"/>
        <v>100</v>
      </c>
      <c r="V35" s="714" t="s">
        <v>17</v>
      </c>
      <c r="W35" s="715">
        <f t="shared" si="12"/>
        <v>100</v>
      </c>
      <c r="X35" s="1509"/>
      <c r="Y35" s="3473"/>
      <c r="Z35" s="1510" t="str">
        <f t="shared" si="13"/>
        <v>宗地形状</v>
      </c>
      <c r="AA35" s="1507">
        <f t="shared" si="3"/>
        <v>1</v>
      </c>
      <c r="AB35" s="1507">
        <f t="shared" si="4"/>
        <v>1</v>
      </c>
      <c r="AC35" s="1507">
        <f t="shared" si="5"/>
        <v>1</v>
      </c>
    </row>
    <row r="36" spans="1:31" s="113" customFormat="1" ht="15">
      <c r="A36" s="432"/>
      <c r="B36" s="381" t="s">
        <v>2514</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4"/>
      <c r="M36" s="2915"/>
      <c r="N36" s="2915"/>
      <c r="O36" s="2969"/>
      <c r="P36" s="3473"/>
      <c r="Q36" s="1506" t="str">
        <f t="shared" si="14"/>
        <v>宗地开发程度</v>
      </c>
      <c r="R36" s="710" t="s">
        <v>17</v>
      </c>
      <c r="S36" s="711">
        <f t="shared" si="10"/>
        <v>100</v>
      </c>
      <c r="T36" s="710" t="s">
        <v>17</v>
      </c>
      <c r="U36" s="711">
        <f t="shared" si="11"/>
        <v>100</v>
      </c>
      <c r="V36" s="710" t="s">
        <v>17</v>
      </c>
      <c r="W36" s="711">
        <f t="shared" si="12"/>
        <v>100</v>
      </c>
      <c r="X36" s="712"/>
      <c r="Y36" s="3473"/>
      <c r="Z36" s="55" t="str">
        <f t="shared" si="13"/>
        <v>宗地开发程度</v>
      </c>
      <c r="AA36" s="713">
        <f t="shared" si="3"/>
        <v>1</v>
      </c>
      <c r="AB36" s="713">
        <f t="shared" si="4"/>
        <v>1</v>
      </c>
      <c r="AC36" s="713">
        <f t="shared" si="5"/>
        <v>1</v>
      </c>
    </row>
    <row r="37" spans="1:31" ht="15">
      <c r="A37" s="431"/>
      <c r="B37" s="381" t="s">
        <v>2515</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19"/>
      <c r="M37" s="2913"/>
      <c r="N37" s="2913"/>
      <c r="O37" s="2971"/>
      <c r="P37" s="3473" t="s">
        <v>2325</v>
      </c>
      <c r="Q37" s="1506" t="str">
        <f t="shared" si="14"/>
        <v>工程地质条件</v>
      </c>
      <c r="R37" s="714" t="s">
        <v>17</v>
      </c>
      <c r="S37" s="715">
        <f t="shared" si="10"/>
        <v>100</v>
      </c>
      <c r="T37" s="714" t="s">
        <v>17</v>
      </c>
      <c r="U37" s="715">
        <f t="shared" si="11"/>
        <v>100</v>
      </c>
      <c r="V37" s="714" t="s">
        <v>17</v>
      </c>
      <c r="W37" s="715">
        <f t="shared" si="12"/>
        <v>100</v>
      </c>
      <c r="X37" s="1509"/>
      <c r="Y37" s="3473" t="s">
        <v>2325</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19"/>
      <c r="M38" s="2913"/>
      <c r="N38" s="2913"/>
      <c r="O38" s="2971"/>
      <c r="P38" s="3473"/>
      <c r="Q38" s="1506">
        <f t="shared" si="14"/>
        <v>111</v>
      </c>
      <c r="R38" s="714" t="s">
        <v>17</v>
      </c>
      <c r="S38" s="715">
        <f t="shared" si="10"/>
        <v>100</v>
      </c>
      <c r="T38" s="714" t="s">
        <v>17</v>
      </c>
      <c r="U38" s="715">
        <f t="shared" si="11"/>
        <v>100</v>
      </c>
      <c r="V38" s="714" t="s">
        <v>17</v>
      </c>
      <c r="W38" s="715">
        <f t="shared" si="12"/>
        <v>100</v>
      </c>
      <c r="X38" s="1509"/>
      <c r="Y38" s="3473"/>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19"/>
      <c r="M39" s="2913"/>
      <c r="N39" s="2913"/>
      <c r="O39" s="2971"/>
      <c r="P39" s="3473"/>
      <c r="Q39" s="1506">
        <f t="shared" si="14"/>
        <v>111</v>
      </c>
      <c r="R39" s="714" t="s">
        <v>17</v>
      </c>
      <c r="S39" s="715">
        <f t="shared" si="10"/>
        <v>100</v>
      </c>
      <c r="T39" s="714" t="s">
        <v>17</v>
      </c>
      <c r="U39" s="715">
        <f t="shared" si="11"/>
        <v>100</v>
      </c>
      <c r="V39" s="714" t="s">
        <v>17</v>
      </c>
      <c r="W39" s="715">
        <f t="shared" si="12"/>
        <v>100</v>
      </c>
      <c r="X39" s="1509"/>
      <c r="Y39" s="3473"/>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18"/>
      <c r="M40" s="2920"/>
      <c r="N40" s="2920"/>
      <c r="O40" s="2972"/>
      <c r="P40" s="3473"/>
      <c r="Q40" s="1506">
        <f t="shared" si="14"/>
        <v>111</v>
      </c>
      <c r="R40" s="717" t="s">
        <v>17</v>
      </c>
      <c r="S40" s="718">
        <f t="shared" si="10"/>
        <v>100</v>
      </c>
      <c r="T40" s="717" t="s">
        <v>17</v>
      </c>
      <c r="U40" s="718">
        <f t="shared" si="11"/>
        <v>100</v>
      </c>
      <c r="V40" s="717" t="s">
        <v>17</v>
      </c>
      <c r="W40" s="718">
        <f t="shared" si="12"/>
        <v>100</v>
      </c>
      <c r="X40" s="719"/>
      <c r="Y40" s="3473"/>
      <c r="Z40" s="720">
        <f t="shared" si="13"/>
        <v>111</v>
      </c>
      <c r="AA40" s="1507">
        <f t="shared" si="3"/>
        <v>1</v>
      </c>
      <c r="AB40" s="1507">
        <f t="shared" si="4"/>
        <v>1</v>
      </c>
      <c r="AC40" s="1507">
        <f t="shared" si="5"/>
        <v>1</v>
      </c>
    </row>
    <row r="41" spans="1:31" ht="15">
      <c r="A41" s="438" t="s">
        <v>2480</v>
      </c>
      <c r="B41" s="2138" t="s">
        <v>2560</v>
      </c>
      <c r="C41" s="638" t="s">
        <v>1</v>
      </c>
      <c r="D41" s="440"/>
      <c r="E41" s="441"/>
      <c r="F41" s="442"/>
      <c r="G41" s="443"/>
      <c r="H41" s="444"/>
      <c r="I41" s="441"/>
      <c r="J41" s="444"/>
      <c r="K41" s="723"/>
      <c r="L41" s="2921"/>
      <c r="M41" s="2913"/>
      <c r="N41" s="2913"/>
      <c r="O41" s="2922"/>
      <c r="P41" s="3466" t="str">
        <f>A41</f>
        <v>成交单价</v>
      </c>
      <c r="Q41" s="3466"/>
      <c r="R41" s="3461">
        <f>E41</f>
        <v>0</v>
      </c>
      <c r="S41" s="3461"/>
      <c r="T41" s="3461">
        <f>G41</f>
        <v>0</v>
      </c>
      <c r="U41" s="3461"/>
      <c r="V41" s="3461">
        <f>I41</f>
        <v>0</v>
      </c>
      <c r="W41" s="3461"/>
      <c r="X41" s="699"/>
      <c r="Y41" s="721"/>
      <c r="Z41" s="699"/>
      <c r="AA41" s="699"/>
      <c r="AB41" s="699"/>
      <c r="AC41" s="699"/>
    </row>
    <row r="42" spans="1:31" ht="15.75" thickBot="1">
      <c r="A42" s="445" t="s">
        <v>2429</v>
      </c>
      <c r="B42" s="639"/>
      <c r="C42" s="448" t="e">
        <f>R43</f>
        <v>#DIV/0!</v>
      </c>
      <c r="D42" s="2508" t="s">
        <v>2820</v>
      </c>
      <c r="E42" s="448" t="e">
        <f>R42</f>
        <v>#DIV/0!</v>
      </c>
      <c r="F42" s="2509"/>
      <c r="G42" s="447" t="e">
        <f>T42</f>
        <v>#DIV/0!</v>
      </c>
      <c r="H42" s="2509"/>
      <c r="I42" s="448" t="e">
        <f>V42</f>
        <v>#DIV/0!</v>
      </c>
      <c r="J42" s="2509"/>
      <c r="K42" s="2511">
        <f>F42+H42+J42</f>
        <v>0</v>
      </c>
      <c r="L42" s="2921"/>
      <c r="M42" s="2913"/>
      <c r="N42" s="2913"/>
      <c r="O42" s="2922"/>
      <c r="P42" s="3466" t="str">
        <f>A42</f>
        <v>比较价值（元/平方米）</v>
      </c>
      <c r="Q42" s="3466"/>
      <c r="R42" s="3494" t="e">
        <f>ROUND(PRODUCT(R41,AA7:AA40),0)</f>
        <v>#DIV/0!</v>
      </c>
      <c r="S42" s="3494"/>
      <c r="T42" s="3494" t="e">
        <f>ROUND(PRODUCT(T41,AB7:AB40),0)</f>
        <v>#DIV/0!</v>
      </c>
      <c r="U42" s="3494"/>
      <c r="V42" s="3494" t="e">
        <f>ROUND(PRODUCT(V41,AC7:AC40),0)</f>
        <v>#DIV/0!</v>
      </c>
      <c r="W42" s="3494"/>
      <c r="X42" s="699"/>
      <c r="Y42" s="699"/>
      <c r="Z42" s="699"/>
      <c r="AA42" s="699"/>
      <c r="AB42" s="699"/>
      <c r="AC42" s="699"/>
    </row>
    <row r="43" spans="1:31" ht="15.75" thickBot="1">
      <c r="A43" s="449" t="s">
        <v>2430</v>
      </c>
      <c r="B43" s="450"/>
      <c r="C43" s="451" t="e">
        <f>R43</f>
        <v>#DIV/0!</v>
      </c>
      <c r="D43" s="451"/>
      <c r="E43" s="451"/>
      <c r="F43" s="451"/>
      <c r="G43" s="451"/>
      <c r="H43" s="451"/>
      <c r="I43" s="451"/>
      <c r="J43" s="451"/>
      <c r="K43" s="724"/>
      <c r="L43" s="2921"/>
      <c r="M43" s="2913"/>
      <c r="N43" s="2913"/>
      <c r="O43" s="2922"/>
      <c r="P43" s="3463" t="str">
        <f>A43</f>
        <v>估价对象XX用房的比较价值（楼面单价，元/平方米）</v>
      </c>
      <c r="Q43" s="3464"/>
      <c r="R43" s="3495" t="e">
        <f>ROUND(IF(D42="简单平均",AVERAGE(R42:W42),R42*F42+T42*H42+V42*J42),0)</f>
        <v>#DIV/0!</v>
      </c>
      <c r="S43" s="3495"/>
      <c r="T43" s="3495"/>
      <c r="U43" s="3495"/>
      <c r="V43" s="3495"/>
      <c r="W43" s="3495"/>
      <c r="X43" s="699"/>
      <c r="Y43" s="699"/>
      <c r="Z43" s="699"/>
      <c r="AA43" s="699"/>
      <c r="AB43" s="699"/>
      <c r="AC43" s="699"/>
    </row>
    <row r="44" spans="1:31">
      <c r="A44" s="2922"/>
      <c r="B44" s="2922"/>
      <c r="C44" s="2922"/>
      <c r="D44" s="2922"/>
      <c r="E44" s="2922"/>
      <c r="F44" s="2922"/>
      <c r="G44" s="2926"/>
      <c r="H44" s="2922"/>
      <c r="I44" s="2922"/>
      <c r="J44" s="2922"/>
      <c r="K44" s="2927"/>
      <c r="L44" s="2923"/>
      <c r="M44" s="2913"/>
      <c r="N44" s="2913"/>
      <c r="O44" s="2922"/>
      <c r="P44" s="2922"/>
      <c r="Q44" s="2922"/>
      <c r="R44" s="2922"/>
      <c r="S44" s="2922"/>
      <c r="T44" s="2922"/>
      <c r="U44" s="2922"/>
      <c r="V44" s="2922"/>
      <c r="W44" s="2922"/>
      <c r="X44" s="2922"/>
      <c r="Y44" s="2922"/>
      <c r="Z44" s="2922"/>
      <c r="AA44" s="2922"/>
      <c r="AB44" s="2922"/>
      <c r="AC44" s="2922"/>
      <c r="AD44" s="2922"/>
      <c r="AE44" s="2922"/>
    </row>
    <row r="45" spans="1:31">
      <c r="A45" s="2922"/>
      <c r="B45" s="2922"/>
      <c r="C45" s="2922"/>
      <c r="D45" s="2922"/>
      <c r="E45" s="2922"/>
      <c r="F45" s="2922"/>
      <c r="G45" s="2922"/>
      <c r="H45" s="2922"/>
      <c r="I45" s="2922"/>
      <c r="J45" s="2922"/>
      <c r="K45" s="2927"/>
      <c r="L45" s="2923"/>
      <c r="M45" s="2913"/>
      <c r="N45" s="2913"/>
      <c r="O45" s="2922"/>
      <c r="P45" s="2922"/>
      <c r="Q45" s="2922"/>
      <c r="R45" s="2922"/>
      <c r="S45" s="2922"/>
      <c r="T45" s="2922"/>
      <c r="U45" s="2922"/>
      <c r="V45" s="2922"/>
      <c r="W45" s="2922"/>
      <c r="X45" s="2922"/>
      <c r="Y45" s="2922"/>
      <c r="Z45" s="2922"/>
      <c r="AA45" s="2922"/>
      <c r="AB45" s="2922"/>
      <c r="AC45" s="2922"/>
      <c r="AD45" s="2922"/>
      <c r="AE45" s="2922"/>
    </row>
    <row r="46" spans="1:31" ht="13.5" customHeight="1">
      <c r="A46" s="2922"/>
      <c r="B46" s="2922"/>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7"/>
      <c r="L46" s="2923"/>
      <c r="M46" s="2913"/>
      <c r="N46" s="2913"/>
      <c r="O46" s="2922"/>
      <c r="P46" s="2922"/>
      <c r="Q46" s="2922"/>
      <c r="R46" s="2922"/>
      <c r="S46" s="2922"/>
      <c r="T46" s="2922"/>
      <c r="U46" s="2922"/>
      <c r="V46" s="2922"/>
      <c r="W46" s="2922"/>
      <c r="X46" s="2922"/>
      <c r="Y46" s="2922"/>
      <c r="Z46" s="2922"/>
      <c r="AA46" s="2922"/>
      <c r="AB46" s="2922"/>
      <c r="AC46" s="2922"/>
      <c r="AD46" s="2922"/>
      <c r="AE46" s="2922"/>
    </row>
    <row r="47" spans="1:31" ht="13.5" customHeight="1">
      <c r="A47" s="2922"/>
      <c r="B47" s="2922"/>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7"/>
      <c r="L47" s="2923"/>
      <c r="M47" s="2922"/>
      <c r="N47" s="2922"/>
      <c r="O47" s="2922"/>
      <c r="P47" s="2922"/>
      <c r="Q47" s="2922"/>
      <c r="R47" s="2922"/>
      <c r="S47" s="2922"/>
      <c r="T47" s="2922"/>
      <c r="U47" s="2922"/>
      <c r="V47" s="2922"/>
      <c r="W47" s="2922"/>
      <c r="X47" s="2922"/>
      <c r="Y47" s="2922"/>
      <c r="Z47" s="2922"/>
      <c r="AA47" s="2922"/>
      <c r="AB47" s="2922"/>
      <c r="AC47" s="2922"/>
      <c r="AD47" s="2922"/>
      <c r="AE47" s="2922"/>
    </row>
    <row r="48" spans="1:31" s="459" customFormat="1" ht="13.5" customHeight="1">
      <c r="A48" s="2925"/>
      <c r="B48" s="2925"/>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0"/>
      <c r="L48" s="2924"/>
      <c r="M48" s="2925"/>
      <c r="N48" s="2925"/>
      <c r="O48" s="2925"/>
      <c r="P48" s="2925"/>
      <c r="Q48" s="2925"/>
      <c r="R48" s="2925"/>
      <c r="S48" s="2925"/>
      <c r="T48" s="2925"/>
      <c r="U48" s="2925"/>
      <c r="V48" s="2925"/>
      <c r="W48" s="2925"/>
      <c r="X48" s="2925"/>
      <c r="Y48" s="2925"/>
      <c r="Z48" s="2925"/>
      <c r="AA48" s="2925"/>
      <c r="AB48" s="2925"/>
      <c r="AC48" s="2925"/>
      <c r="AD48" s="2925"/>
      <c r="AE48" s="2925"/>
    </row>
    <row r="49" spans="1:31" s="459" customFormat="1" ht="15" thickBot="1">
      <c r="A49" s="2925"/>
      <c r="B49" s="2928"/>
      <c r="C49" s="702"/>
      <c r="D49" s="700"/>
      <c r="E49" s="700"/>
      <c r="F49" s="700"/>
      <c r="G49" s="700"/>
      <c r="H49" s="700"/>
      <c r="I49" s="700"/>
      <c r="J49" s="700"/>
      <c r="K49" s="2930"/>
      <c r="L49" s="2924"/>
      <c r="M49" s="2925"/>
      <c r="N49" s="2925"/>
      <c r="O49" s="2925"/>
      <c r="P49" s="2925"/>
      <c r="Q49" s="2925"/>
      <c r="R49" s="2925"/>
      <c r="S49" s="2925"/>
      <c r="T49" s="2925"/>
      <c r="U49" s="2925"/>
      <c r="V49" s="2925"/>
      <c r="W49" s="2925"/>
      <c r="X49" s="2925"/>
      <c r="Y49" s="2925"/>
      <c r="Z49" s="2925"/>
      <c r="AA49" s="2925"/>
      <c r="AB49" s="2925"/>
      <c r="AC49" s="2925"/>
      <c r="AD49" s="2925"/>
      <c r="AE49" s="2925"/>
    </row>
    <row r="50" spans="1:31" ht="27">
      <c r="A50" s="640" t="s">
        <v>2518</v>
      </c>
      <c r="B50" s="641" t="s">
        <v>2519</v>
      </c>
      <c r="C50" s="2139" t="s">
        <v>2520</v>
      </c>
      <c r="D50" s="2140" t="s">
        <v>2521</v>
      </c>
      <c r="E50" s="642" t="s">
        <v>2522</v>
      </c>
      <c r="F50" s="643" t="s">
        <v>2523</v>
      </c>
      <c r="G50" s="3449" t="s">
        <v>2524</v>
      </c>
      <c r="H50" s="3496"/>
      <c r="I50" s="1510" t="s">
        <v>2561</v>
      </c>
      <c r="J50" s="1510">
        <f>项目基本情况!F35</f>
        <v>0</v>
      </c>
      <c r="K50" s="2142" t="s">
        <v>2526</v>
      </c>
      <c r="L50" s="2923"/>
      <c r="M50" s="2922"/>
      <c r="N50" s="2922"/>
      <c r="O50" s="2922"/>
      <c r="P50" s="2922"/>
      <c r="Q50" s="2922"/>
      <c r="R50" s="2922"/>
      <c r="S50" s="2922"/>
      <c r="T50" s="2922"/>
      <c r="U50" s="2922"/>
      <c r="V50" s="2922"/>
      <c r="W50" s="2922"/>
      <c r="X50" s="2922"/>
      <c r="Y50" s="2922"/>
      <c r="Z50" s="2922"/>
      <c r="AA50" s="2922"/>
      <c r="AB50" s="2922"/>
      <c r="AC50" s="2922"/>
      <c r="AD50" s="2922"/>
      <c r="AE50" s="2922"/>
    </row>
    <row r="51" spans="1:31" s="648" customFormat="1">
      <c r="A51" s="644" t="s">
        <v>2527</v>
      </c>
      <c r="B51" s="645" t="e">
        <f>C43</f>
        <v>#DIV/0!</v>
      </c>
      <c r="C51" s="646">
        <v>1</v>
      </c>
      <c r="D51" s="1075">
        <v>1</v>
      </c>
      <c r="E51" s="646">
        <f>'数据-汇总表'!E8+'数据-汇总表'!E9</f>
        <v>8494.75</v>
      </c>
      <c r="F51" s="647" t="e">
        <f t="shared" ref="F51:F60" si="15">ROUND(B51*E51/10000,0)</f>
        <v>#DIV/0!</v>
      </c>
      <c r="G51" s="3448"/>
      <c r="H51" s="3466"/>
      <c r="I51" s="879">
        <v>1</v>
      </c>
      <c r="J51" s="879">
        <v>1</v>
      </c>
      <c r="K51" s="2925"/>
      <c r="L51" s="2979"/>
      <c r="M51" s="2979"/>
      <c r="N51" s="2979"/>
      <c r="O51" s="2979"/>
      <c r="P51" s="2979"/>
      <c r="Q51" s="2979"/>
      <c r="R51" s="2979"/>
      <c r="S51" s="2979"/>
      <c r="T51" s="2979"/>
      <c r="U51" s="2979"/>
      <c r="V51" s="2979"/>
      <c r="W51" s="2979"/>
      <c r="X51" s="2979"/>
      <c r="Y51" s="2979"/>
      <c r="Z51" s="2979"/>
      <c r="AA51" s="2979"/>
      <c r="AB51" s="2979"/>
      <c r="AC51" s="2979"/>
      <c r="AD51" s="2979"/>
      <c r="AE51" s="2979"/>
    </row>
    <row r="52" spans="1:31" s="648" customFormat="1">
      <c r="A52" s="649" t="s">
        <v>2528</v>
      </c>
      <c r="B52" s="224" t="e">
        <f>ROUND($C$43*C52*D52,0)</f>
        <v>#DIV/0!</v>
      </c>
      <c r="C52" s="176">
        <f t="shared" ref="C52:C60" si="16">IF($C$50="北京市系数",I52,J52)</f>
        <v>0.8</v>
      </c>
      <c r="D52" s="1076">
        <v>0.25</v>
      </c>
      <c r="E52" s="650"/>
      <c r="F52" s="647" t="e">
        <f t="shared" si="15"/>
        <v>#DIV/0!</v>
      </c>
      <c r="G52" s="3497" t="s">
        <v>2529</v>
      </c>
      <c r="H52" s="1018" t="str">
        <f>项目基本情况!B37</f>
        <v>二级</v>
      </c>
      <c r="I52" s="879">
        <f>SUMIF(修正!A45:A56,H52,修正!B45:B56)</f>
        <v>0.8</v>
      </c>
      <c r="J52" s="880"/>
      <c r="K52" s="2922"/>
      <c r="L52" s="2979"/>
      <c r="M52" s="2979"/>
      <c r="N52" s="2979"/>
      <c r="O52" s="2979"/>
      <c r="P52" s="2979"/>
      <c r="Q52" s="2979"/>
      <c r="R52" s="2979"/>
      <c r="S52" s="2979"/>
      <c r="T52" s="2979"/>
      <c r="U52" s="2979"/>
      <c r="V52" s="2979"/>
      <c r="W52" s="2979"/>
      <c r="X52" s="2979"/>
      <c r="Y52" s="2979"/>
      <c r="Z52" s="2979"/>
      <c r="AA52" s="2979"/>
      <c r="AB52" s="2979"/>
      <c r="AC52" s="2979"/>
      <c r="AD52" s="2979"/>
      <c r="AE52" s="2979"/>
    </row>
    <row r="53" spans="1:31" s="648" customFormat="1">
      <c r="A53" s="649" t="s">
        <v>2530</v>
      </c>
      <c r="B53" s="224" t="e">
        <f t="shared" ref="B53:B60" si="17">ROUND($C$43*C53*D53,0)</f>
        <v>#DIV/0!</v>
      </c>
      <c r="C53" s="176">
        <f t="shared" si="16"/>
        <v>0.5</v>
      </c>
      <c r="D53" s="1076">
        <v>0.25</v>
      </c>
      <c r="E53" s="650"/>
      <c r="F53" s="647" t="e">
        <f t="shared" si="15"/>
        <v>#DIV/0!</v>
      </c>
      <c r="G53" s="3497"/>
      <c r="H53" s="1018" t="str">
        <f>项目基本情况!B37</f>
        <v>二级</v>
      </c>
      <c r="I53" s="879">
        <f>SUMIF(修正!A45:A56,H53,修正!C45:C56)</f>
        <v>0.5</v>
      </c>
      <c r="J53" s="880"/>
      <c r="K53" s="2925"/>
      <c r="L53" s="2979"/>
      <c r="M53" s="2979"/>
      <c r="N53" s="2979"/>
      <c r="O53" s="2979"/>
      <c r="P53" s="2979"/>
      <c r="Q53" s="2979"/>
      <c r="R53" s="2979"/>
      <c r="S53" s="2979"/>
      <c r="T53" s="2979"/>
      <c r="U53" s="2979"/>
      <c r="V53" s="2979"/>
      <c r="W53" s="2979"/>
      <c r="X53" s="2979"/>
      <c r="Y53" s="2979"/>
      <c r="Z53" s="2979"/>
      <c r="AA53" s="2979"/>
      <c r="AB53" s="2979"/>
      <c r="AC53" s="2979"/>
      <c r="AD53" s="2979"/>
      <c r="AE53" s="2979"/>
    </row>
    <row r="54" spans="1:31" s="648" customFormat="1">
      <c r="A54" s="649" t="s">
        <v>2531</v>
      </c>
      <c r="B54" s="224" t="e">
        <f t="shared" si="17"/>
        <v>#DIV/0!</v>
      </c>
      <c r="C54" s="176">
        <f t="shared" si="16"/>
        <v>0.36</v>
      </c>
      <c r="D54" s="1076">
        <v>0.25</v>
      </c>
      <c r="E54" s="650"/>
      <c r="F54" s="647" t="e">
        <f t="shared" si="15"/>
        <v>#DIV/0!</v>
      </c>
      <c r="G54" s="3497"/>
      <c r="H54" s="1018" t="str">
        <f>项目基本情况!B37</f>
        <v>二级</v>
      </c>
      <c r="I54" s="879">
        <f>SUMIF(修正!A45:A56,H54,修正!D45:D56)</f>
        <v>0.36</v>
      </c>
      <c r="J54" s="880"/>
      <c r="K54" s="2922"/>
      <c r="L54" s="2979"/>
      <c r="M54" s="2979"/>
      <c r="N54" s="2979"/>
      <c r="O54" s="2979"/>
      <c r="P54" s="2979"/>
      <c r="Q54" s="2979"/>
      <c r="R54" s="2979"/>
      <c r="S54" s="2979"/>
      <c r="T54" s="2979"/>
      <c r="U54" s="2979"/>
      <c r="V54" s="2979"/>
      <c r="W54" s="2979"/>
      <c r="X54" s="2979"/>
      <c r="Y54" s="2979"/>
      <c r="Z54" s="2979"/>
      <c r="AA54" s="2979"/>
      <c r="AB54" s="2979"/>
      <c r="AC54" s="2979"/>
      <c r="AD54" s="2979"/>
      <c r="AE54" s="2979"/>
    </row>
    <row r="55" spans="1:31" s="648" customFormat="1">
      <c r="A55" s="649" t="s">
        <v>2532</v>
      </c>
      <c r="B55" s="224" t="e">
        <f t="shared" si="17"/>
        <v>#DIV/0!</v>
      </c>
      <c r="C55" s="176">
        <f t="shared" si="16"/>
        <v>0.3</v>
      </c>
      <c r="D55" s="1076">
        <v>0.25</v>
      </c>
      <c r="E55" s="650"/>
      <c r="F55" s="647" t="e">
        <f t="shared" si="15"/>
        <v>#DIV/0!</v>
      </c>
      <c r="G55" s="3497"/>
      <c r="H55" s="1018" t="str">
        <f>项目基本情况!B37</f>
        <v>二级</v>
      </c>
      <c r="I55" s="879">
        <f>SUMIF(修正!A45:A56,H55,修正!E45:E56)</f>
        <v>0.3</v>
      </c>
      <c r="J55" s="880"/>
      <c r="K55" s="2925"/>
      <c r="L55" s="2979"/>
      <c r="M55" s="2979"/>
      <c r="N55" s="2979"/>
      <c r="O55" s="2979"/>
      <c r="P55" s="2979"/>
      <c r="Q55" s="2979"/>
      <c r="R55" s="2979"/>
      <c r="S55" s="2979"/>
      <c r="T55" s="2979"/>
      <c r="U55" s="2979"/>
      <c r="V55" s="2979"/>
      <c r="W55" s="2979"/>
      <c r="X55" s="2979"/>
      <c r="Y55" s="2979"/>
      <c r="Z55" s="2979"/>
      <c r="AA55" s="2979"/>
      <c r="AB55" s="2979"/>
      <c r="AC55" s="2979"/>
      <c r="AD55" s="2979"/>
      <c r="AE55" s="2979"/>
    </row>
    <row r="56" spans="1:31" s="648" customFormat="1">
      <c r="A56" s="649" t="s">
        <v>2533</v>
      </c>
      <c r="B56" s="224" t="e">
        <f t="shared" si="17"/>
        <v>#DIV/0!</v>
      </c>
      <c r="C56" s="176">
        <f t="shared" si="16"/>
        <v>0</v>
      </c>
      <c r="D56" s="1076">
        <v>0.25</v>
      </c>
      <c r="E56" s="223">
        <f>'数据-汇总表'!E11</f>
        <v>0</v>
      </c>
      <c r="F56" s="647" t="e">
        <f t="shared" si="15"/>
        <v>#DIV/0!</v>
      </c>
      <c r="G56" s="2143" t="s">
        <v>2534</v>
      </c>
      <c r="H56" s="1018">
        <f>项目基本情况!C37</f>
        <v>0</v>
      </c>
      <c r="I56" s="879">
        <f>SUMIF(修正!A45:A56,H56,修正!F45:F56)</f>
        <v>0</v>
      </c>
      <c r="J56" s="880"/>
      <c r="K56" s="2922"/>
      <c r="L56" s="2979"/>
      <c r="M56" s="2979"/>
      <c r="N56" s="2979"/>
      <c r="O56" s="2979"/>
      <c r="P56" s="2979"/>
      <c r="Q56" s="2979"/>
      <c r="R56" s="2979"/>
      <c r="S56" s="2979"/>
      <c r="T56" s="2979"/>
      <c r="U56" s="2979"/>
      <c r="V56" s="2979"/>
      <c r="W56" s="2979"/>
      <c r="X56" s="2979"/>
      <c r="Y56" s="2979"/>
      <c r="Z56" s="2979"/>
      <c r="AA56" s="2979"/>
      <c r="AB56" s="2979"/>
      <c r="AC56" s="2979"/>
      <c r="AD56" s="2979"/>
      <c r="AE56" s="2979"/>
    </row>
    <row r="57" spans="1:31" s="648" customFormat="1">
      <c r="A57" s="649" t="s">
        <v>2535</v>
      </c>
      <c r="B57" s="224" t="e">
        <f t="shared" si="17"/>
        <v>#DIV/0!</v>
      </c>
      <c r="C57" s="176">
        <f t="shared" si="16"/>
        <v>0</v>
      </c>
      <c r="D57" s="1076">
        <v>0.25</v>
      </c>
      <c r="E57" s="223">
        <f>'数据-汇总表'!E12</f>
        <v>0</v>
      </c>
      <c r="F57" s="647" t="e">
        <f t="shared" si="15"/>
        <v>#DIV/0!</v>
      </c>
      <c r="G57" s="1023" t="s">
        <v>2536</v>
      </c>
      <c r="H57" s="1018">
        <f>IF(G57="商业",项目基本情况!B37,IF(G57="办公",项目基本情况!C37,IF(G57="住宅",项目基本情况!D37,项目基本情况!E37)))</f>
        <v>0</v>
      </c>
      <c r="I57" s="879">
        <f>SUMIF(修正!A45:A56,H57,修正!G45:G56)</f>
        <v>0</v>
      </c>
      <c r="J57" s="880"/>
      <c r="K57" s="2925"/>
      <c r="L57" s="2979"/>
      <c r="M57" s="2979"/>
      <c r="N57" s="2979"/>
      <c r="O57" s="2979"/>
      <c r="P57" s="2979"/>
      <c r="Q57" s="2979"/>
      <c r="R57" s="2979"/>
      <c r="S57" s="2979"/>
      <c r="T57" s="2979"/>
      <c r="U57" s="2979"/>
      <c r="V57" s="2979"/>
      <c r="W57" s="2979"/>
      <c r="X57" s="2979"/>
      <c r="Y57" s="2979"/>
      <c r="Z57" s="2979"/>
      <c r="AA57" s="2979"/>
      <c r="AB57" s="2979"/>
      <c r="AC57" s="2979"/>
      <c r="AD57" s="2979"/>
      <c r="AE57" s="2979"/>
    </row>
    <row r="58" spans="1:31" s="648" customFormat="1">
      <c r="A58" s="649" t="s">
        <v>2537</v>
      </c>
      <c r="B58" s="224" t="e">
        <f t="shared" si="17"/>
        <v>#DIV/0!</v>
      </c>
      <c r="C58" s="176">
        <f t="shared" si="16"/>
        <v>0</v>
      </c>
      <c r="D58" s="1076">
        <v>0.25</v>
      </c>
      <c r="E58" s="223">
        <f>'数据-汇总表'!E13</f>
        <v>0</v>
      </c>
      <c r="F58" s="647" t="e">
        <f t="shared" si="15"/>
        <v>#DIV/0!</v>
      </c>
      <c r="G58" s="1023" t="s">
        <v>2538</v>
      </c>
      <c r="H58" s="1018">
        <f>IF(G58="商业",项目基本情况!B37,IF(G58="办公",项目基本情况!C37,IF(G58="住宅",项目基本情况!D37,项目基本情况!E37)))</f>
        <v>0</v>
      </c>
      <c r="I58" s="879">
        <f>SUMIF(修正!A45:A56,H58,修正!H45:H56)</f>
        <v>0</v>
      </c>
      <c r="J58" s="880"/>
      <c r="K58" s="2922"/>
      <c r="L58" s="2979"/>
      <c r="M58" s="2979"/>
      <c r="N58" s="2979"/>
      <c r="O58" s="2979"/>
      <c r="P58" s="2979"/>
      <c r="Q58" s="2979"/>
      <c r="R58" s="2979"/>
      <c r="S58" s="2979"/>
      <c r="T58" s="2979"/>
      <c r="U58" s="2979"/>
      <c r="V58" s="2979"/>
      <c r="W58" s="2979"/>
      <c r="X58" s="2979"/>
      <c r="Y58" s="2979"/>
      <c r="Z58" s="2979"/>
      <c r="AA58" s="2979"/>
      <c r="AB58" s="2979"/>
      <c r="AC58" s="2979"/>
      <c r="AD58" s="2979"/>
      <c r="AE58" s="2979"/>
    </row>
    <row r="59" spans="1:31" s="648" customFormat="1">
      <c r="A59" s="649" t="s">
        <v>2539</v>
      </c>
      <c r="B59" s="224" t="e">
        <f t="shared" si="17"/>
        <v>#DIV/0!</v>
      </c>
      <c r="C59" s="176">
        <f t="shared" si="16"/>
        <v>0.25</v>
      </c>
      <c r="D59" s="1076">
        <v>0.25</v>
      </c>
      <c r="E59" s="223">
        <f>'数据-汇总表'!E14</f>
        <v>0</v>
      </c>
      <c r="F59" s="647" t="e">
        <f t="shared" si="15"/>
        <v>#DIV/0!</v>
      </c>
      <c r="G59" s="2143" t="s">
        <v>2529</v>
      </c>
      <c r="H59" s="1018" t="str">
        <f>项目基本情况!B37</f>
        <v>二级</v>
      </c>
      <c r="I59" s="879">
        <f>SUMIF(修正!A45:A56,H59,修正!H45:H56)</f>
        <v>0.25</v>
      </c>
      <c r="J59" s="880"/>
      <c r="K59" s="2925"/>
      <c r="L59" s="2979"/>
      <c r="M59" s="2979"/>
      <c r="N59" s="2979"/>
      <c r="O59" s="2979"/>
      <c r="P59" s="2979"/>
      <c r="Q59" s="2979"/>
      <c r="R59" s="2979"/>
      <c r="S59" s="2979"/>
      <c r="T59" s="2979"/>
      <c r="U59" s="2979"/>
      <c r="V59" s="2979"/>
      <c r="W59" s="2979"/>
      <c r="X59" s="2979"/>
      <c r="Y59" s="2979"/>
      <c r="Z59" s="2979"/>
      <c r="AA59" s="2979"/>
      <c r="AB59" s="2979"/>
      <c r="AC59" s="2979"/>
      <c r="AD59" s="2979"/>
      <c r="AE59" s="2979"/>
    </row>
    <row r="60" spans="1:31" s="648" customFormat="1" ht="15" thickBot="1">
      <c r="A60" s="649" t="s">
        <v>2540</v>
      </c>
      <c r="B60" s="224" t="e">
        <f t="shared" si="17"/>
        <v>#DIV/0!</v>
      </c>
      <c r="C60" s="176">
        <f t="shared" si="16"/>
        <v>0</v>
      </c>
      <c r="D60" s="1076">
        <v>0.25</v>
      </c>
      <c r="E60" s="223">
        <f>'数据-汇总表'!E15</f>
        <v>0</v>
      </c>
      <c r="F60" s="647" t="e">
        <f t="shared" si="15"/>
        <v>#DIV/0!</v>
      </c>
      <c r="G60" s="2144" t="s">
        <v>2534</v>
      </c>
      <c r="H60" s="1028">
        <f>项目基本情况!C37</f>
        <v>0</v>
      </c>
      <c r="I60" s="879">
        <f>SUMIF(修正!A45:A56,H60,修正!H45:H56)</f>
        <v>0</v>
      </c>
      <c r="J60" s="880"/>
      <c r="K60" s="2922"/>
      <c r="L60" s="2979"/>
      <c r="M60" s="2979"/>
      <c r="N60" s="2979"/>
      <c r="O60" s="2979"/>
      <c r="P60" s="2979"/>
      <c r="Q60" s="2979"/>
      <c r="R60" s="2979"/>
      <c r="S60" s="2979"/>
      <c r="T60" s="2979"/>
      <c r="U60" s="2979"/>
      <c r="V60" s="2979"/>
      <c r="W60" s="2979"/>
      <c r="X60" s="2979"/>
      <c r="Y60" s="2979"/>
      <c r="Z60" s="2979"/>
      <c r="AA60" s="2979"/>
      <c r="AB60" s="2979"/>
      <c r="AC60" s="2979"/>
      <c r="AD60" s="2979"/>
      <c r="AE60" s="2979"/>
    </row>
    <row r="61" spans="1:31" s="648" customFormat="1" ht="15" thickBot="1">
      <c r="A61" s="651" t="s">
        <v>2541</v>
      </c>
      <c r="B61" s="652" t="s">
        <v>28</v>
      </c>
      <c r="C61" s="652" t="s">
        <v>29</v>
      </c>
      <c r="D61" s="652" t="s">
        <v>997</v>
      </c>
      <c r="E61" s="652">
        <f>IF(B41="楼面地价",SUM(E51:E60),'数据-汇总表'!D3)</f>
        <v>1741.52</v>
      </c>
      <c r="F61" s="653" t="e">
        <f>IF(B41="楼面地价",SUM(F51:F60),ROUND(C43*E61/10000,0))</f>
        <v>#DIV/0!</v>
      </c>
      <c r="G61" s="1070"/>
      <c r="H61" s="1070"/>
      <c r="I61" s="1070"/>
      <c r="J61" s="1070"/>
      <c r="K61" s="2927"/>
      <c r="L61" s="2979"/>
      <c r="M61" s="2979"/>
      <c r="N61" s="2979"/>
      <c r="O61" s="2979"/>
      <c r="P61" s="2979"/>
      <c r="Q61" s="2979"/>
      <c r="R61" s="2979"/>
      <c r="S61" s="2979"/>
      <c r="T61" s="2979"/>
      <c r="U61" s="2979"/>
      <c r="V61" s="2979"/>
      <c r="W61" s="2979"/>
      <c r="X61" s="2979"/>
      <c r="Y61" s="2979"/>
      <c r="Z61" s="2979"/>
      <c r="AA61" s="2979"/>
      <c r="AB61" s="2979"/>
      <c r="AC61" s="2979"/>
      <c r="AD61" s="2979"/>
      <c r="AE61" s="2979"/>
    </row>
    <row r="62" spans="1:31">
      <c r="A62" s="1058"/>
      <c r="B62" s="1060"/>
      <c r="C62" s="1062"/>
      <c r="D62" s="1058"/>
      <c r="E62" s="1058"/>
      <c r="F62" s="1058"/>
      <c r="G62" s="1058"/>
      <c r="H62" s="1058"/>
      <c r="I62" s="1058"/>
      <c r="J62" s="1058"/>
      <c r="K62" s="1019"/>
      <c r="L62" s="1020"/>
      <c r="M62" s="1058"/>
      <c r="N62" s="1058"/>
      <c r="O62" s="1058"/>
      <c r="P62" s="2922"/>
      <c r="Q62" s="2922"/>
      <c r="R62" s="2922"/>
      <c r="S62" s="2922"/>
      <c r="T62" s="2922"/>
      <c r="U62" s="2922"/>
      <c r="V62" s="2922"/>
      <c r="W62" s="2922"/>
      <c r="X62" s="2922"/>
      <c r="Y62" s="2922"/>
      <c r="Z62" s="2922"/>
      <c r="AA62" s="2922"/>
      <c r="AB62" s="2922"/>
      <c r="AC62" s="2922"/>
      <c r="AD62" s="2922"/>
      <c r="AE62" s="2922"/>
    </row>
    <row r="63" spans="1:31">
      <c r="A63" s="1058"/>
      <c r="B63" s="1060"/>
      <c r="C63" s="701" t="str">
        <f>YEAR(C7)&amp;"-"&amp;MONTH(C7)&amp;"-1"</f>
        <v>2022-3-1</v>
      </c>
      <c r="D63" s="701">
        <f>EDATE(C63,-3)</f>
        <v>44531</v>
      </c>
      <c r="E63" s="701">
        <f>EDATE(D63,-3)</f>
        <v>44440</v>
      </c>
      <c r="F63" s="701">
        <f t="shared" ref="F63:O63" si="18">EDATE(E63,-3)</f>
        <v>44348</v>
      </c>
      <c r="G63" s="701">
        <f t="shared" si="18"/>
        <v>44256</v>
      </c>
      <c r="H63" s="701">
        <f t="shared" si="18"/>
        <v>44166</v>
      </c>
      <c r="I63" s="701">
        <f t="shared" si="18"/>
        <v>44075</v>
      </c>
      <c r="J63" s="701">
        <f t="shared" si="18"/>
        <v>43983</v>
      </c>
      <c r="K63" s="701">
        <f t="shared" si="18"/>
        <v>43891</v>
      </c>
      <c r="L63" s="701">
        <f t="shared" si="18"/>
        <v>43800</v>
      </c>
      <c r="M63" s="701">
        <f t="shared" si="18"/>
        <v>43709</v>
      </c>
      <c r="N63" s="701">
        <f t="shared" si="18"/>
        <v>43617</v>
      </c>
      <c r="O63" s="701">
        <f t="shared" si="18"/>
        <v>43525</v>
      </c>
      <c r="P63" s="2922"/>
      <c r="Q63" s="2922"/>
      <c r="R63" s="2922"/>
      <c r="S63" s="2922"/>
      <c r="T63" s="2922"/>
      <c r="U63" s="2922"/>
      <c r="V63" s="2922"/>
      <c r="W63" s="2922"/>
      <c r="X63" s="2922"/>
      <c r="Y63" s="2922"/>
      <c r="Z63" s="2922"/>
      <c r="AA63" s="2922"/>
      <c r="AB63" s="2922"/>
      <c r="AC63" s="2922"/>
      <c r="AD63" s="2922"/>
      <c r="AE63" s="2922"/>
    </row>
    <row r="64" spans="1:31" ht="21.75" thickBot="1">
      <c r="A64" s="703" t="s">
        <v>2434</v>
      </c>
      <c r="B64" s="699"/>
      <c r="C64" s="704"/>
      <c r="D64" s="704"/>
      <c r="E64" s="704"/>
      <c r="F64" s="705"/>
      <c r="G64" s="705"/>
      <c r="H64" s="704"/>
      <c r="I64" s="704"/>
      <c r="J64" s="704"/>
      <c r="K64" s="706"/>
      <c r="L64" s="707"/>
      <c r="M64" s="704"/>
      <c r="N64" s="704"/>
      <c r="O64" s="1071"/>
      <c r="P64" s="2966"/>
      <c r="Q64" s="2936"/>
      <c r="R64" s="2922"/>
      <c r="S64" s="2922"/>
      <c r="T64" s="2922"/>
      <c r="U64" s="2922"/>
      <c r="V64" s="2922"/>
      <c r="W64" s="2922"/>
      <c r="X64" s="2922"/>
      <c r="Y64" s="2922"/>
      <c r="Z64" s="2922"/>
      <c r="AA64" s="2922"/>
      <c r="AB64" s="2922"/>
      <c r="AC64" s="2922"/>
      <c r="AD64" s="2922"/>
      <c r="AE64" s="2922"/>
    </row>
    <row r="65" spans="1:31" s="465" customFormat="1" ht="15">
      <c r="A65" s="2145" t="s">
        <v>2542</v>
      </c>
      <c r="B65" s="1241"/>
      <c r="C65" s="1316" t="str">
        <f>YEAR(C63)&amp;"-"&amp;ROUNDUP(MONTH(C63)/3,0)</f>
        <v>2022-1</v>
      </c>
      <c r="D65" s="1316" t="str">
        <f t="shared" ref="D65:O65" si="19">YEAR(D63)&amp;"-"&amp;ROUNDUP(MONTH(D63)/3,0)</f>
        <v>2021-4</v>
      </c>
      <c r="E65" s="1316" t="str">
        <f t="shared" si="19"/>
        <v>2021-3</v>
      </c>
      <c r="F65" s="1316" t="str">
        <f t="shared" si="19"/>
        <v>2021-2</v>
      </c>
      <c r="G65" s="1316" t="str">
        <f t="shared" si="19"/>
        <v>2021-1</v>
      </c>
      <c r="H65" s="1316" t="str">
        <f t="shared" si="19"/>
        <v>2020-4</v>
      </c>
      <c r="I65" s="1316" t="str">
        <f t="shared" si="19"/>
        <v>2020-3</v>
      </c>
      <c r="J65" s="1316" t="str">
        <f t="shared" si="19"/>
        <v>2020-2</v>
      </c>
      <c r="K65" s="1316" t="str">
        <f t="shared" si="19"/>
        <v>2020-1</v>
      </c>
      <c r="L65" s="1316" t="str">
        <f t="shared" si="19"/>
        <v>2019-4</v>
      </c>
      <c r="M65" s="1316" t="str">
        <f t="shared" si="19"/>
        <v>2019-3</v>
      </c>
      <c r="N65" s="1316" t="str">
        <f t="shared" si="19"/>
        <v>2019-2</v>
      </c>
      <c r="O65" s="1316" t="str">
        <f t="shared" si="19"/>
        <v>2019-1</v>
      </c>
      <c r="P65" s="2973"/>
      <c r="Q65" s="2938"/>
      <c r="R65" s="2938"/>
      <c r="S65" s="2938"/>
      <c r="T65" s="2938"/>
      <c r="U65" s="2938"/>
      <c r="V65" s="2938"/>
      <c r="W65" s="2938"/>
      <c r="X65" s="2938"/>
      <c r="Y65" s="2938"/>
      <c r="Z65" s="2938"/>
      <c r="AA65" s="2938"/>
      <c r="AB65" s="2938"/>
      <c r="AC65" s="2938"/>
      <c r="AD65" s="2938"/>
      <c r="AE65" s="2938"/>
    </row>
    <row r="66" spans="1:31" s="113" customFormat="1" ht="30.75" customHeight="1">
      <c r="A66" s="2150" t="s">
        <v>2562</v>
      </c>
      <c r="B66" s="294" t="str">
        <f>"北京市平均增长率"&amp;TEXT(基准地价修正!P24,"0.00%")</f>
        <v>北京市平均增长率1.20%</v>
      </c>
      <c r="C66" s="560">
        <v>100</v>
      </c>
      <c r="D66" s="552"/>
      <c r="E66" s="552"/>
      <c r="F66" s="552"/>
      <c r="G66" s="552"/>
      <c r="H66" s="552"/>
      <c r="I66" s="552"/>
      <c r="J66" s="552"/>
      <c r="K66" s="552"/>
      <c r="L66" s="552"/>
      <c r="M66" s="1312"/>
      <c r="N66" s="1312"/>
      <c r="O66" s="1314"/>
      <c r="P66" s="2936"/>
      <c r="Q66" s="2856"/>
      <c r="R66" s="2856"/>
      <c r="S66" s="2856"/>
      <c r="T66" s="2856"/>
      <c r="U66" s="2856"/>
      <c r="V66" s="2856"/>
      <c r="W66" s="2856"/>
      <c r="X66" s="2856"/>
      <c r="Y66" s="2856"/>
      <c r="Z66" s="2856"/>
      <c r="AA66" s="2856"/>
      <c r="AB66" s="2856"/>
      <c r="AC66" s="2856"/>
      <c r="AD66" s="2856"/>
      <c r="AE66" s="2856"/>
    </row>
    <row r="67" spans="1:31" s="113" customFormat="1" ht="15.75" thickBot="1">
      <c r="A67" s="472" t="s">
        <v>2345</v>
      </c>
      <c r="B67" s="473"/>
      <c r="C67" s="474"/>
      <c r="D67" s="475"/>
      <c r="E67" s="475"/>
      <c r="F67" s="475"/>
      <c r="G67" s="475"/>
      <c r="H67" s="475"/>
      <c r="I67" s="475"/>
      <c r="J67" s="475"/>
      <c r="K67" s="475"/>
      <c r="L67" s="475"/>
      <c r="M67" s="476"/>
      <c r="N67" s="476"/>
      <c r="O67" s="477"/>
      <c r="P67" s="2936"/>
      <c r="Q67" s="2936"/>
      <c r="R67" s="2856"/>
      <c r="S67" s="2856"/>
      <c r="T67" s="2856"/>
      <c r="U67" s="2856"/>
      <c r="V67" s="2856"/>
      <c r="W67" s="2856"/>
      <c r="X67" s="2856"/>
      <c r="Y67" s="2856"/>
      <c r="Z67" s="2856"/>
      <c r="AA67" s="2856"/>
      <c r="AB67" s="2856"/>
      <c r="AC67" s="2856"/>
      <c r="AD67" s="2856"/>
      <c r="AE67" s="2856"/>
    </row>
    <row r="68" spans="1:31" s="113" customFormat="1" ht="15">
      <c r="A68" s="478" t="s">
        <v>2310</v>
      </c>
      <c r="B68" s="467"/>
      <c r="C68" s="479" t="s">
        <v>2412</v>
      </c>
      <c r="D68" s="480"/>
      <c r="E68" s="480"/>
      <c r="F68" s="480"/>
      <c r="G68" s="480"/>
      <c r="H68" s="480"/>
      <c r="I68" s="480"/>
      <c r="J68" s="480"/>
      <c r="K68" s="480"/>
      <c r="L68" s="481"/>
      <c r="M68" s="482"/>
      <c r="N68" s="2949"/>
      <c r="O68" s="2949"/>
      <c r="P68" s="2974"/>
      <c r="Q68" s="2936"/>
      <c r="R68" s="2856"/>
      <c r="S68" s="2856"/>
      <c r="T68" s="2856"/>
      <c r="U68" s="2856"/>
      <c r="V68" s="2856"/>
      <c r="W68" s="2856"/>
      <c r="X68" s="2856"/>
      <c r="Y68" s="2856"/>
      <c r="Z68" s="2856"/>
      <c r="AA68" s="2856"/>
      <c r="AB68" s="2856"/>
      <c r="AC68" s="2856"/>
      <c r="AD68" s="2856"/>
      <c r="AE68" s="2856"/>
    </row>
    <row r="69" spans="1:31" s="113" customFormat="1" ht="15.75" thickBot="1">
      <c r="A69" s="478"/>
      <c r="B69" s="467"/>
      <c r="C69" s="595">
        <v>100</v>
      </c>
      <c r="D69" s="469"/>
      <c r="E69" s="469"/>
      <c r="F69" s="469"/>
      <c r="G69" s="469"/>
      <c r="H69" s="469"/>
      <c r="I69" s="469"/>
      <c r="J69" s="469"/>
      <c r="K69" s="469"/>
      <c r="L69" s="469"/>
      <c r="M69" s="471"/>
      <c r="N69" s="2949"/>
      <c r="O69" s="2949"/>
      <c r="P69" s="2936"/>
      <c r="Q69" s="2936"/>
      <c r="R69" s="2856"/>
      <c r="S69" s="2856"/>
      <c r="T69" s="2856"/>
      <c r="U69" s="2856"/>
      <c r="V69" s="2856"/>
      <c r="W69" s="2856"/>
      <c r="X69" s="2856"/>
      <c r="Y69" s="2856"/>
      <c r="Z69" s="2856"/>
      <c r="AA69" s="2856"/>
      <c r="AB69" s="2856"/>
      <c r="AC69" s="2856"/>
      <c r="AD69" s="2856"/>
      <c r="AE69" s="2856"/>
    </row>
    <row r="70" spans="1:31">
      <c r="A70" s="484" t="s">
        <v>2348</v>
      </c>
      <c r="B70" s="485" t="s">
        <v>2314</v>
      </c>
      <c r="C70" s="487"/>
      <c r="D70" s="487"/>
      <c r="E70" s="487"/>
      <c r="F70" s="487"/>
      <c r="G70" s="487"/>
      <c r="H70" s="487"/>
      <c r="I70" s="487"/>
      <c r="J70" s="487"/>
      <c r="K70" s="488"/>
      <c r="L70" s="489"/>
      <c r="M70" s="490"/>
      <c r="N70" s="2950"/>
      <c r="O70" s="2950"/>
      <c r="P70" s="2975"/>
      <c r="Q70" s="2936"/>
      <c r="R70" s="2922"/>
      <c r="S70" s="2922"/>
      <c r="T70" s="2922"/>
      <c r="U70" s="2922"/>
      <c r="V70" s="2922"/>
      <c r="W70" s="2922"/>
      <c r="X70" s="2922"/>
      <c r="Y70" s="2922"/>
      <c r="Z70" s="2922"/>
      <c r="AA70" s="2922"/>
      <c r="AB70" s="2922"/>
      <c r="AC70" s="2922"/>
      <c r="AD70" s="2922"/>
      <c r="AE70" s="2922"/>
    </row>
    <row r="71" spans="1:31" ht="15.75" thickBot="1">
      <c r="A71" s="491"/>
      <c r="B71" s="492"/>
      <c r="C71" s="493"/>
      <c r="D71" s="493"/>
      <c r="E71" s="493"/>
      <c r="F71" s="493"/>
      <c r="G71" s="493"/>
      <c r="H71" s="493"/>
      <c r="I71" s="493"/>
      <c r="J71" s="493"/>
      <c r="K71" s="493"/>
      <c r="L71" s="493"/>
      <c r="M71" s="494"/>
      <c r="N71" s="2951"/>
      <c r="O71" s="2951"/>
      <c r="P71" s="2975"/>
      <c r="Q71" s="2936"/>
      <c r="R71" s="2922"/>
      <c r="S71" s="2922"/>
      <c r="T71" s="2922"/>
      <c r="U71" s="2922"/>
      <c r="V71" s="2922"/>
      <c r="W71" s="2922"/>
      <c r="X71" s="2922"/>
      <c r="Y71" s="2922"/>
      <c r="Z71" s="2922"/>
      <c r="AA71" s="2922"/>
      <c r="AB71" s="2922"/>
      <c r="AC71" s="2922"/>
      <c r="AD71" s="2922"/>
      <c r="AE71" s="2922"/>
    </row>
    <row r="72" spans="1:31" ht="27.75" thickTop="1">
      <c r="A72" s="491"/>
      <c r="B72" s="495" t="s">
        <v>2317</v>
      </c>
      <c r="C72" s="496"/>
      <c r="D72" s="496"/>
      <c r="E72" s="496"/>
      <c r="F72" s="496"/>
      <c r="G72" s="496"/>
      <c r="H72" s="496"/>
      <c r="I72" s="496"/>
      <c r="J72" s="496"/>
      <c r="K72" s="497"/>
      <c r="L72" s="498"/>
      <c r="M72" s="499"/>
      <c r="N72" s="2950"/>
      <c r="O72" s="2950"/>
      <c r="P72" s="2975"/>
      <c r="Q72" s="2936"/>
      <c r="R72" s="2922"/>
      <c r="S72" s="2922"/>
      <c r="T72" s="2922"/>
      <c r="U72" s="2922"/>
      <c r="V72" s="2922"/>
      <c r="W72" s="2922"/>
      <c r="X72" s="2922"/>
      <c r="Y72" s="2922"/>
      <c r="Z72" s="2922"/>
      <c r="AA72" s="2922"/>
      <c r="AB72" s="2922"/>
      <c r="AC72" s="2922"/>
      <c r="AD72" s="2922"/>
      <c r="AE72" s="2922"/>
    </row>
    <row r="73" spans="1:31" ht="15.75" thickBot="1">
      <c r="A73" s="491"/>
      <c r="B73" s="500"/>
      <c r="C73" s="501"/>
      <c r="D73" s="501"/>
      <c r="E73" s="501"/>
      <c r="F73" s="501"/>
      <c r="G73" s="501"/>
      <c r="H73" s="501"/>
      <c r="I73" s="501"/>
      <c r="J73" s="501"/>
      <c r="K73" s="501"/>
      <c r="L73" s="501"/>
      <c r="M73" s="502"/>
      <c r="N73" s="2951"/>
      <c r="O73" s="2951"/>
      <c r="P73" s="2975"/>
      <c r="Q73" s="2936"/>
      <c r="R73" s="2922"/>
      <c r="S73" s="2922"/>
      <c r="T73" s="2922"/>
      <c r="U73" s="2922"/>
      <c r="V73" s="2922"/>
      <c r="W73" s="2922"/>
      <c r="X73" s="2922"/>
      <c r="Y73" s="2922"/>
      <c r="Z73" s="2922"/>
      <c r="AA73" s="2922"/>
      <c r="AB73" s="2922"/>
      <c r="AC73" s="2922"/>
      <c r="AD73" s="2922"/>
      <c r="AE73" s="2922"/>
    </row>
    <row r="74" spans="1:31" ht="15.75" thickTop="1">
      <c r="A74" s="491"/>
      <c r="B74" s="503" t="s">
        <v>2318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1"/>
      <c r="O74" s="2951"/>
      <c r="P74" s="2975"/>
      <c r="Q74" s="2936"/>
      <c r="R74" s="2922"/>
      <c r="S74" s="2922"/>
      <c r="T74" s="2922"/>
      <c r="U74" s="2922"/>
      <c r="V74" s="2922"/>
      <c r="W74" s="2922"/>
      <c r="X74" s="2922"/>
      <c r="Y74" s="2922"/>
      <c r="Z74" s="2922"/>
      <c r="AA74" s="2922"/>
      <c r="AB74" s="2922"/>
      <c r="AC74" s="2922"/>
      <c r="AD74" s="2922"/>
      <c r="AE74" s="2922"/>
    </row>
    <row r="75" spans="1:31" ht="15">
      <c r="A75" s="491"/>
      <c r="B75" s="505"/>
      <c r="C75" s="506"/>
      <c r="D75" s="506"/>
      <c r="E75" s="506"/>
      <c r="F75" s="506"/>
      <c r="G75" s="506"/>
      <c r="H75" s="506"/>
      <c r="I75" s="506"/>
      <c r="J75" s="506"/>
      <c r="K75" s="507"/>
      <c r="L75" s="508"/>
      <c r="M75" s="509"/>
      <c r="N75" s="2950"/>
      <c r="O75" s="2950"/>
      <c r="P75" s="2975"/>
      <c r="Q75" s="2936"/>
      <c r="R75" s="2922"/>
      <c r="S75" s="2922"/>
      <c r="T75" s="2922"/>
      <c r="U75" s="2922"/>
      <c r="V75" s="2922"/>
      <c r="W75" s="2922"/>
      <c r="X75" s="2922"/>
      <c r="Y75" s="2922"/>
      <c r="Z75" s="2922"/>
      <c r="AA75" s="2922"/>
      <c r="AB75" s="2922"/>
      <c r="AC75" s="2922"/>
      <c r="AD75" s="2922"/>
      <c r="AE75" s="2922"/>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1"/>
      <c r="O76" s="2951"/>
      <c r="P76" s="2975"/>
      <c r="Q76" s="2936"/>
      <c r="R76" s="2922"/>
      <c r="S76" s="2922"/>
      <c r="T76" s="2922"/>
      <c r="U76" s="2922"/>
      <c r="V76" s="2922"/>
      <c r="W76" s="2922"/>
      <c r="X76" s="2922"/>
      <c r="Y76" s="2922"/>
      <c r="Z76" s="2922"/>
      <c r="AA76" s="2922"/>
      <c r="AB76" s="2922"/>
      <c r="AC76" s="2922"/>
      <c r="AD76" s="2922"/>
      <c r="AE76" s="2922"/>
    </row>
    <row r="77" spans="1:31" s="430" customFormat="1" ht="15.75" thickTop="1">
      <c r="A77" s="510"/>
      <c r="B77" s="495">
        <f>B12</f>
        <v>111</v>
      </c>
      <c r="C77" s="511"/>
      <c r="D77" s="511"/>
      <c r="E77" s="511"/>
      <c r="F77" s="511"/>
      <c r="G77" s="511"/>
      <c r="H77" s="512"/>
      <c r="I77" s="512"/>
      <c r="J77" s="512"/>
      <c r="K77" s="512"/>
      <c r="L77" s="513"/>
      <c r="M77" s="514"/>
      <c r="N77" s="2952"/>
      <c r="O77" s="2952"/>
      <c r="P77" s="2976"/>
      <c r="Q77" s="2943"/>
      <c r="R77" s="2944"/>
      <c r="S77" s="2944"/>
      <c r="T77" s="2944"/>
      <c r="U77" s="2944"/>
      <c r="V77" s="2944"/>
      <c r="W77" s="2944"/>
      <c r="X77" s="2944"/>
      <c r="Y77" s="2944"/>
      <c r="Z77" s="2944"/>
      <c r="AA77" s="2944"/>
      <c r="AB77" s="2944"/>
      <c r="AC77" s="2944"/>
      <c r="AD77" s="2944"/>
      <c r="AE77" s="2944"/>
    </row>
    <row r="78" spans="1:31" s="430" customFormat="1" ht="15.75" thickBot="1">
      <c r="A78" s="510"/>
      <c r="B78" s="500"/>
      <c r="C78" s="517"/>
      <c r="D78" s="493"/>
      <c r="E78" s="493"/>
      <c r="F78" s="493"/>
      <c r="G78" s="493"/>
      <c r="H78" s="493"/>
      <c r="I78" s="493"/>
      <c r="J78" s="493"/>
      <c r="K78" s="493"/>
      <c r="L78" s="493"/>
      <c r="M78" s="494"/>
      <c r="N78" s="2951"/>
      <c r="O78" s="2951"/>
      <c r="P78" s="2976"/>
      <c r="Q78" s="2943"/>
      <c r="R78" s="2944"/>
      <c r="S78" s="2944"/>
      <c r="T78" s="2944"/>
      <c r="U78" s="2944"/>
      <c r="V78" s="2944"/>
      <c r="W78" s="2944"/>
      <c r="X78" s="2944"/>
      <c r="Y78" s="2944"/>
      <c r="Z78" s="2944"/>
      <c r="AA78" s="2944"/>
      <c r="AB78" s="2944"/>
      <c r="AC78" s="2944"/>
      <c r="AD78" s="2944"/>
      <c r="AE78" s="2944"/>
    </row>
    <row r="79" spans="1:31" s="430" customFormat="1" ht="15.75" thickTop="1">
      <c r="A79" s="510"/>
      <c r="B79" s="495">
        <f>B13</f>
        <v>111</v>
      </c>
      <c r="C79" s="511"/>
      <c r="D79" s="511"/>
      <c r="E79" s="511"/>
      <c r="F79" s="511"/>
      <c r="G79" s="511"/>
      <c r="H79" s="512"/>
      <c r="I79" s="512"/>
      <c r="J79" s="512"/>
      <c r="K79" s="512"/>
      <c r="L79" s="513"/>
      <c r="M79" s="514"/>
      <c r="N79" s="2952"/>
      <c r="O79" s="2952"/>
      <c r="P79" s="2920"/>
      <c r="Q79" s="2946"/>
      <c r="R79" s="2944"/>
      <c r="S79" s="2944"/>
      <c r="T79" s="2944"/>
      <c r="U79" s="2944"/>
      <c r="V79" s="2944"/>
      <c r="W79" s="2944"/>
      <c r="X79" s="2944"/>
      <c r="Y79" s="2944"/>
      <c r="Z79" s="2944"/>
      <c r="AA79" s="2944"/>
      <c r="AB79" s="2944"/>
      <c r="AC79" s="2944"/>
      <c r="AD79" s="2944"/>
      <c r="AE79" s="2944"/>
    </row>
    <row r="80" spans="1:31" s="430" customFormat="1" ht="15.75" thickBot="1">
      <c r="A80" s="510"/>
      <c r="B80" s="500"/>
      <c r="C80" s="517"/>
      <c r="D80" s="517"/>
      <c r="E80" s="517"/>
      <c r="F80" s="517"/>
      <c r="G80" s="517"/>
      <c r="H80" s="519"/>
      <c r="I80" s="519"/>
      <c r="J80" s="519"/>
      <c r="K80" s="519"/>
      <c r="L80" s="519"/>
      <c r="M80" s="520"/>
      <c r="N80" s="2952"/>
      <c r="O80" s="2952"/>
      <c r="P80" s="2976"/>
      <c r="Q80" s="2943"/>
      <c r="R80" s="2944"/>
      <c r="S80" s="2944"/>
      <c r="T80" s="2944"/>
      <c r="U80" s="2944"/>
      <c r="V80" s="2944"/>
      <c r="W80" s="2944"/>
      <c r="X80" s="2944"/>
      <c r="Y80" s="2944"/>
      <c r="Z80" s="2944"/>
      <c r="AA80" s="2944"/>
      <c r="AB80" s="2944"/>
      <c r="AC80" s="2944"/>
      <c r="AD80" s="2944"/>
      <c r="AE80" s="2944"/>
    </row>
    <row r="81" spans="1:31" s="430" customFormat="1" ht="15.75" thickTop="1">
      <c r="A81" s="510"/>
      <c r="B81" s="503">
        <f>B14</f>
        <v>111</v>
      </c>
      <c r="C81" s="480"/>
      <c r="D81" s="480"/>
      <c r="E81" s="480"/>
      <c r="F81" s="480"/>
      <c r="G81" s="480"/>
      <c r="H81" s="521"/>
      <c r="I81" s="521"/>
      <c r="J81" s="521"/>
      <c r="K81" s="521"/>
      <c r="L81" s="522"/>
      <c r="M81" s="523"/>
      <c r="N81" s="2952"/>
      <c r="O81" s="2952"/>
      <c r="P81" s="2981"/>
      <c r="Q81" s="2943"/>
      <c r="R81" s="2944"/>
      <c r="S81" s="2944"/>
      <c r="T81" s="2944"/>
      <c r="U81" s="2944"/>
      <c r="V81" s="2944"/>
      <c r="W81" s="2944"/>
      <c r="X81" s="2944"/>
      <c r="Y81" s="2944"/>
      <c r="Z81" s="2944"/>
      <c r="AA81" s="2944"/>
      <c r="AB81" s="2944"/>
      <c r="AC81" s="2944"/>
      <c r="AD81" s="2944"/>
      <c r="AE81" s="2944"/>
    </row>
    <row r="82" spans="1:31" s="430" customFormat="1" ht="15.75" thickBot="1">
      <c r="A82" s="525"/>
      <c r="B82" s="526"/>
      <c r="C82" s="527"/>
      <c r="D82" s="527"/>
      <c r="E82" s="527"/>
      <c r="F82" s="527"/>
      <c r="G82" s="527"/>
      <c r="H82" s="528"/>
      <c r="I82" s="528"/>
      <c r="J82" s="528"/>
      <c r="K82" s="528"/>
      <c r="L82" s="528"/>
      <c r="M82" s="529"/>
      <c r="N82" s="2952"/>
      <c r="O82" s="2952"/>
      <c r="P82" s="2976"/>
      <c r="Q82" s="2943"/>
      <c r="R82" s="2944"/>
      <c r="S82" s="2944"/>
      <c r="T82" s="2944"/>
      <c r="U82" s="2944"/>
      <c r="V82" s="2944"/>
      <c r="W82" s="2944"/>
      <c r="X82" s="2944"/>
      <c r="Y82" s="2944"/>
      <c r="Z82" s="2944"/>
      <c r="AA82" s="2944"/>
      <c r="AB82" s="2944"/>
      <c r="AC82" s="2944"/>
      <c r="AD82" s="2944"/>
      <c r="AE82" s="2944"/>
    </row>
    <row r="83" spans="1:31">
      <c r="A83" s="484" t="s">
        <v>2319</v>
      </c>
      <c r="B83" s="485" t="s">
        <v>2465</v>
      </c>
      <c r="C83" s="530" t="s">
        <v>2357</v>
      </c>
      <c r="D83" s="530" t="s">
        <v>2358</v>
      </c>
      <c r="E83" s="530" t="s">
        <v>2359</v>
      </c>
      <c r="F83" s="530" t="s">
        <v>2360</v>
      </c>
      <c r="G83" s="530" t="s">
        <v>2361</v>
      </c>
      <c r="H83" s="486"/>
      <c r="I83" s="486"/>
      <c r="J83" s="486"/>
      <c r="K83" s="531"/>
      <c r="L83" s="532"/>
      <c r="M83" s="533"/>
      <c r="N83" s="2950"/>
      <c r="O83" s="2950"/>
      <c r="P83" s="2977"/>
      <c r="Q83" s="2936"/>
      <c r="R83" s="2922"/>
      <c r="S83" s="2922"/>
      <c r="T83" s="2922"/>
      <c r="U83" s="2922"/>
      <c r="V83" s="2922"/>
      <c r="W83" s="2922"/>
      <c r="X83" s="2922"/>
      <c r="Y83" s="2922"/>
      <c r="Z83" s="2922"/>
      <c r="AA83" s="2922"/>
      <c r="AB83" s="2922"/>
      <c r="AC83" s="2922"/>
      <c r="AD83" s="2922"/>
      <c r="AE83" s="2922"/>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1"/>
      <c r="O84" s="2951"/>
      <c r="P84" s="2975"/>
      <c r="Q84" s="2936"/>
      <c r="R84" s="2922"/>
      <c r="S84" s="2922"/>
      <c r="T84" s="2922"/>
      <c r="U84" s="2922"/>
      <c r="V84" s="2922"/>
      <c r="W84" s="2922"/>
      <c r="X84" s="2922"/>
      <c r="Y84" s="2922"/>
      <c r="Z84" s="2922"/>
      <c r="AA84" s="2922"/>
      <c r="AB84" s="2922"/>
      <c r="AC84" s="2922"/>
      <c r="AD84" s="2922"/>
      <c r="AE84" s="2922"/>
    </row>
    <row r="85" spans="1:31" ht="15.75" thickTop="1">
      <c r="A85" s="491"/>
      <c r="B85" s="495" t="s">
        <v>2362</v>
      </c>
      <c r="C85" s="535" t="s">
        <v>2357</v>
      </c>
      <c r="D85" s="535" t="s">
        <v>2358</v>
      </c>
      <c r="E85" s="535" t="s">
        <v>2359</v>
      </c>
      <c r="F85" s="535" t="s">
        <v>2360</v>
      </c>
      <c r="G85" s="535" t="s">
        <v>2361</v>
      </c>
      <c r="H85" s="496"/>
      <c r="I85" s="496"/>
      <c r="J85" s="496"/>
      <c r="K85" s="497"/>
      <c r="L85" s="498"/>
      <c r="M85" s="499"/>
      <c r="N85" s="2950"/>
      <c r="O85" s="2950"/>
      <c r="P85" s="2975"/>
      <c r="Q85" s="2936"/>
      <c r="R85" s="2922"/>
      <c r="S85" s="2922"/>
      <c r="T85" s="2922"/>
      <c r="U85" s="2922"/>
      <c r="V85" s="2922"/>
      <c r="W85" s="2922"/>
      <c r="X85" s="2922"/>
      <c r="Y85" s="2922"/>
      <c r="Z85" s="2922"/>
      <c r="AA85" s="2922"/>
      <c r="AB85" s="2922"/>
      <c r="AC85" s="2922"/>
      <c r="AD85" s="2922"/>
      <c r="AE85" s="2922"/>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1"/>
      <c r="O86" s="2951"/>
      <c r="P86" s="2975"/>
      <c r="Q86" s="2936"/>
      <c r="R86" s="2922"/>
      <c r="S86" s="2922"/>
      <c r="T86" s="2922"/>
      <c r="U86" s="2922"/>
      <c r="V86" s="2922"/>
      <c r="W86" s="2922"/>
      <c r="X86" s="2922"/>
      <c r="Y86" s="2922"/>
      <c r="Z86" s="2922"/>
      <c r="AA86" s="2922"/>
      <c r="AB86" s="2922"/>
      <c r="AC86" s="2922"/>
      <c r="AD86" s="2922"/>
      <c r="AE86" s="2922"/>
    </row>
    <row r="87" spans="1:31" s="113" customFormat="1" ht="15.75" thickTop="1">
      <c r="A87" s="536"/>
      <c r="B87" s="495" t="s">
        <v>2545</v>
      </c>
      <c r="C87" s="530" t="s">
        <v>2357</v>
      </c>
      <c r="D87" s="530" t="s">
        <v>2358</v>
      </c>
      <c r="E87" s="530" t="s">
        <v>2359</v>
      </c>
      <c r="F87" s="530" t="s">
        <v>2360</v>
      </c>
      <c r="G87" s="530" t="s">
        <v>2361</v>
      </c>
      <c r="H87" s="535"/>
      <c r="I87" s="535"/>
      <c r="J87" s="535"/>
      <c r="K87" s="535"/>
      <c r="L87" s="654"/>
      <c r="M87" s="578"/>
      <c r="N87" s="2949"/>
      <c r="O87" s="2949"/>
      <c r="P87" s="2975"/>
      <c r="Q87" s="2936"/>
      <c r="R87" s="2856"/>
      <c r="S87" s="2856"/>
      <c r="T87" s="2856"/>
      <c r="U87" s="2856"/>
      <c r="V87" s="2856"/>
      <c r="W87" s="2856"/>
      <c r="X87" s="2856"/>
      <c r="Y87" s="2856"/>
      <c r="Z87" s="2856"/>
      <c r="AA87" s="2856"/>
      <c r="AB87" s="2856"/>
      <c r="AC87" s="2856"/>
      <c r="AD87" s="2856"/>
      <c r="AE87" s="2856"/>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1"/>
      <c r="O88" s="2951"/>
      <c r="P88" s="2975"/>
      <c r="Q88" s="2936"/>
      <c r="R88" s="2856"/>
      <c r="S88" s="2856"/>
      <c r="T88" s="2856"/>
      <c r="U88" s="2856"/>
      <c r="V88" s="2856"/>
      <c r="W88" s="2856"/>
      <c r="X88" s="2856"/>
      <c r="Y88" s="2856"/>
      <c r="Z88" s="2856"/>
      <c r="AA88" s="2856"/>
      <c r="AB88" s="2856"/>
      <c r="AC88" s="2856"/>
      <c r="AD88" s="2856"/>
      <c r="AE88" s="2856"/>
    </row>
    <row r="89" spans="1:31" s="113" customFormat="1" ht="27.75" thickTop="1">
      <c r="A89" s="536"/>
      <c r="B89" s="495" t="s">
        <v>2546</v>
      </c>
      <c r="C89" s="530" t="s">
        <v>2357</v>
      </c>
      <c r="D89" s="530" t="s">
        <v>2358</v>
      </c>
      <c r="E89" s="530" t="s">
        <v>2359</v>
      </c>
      <c r="F89" s="530" t="s">
        <v>2360</v>
      </c>
      <c r="G89" s="530" t="s">
        <v>2361</v>
      </c>
      <c r="H89" s="535"/>
      <c r="I89" s="535"/>
      <c r="J89" s="535"/>
      <c r="K89" s="535"/>
      <c r="L89" s="535"/>
      <c r="M89" s="578"/>
      <c r="N89" s="2949"/>
      <c r="O89" s="2949"/>
      <c r="P89" s="2975"/>
      <c r="Q89" s="2936"/>
      <c r="R89" s="2856"/>
      <c r="S89" s="2856"/>
      <c r="T89" s="2856"/>
      <c r="U89" s="2856"/>
      <c r="V89" s="2856"/>
      <c r="W89" s="2856"/>
      <c r="X89" s="2856"/>
      <c r="Y89" s="2856"/>
      <c r="Z89" s="2856"/>
      <c r="AA89" s="2856"/>
      <c r="AB89" s="2856"/>
      <c r="AC89" s="2856"/>
      <c r="AD89" s="2856"/>
      <c r="AE89" s="2856"/>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1"/>
      <c r="O90" s="2951"/>
      <c r="P90" s="2975"/>
      <c r="Q90" s="2936"/>
      <c r="R90" s="2856"/>
      <c r="S90" s="2856"/>
      <c r="T90" s="2856"/>
      <c r="U90" s="2856"/>
      <c r="V90" s="2856"/>
      <c r="W90" s="2856"/>
      <c r="X90" s="2856"/>
      <c r="Y90" s="2856"/>
      <c r="Z90" s="2856"/>
      <c r="AA90" s="2856"/>
      <c r="AB90" s="2856"/>
      <c r="AC90" s="2856"/>
      <c r="AD90" s="2856"/>
      <c r="AE90" s="2856"/>
    </row>
    <row r="91" spans="1:31" s="430" customFormat="1" ht="15.75" thickTop="1">
      <c r="A91" s="510"/>
      <c r="B91" s="495" t="s">
        <v>2414</v>
      </c>
      <c r="C91" s="530" t="s">
        <v>2357</v>
      </c>
      <c r="D91" s="530" t="s">
        <v>2358</v>
      </c>
      <c r="E91" s="530" t="s">
        <v>2359</v>
      </c>
      <c r="F91" s="530" t="s">
        <v>2360</v>
      </c>
      <c r="G91" s="530" t="s">
        <v>2361</v>
      </c>
      <c r="H91" s="557"/>
      <c r="I91" s="557"/>
      <c r="J91" s="557"/>
      <c r="K91" s="557"/>
      <c r="L91" s="558"/>
      <c r="M91" s="559"/>
      <c r="N91" s="2952"/>
      <c r="O91" s="2952"/>
      <c r="P91" s="2976"/>
      <c r="Q91" s="2943"/>
      <c r="R91" s="2944"/>
      <c r="S91" s="2944"/>
      <c r="T91" s="2944"/>
      <c r="U91" s="2944"/>
      <c r="V91" s="2944"/>
      <c r="W91" s="2944"/>
      <c r="X91" s="2944"/>
      <c r="Y91" s="2944"/>
      <c r="Z91" s="2944"/>
      <c r="AA91" s="2944"/>
      <c r="AB91" s="2944"/>
      <c r="AC91" s="2944"/>
      <c r="AD91" s="2944"/>
      <c r="AE91" s="2944"/>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2"/>
      <c r="O92" s="2952"/>
      <c r="P92" s="2976"/>
      <c r="Q92" s="2943"/>
      <c r="R92" s="2944"/>
      <c r="S92" s="2944"/>
      <c r="T92" s="2944"/>
      <c r="U92" s="2944"/>
      <c r="V92" s="2944"/>
      <c r="W92" s="2944"/>
      <c r="X92" s="2944"/>
      <c r="Y92" s="2944"/>
      <c r="Z92" s="2944"/>
      <c r="AA92" s="2944"/>
      <c r="AB92" s="2944"/>
      <c r="AC92" s="2944"/>
      <c r="AD92" s="2944"/>
      <c r="AE92" s="2944"/>
    </row>
    <row r="93" spans="1:31" s="430" customFormat="1" ht="15.75" thickTop="1">
      <c r="A93" s="510"/>
      <c r="B93" s="503" t="s">
        <v>2563</v>
      </c>
      <c r="C93" s="616" t="s">
        <v>2435</v>
      </c>
      <c r="D93" s="616" t="s">
        <v>2436</v>
      </c>
      <c r="E93" s="616" t="s">
        <v>2437</v>
      </c>
      <c r="F93" s="616" t="s">
        <v>2438</v>
      </c>
      <c r="G93" s="616" t="s">
        <v>2439</v>
      </c>
      <c r="H93" s="557"/>
      <c r="I93" s="557"/>
      <c r="J93" s="557"/>
      <c r="K93" s="557"/>
      <c r="L93" s="557"/>
      <c r="M93" s="559"/>
      <c r="N93" s="2952"/>
      <c r="O93" s="2952"/>
      <c r="P93" s="2976"/>
      <c r="Q93" s="2943"/>
      <c r="R93" s="2944"/>
      <c r="S93" s="2944"/>
      <c r="T93" s="2944"/>
      <c r="U93" s="2944"/>
      <c r="V93" s="2944"/>
      <c r="W93" s="2944"/>
      <c r="X93" s="2944"/>
      <c r="Y93" s="2944"/>
      <c r="Z93" s="2944"/>
      <c r="AA93" s="2944"/>
      <c r="AB93" s="2944"/>
      <c r="AC93" s="2944"/>
      <c r="AD93" s="2944"/>
      <c r="AE93" s="2944"/>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2"/>
      <c r="O94" s="2952"/>
      <c r="P94" s="2976"/>
      <c r="Q94" s="2943"/>
      <c r="R94" s="2944"/>
      <c r="S94" s="2944"/>
      <c r="T94" s="2944"/>
      <c r="U94" s="2944"/>
      <c r="V94" s="2944"/>
      <c r="W94" s="2944"/>
      <c r="X94" s="2944"/>
      <c r="Y94" s="2944"/>
      <c r="Z94" s="2944"/>
      <c r="AA94" s="2944"/>
      <c r="AB94" s="2944"/>
      <c r="AC94" s="2944"/>
      <c r="AD94" s="2944"/>
      <c r="AE94" s="2944"/>
    </row>
    <row r="95" spans="1:31" ht="15.75" thickTop="1">
      <c r="A95" s="491"/>
      <c r="B95" s="495" t="str">
        <f>B27</f>
        <v>临街状况</v>
      </c>
      <c r="C95" s="496" t="s">
        <v>2547</v>
      </c>
      <c r="D95" s="496" t="s">
        <v>2548</v>
      </c>
      <c r="E95" s="496" t="s">
        <v>2549</v>
      </c>
      <c r="F95" s="496" t="s">
        <v>2550</v>
      </c>
      <c r="G95" s="496"/>
      <c r="H95" s="496"/>
      <c r="I95" s="496"/>
      <c r="J95" s="496"/>
      <c r="K95" s="497"/>
      <c r="L95" s="498"/>
      <c r="M95" s="499"/>
      <c r="N95" s="2950"/>
      <c r="O95" s="2950"/>
      <c r="P95" s="2975"/>
      <c r="Q95" s="2936"/>
      <c r="R95" s="2922"/>
      <c r="S95" s="2922"/>
      <c r="T95" s="2922"/>
      <c r="U95" s="2922"/>
      <c r="V95" s="2922"/>
      <c r="W95" s="2922"/>
      <c r="X95" s="2922"/>
      <c r="Y95" s="2922"/>
      <c r="Z95" s="2922"/>
      <c r="AA95" s="2922"/>
      <c r="AB95" s="2922"/>
      <c r="AC95" s="2922"/>
      <c r="AD95" s="2922"/>
      <c r="AE95" s="2922"/>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1"/>
      <c r="O96" s="2951"/>
      <c r="P96" s="2975"/>
      <c r="Q96" s="2936"/>
      <c r="R96" s="2922"/>
      <c r="S96" s="2922"/>
      <c r="T96" s="2922"/>
      <c r="U96" s="2922"/>
      <c r="V96" s="2922"/>
      <c r="W96" s="2922"/>
      <c r="X96" s="2922"/>
      <c r="Y96" s="2922"/>
      <c r="Z96" s="2922"/>
      <c r="AA96" s="2922"/>
      <c r="AB96" s="2922"/>
      <c r="AC96" s="2922"/>
      <c r="AD96" s="2922"/>
      <c r="AE96" s="2922"/>
    </row>
    <row r="97" spans="1:31" ht="27.75" thickTop="1">
      <c r="A97" s="491"/>
      <c r="B97" s="495" t="s">
        <v>2451</v>
      </c>
      <c r="C97" s="511"/>
      <c r="D97" s="511"/>
      <c r="E97" s="511"/>
      <c r="F97" s="511"/>
      <c r="G97" s="511"/>
      <c r="H97" s="540"/>
      <c r="I97" s="540"/>
      <c r="J97" s="540"/>
      <c r="K97" s="541"/>
      <c r="L97" s="542"/>
      <c r="M97" s="543"/>
      <c r="N97" s="2950"/>
      <c r="O97" s="2950"/>
      <c r="P97" s="2975"/>
      <c r="Q97" s="2936"/>
      <c r="R97" s="2922"/>
      <c r="S97" s="2922"/>
      <c r="T97" s="2922"/>
      <c r="U97" s="2922"/>
      <c r="V97" s="2922"/>
      <c r="W97" s="2922"/>
      <c r="X97" s="2922"/>
      <c r="Y97" s="2922"/>
      <c r="Z97" s="2922"/>
      <c r="AA97" s="2922"/>
      <c r="AB97" s="2922"/>
      <c r="AC97" s="2922"/>
      <c r="AD97" s="2922"/>
      <c r="AE97" s="2922"/>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1"/>
      <c r="O98" s="2951"/>
      <c r="P98" s="2975"/>
      <c r="Q98" s="2936"/>
      <c r="R98" s="2922"/>
      <c r="S98" s="2922"/>
      <c r="T98" s="2922"/>
      <c r="U98" s="2922"/>
      <c r="V98" s="2922"/>
      <c r="W98" s="2922"/>
      <c r="X98" s="2922"/>
      <c r="Y98" s="2922"/>
      <c r="Z98" s="2922"/>
      <c r="AA98" s="2922"/>
      <c r="AB98" s="2922"/>
      <c r="AC98" s="2922"/>
      <c r="AD98" s="2922"/>
      <c r="AE98" s="2922"/>
    </row>
    <row r="99" spans="1:31" ht="15.75" thickTop="1">
      <c r="A99" s="491"/>
      <c r="B99" s="495" t="s">
        <v>2510</v>
      </c>
      <c r="C99" s="540"/>
      <c r="D99" s="540"/>
      <c r="E99" s="540"/>
      <c r="F99" s="540"/>
      <c r="G99" s="540"/>
      <c r="H99" s="540"/>
      <c r="I99" s="540"/>
      <c r="J99" s="540"/>
      <c r="K99" s="541"/>
      <c r="L99" s="542"/>
      <c r="M99" s="543"/>
      <c r="N99" s="2950"/>
      <c r="O99" s="2950"/>
      <c r="P99" s="2975"/>
      <c r="Q99" s="2936"/>
      <c r="R99" s="2922"/>
      <c r="S99" s="2922"/>
      <c r="T99" s="2922"/>
      <c r="U99" s="2922"/>
      <c r="V99" s="2922"/>
      <c r="W99" s="2922"/>
      <c r="X99" s="2922"/>
      <c r="Y99" s="2922"/>
      <c r="Z99" s="2922"/>
      <c r="AA99" s="2922"/>
      <c r="AB99" s="2922"/>
      <c r="AC99" s="2922"/>
      <c r="AD99" s="2922"/>
      <c r="AE99" s="2922"/>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1"/>
      <c r="O100" s="2951"/>
      <c r="P100" s="2975"/>
      <c r="Q100" s="2936"/>
      <c r="R100" s="2922"/>
      <c r="S100" s="2922"/>
      <c r="T100" s="2922"/>
      <c r="U100" s="2922"/>
      <c r="V100" s="2922"/>
      <c r="W100" s="2922"/>
      <c r="X100" s="2922"/>
      <c r="Y100" s="2922"/>
      <c r="Z100" s="2922"/>
      <c r="AA100" s="2922"/>
      <c r="AB100" s="2922"/>
      <c r="AC100" s="2922"/>
      <c r="AD100" s="2922"/>
      <c r="AE100" s="2922"/>
    </row>
    <row r="101" spans="1:31" ht="15.75" thickTop="1">
      <c r="A101" s="491"/>
      <c r="B101" s="503">
        <f>B31</f>
        <v>111</v>
      </c>
      <c r="C101" s="511"/>
      <c r="D101" s="511"/>
      <c r="E101" s="511"/>
      <c r="F101" s="511"/>
      <c r="G101" s="544"/>
      <c r="H101" s="544"/>
      <c r="I101" s="544"/>
      <c r="J101" s="544"/>
      <c r="K101" s="545"/>
      <c r="L101" s="546"/>
      <c r="M101" s="547"/>
      <c r="N101" s="2950"/>
      <c r="O101" s="2950"/>
      <c r="P101" s="2975"/>
      <c r="Q101" s="2936"/>
      <c r="R101" s="2922"/>
      <c r="S101" s="2922"/>
      <c r="T101" s="2922"/>
      <c r="U101" s="2922"/>
      <c r="V101" s="2922"/>
      <c r="W101" s="2922"/>
      <c r="X101" s="2922"/>
      <c r="Y101" s="2922"/>
      <c r="Z101" s="2922"/>
      <c r="AA101" s="2922"/>
      <c r="AB101" s="2922"/>
      <c r="AC101" s="2922"/>
      <c r="AD101" s="2922"/>
      <c r="AE101" s="2922"/>
    </row>
    <row r="102" spans="1:31" ht="15.75" thickBot="1">
      <c r="A102" s="491"/>
      <c r="B102" s="526"/>
      <c r="C102" s="517"/>
      <c r="D102" s="493"/>
      <c r="E102" s="493"/>
      <c r="F102" s="493"/>
      <c r="G102" s="548"/>
      <c r="H102" s="548"/>
      <c r="I102" s="548"/>
      <c r="J102" s="548"/>
      <c r="K102" s="548"/>
      <c r="L102" s="548"/>
      <c r="M102" s="549"/>
      <c r="N102" s="2951"/>
      <c r="O102" s="2951"/>
      <c r="P102" s="2975"/>
      <c r="Q102" s="2936"/>
      <c r="R102" s="2922"/>
      <c r="S102" s="2922"/>
      <c r="T102" s="2922"/>
      <c r="U102" s="2922"/>
      <c r="V102" s="2922"/>
      <c r="W102" s="2922"/>
      <c r="X102" s="2922"/>
      <c r="Y102" s="2922"/>
      <c r="Z102" s="2922"/>
      <c r="AA102" s="2922"/>
      <c r="AB102" s="2922"/>
      <c r="AC102" s="2922"/>
      <c r="AD102" s="2922"/>
      <c r="AE102" s="2922"/>
    </row>
    <row r="103" spans="1:31" ht="15" thickTop="1">
      <c r="A103" s="631"/>
      <c r="B103" s="495">
        <f>B32</f>
        <v>111</v>
      </c>
      <c r="C103" s="511"/>
      <c r="D103" s="511"/>
      <c r="E103" s="511"/>
      <c r="F103" s="511"/>
      <c r="G103" s="540"/>
      <c r="H103" s="540"/>
      <c r="I103" s="540"/>
      <c r="J103" s="540"/>
      <c r="K103" s="541"/>
      <c r="L103" s="542"/>
      <c r="M103" s="543"/>
      <c r="N103" s="2950"/>
      <c r="O103" s="2950"/>
      <c r="P103" s="2975"/>
      <c r="Q103" s="2936"/>
      <c r="R103" s="2922"/>
      <c r="S103" s="2922"/>
      <c r="T103" s="2922"/>
      <c r="U103" s="2922"/>
      <c r="V103" s="2922"/>
      <c r="W103" s="2922"/>
      <c r="X103" s="2922"/>
      <c r="Y103" s="2922"/>
      <c r="Z103" s="2922"/>
      <c r="AA103" s="2922"/>
      <c r="AB103" s="2922"/>
      <c r="AC103" s="2922"/>
      <c r="AD103" s="2922"/>
      <c r="AE103" s="2922"/>
    </row>
    <row r="104" spans="1:31" ht="15.75" thickBot="1">
      <c r="A104" s="491"/>
      <c r="B104" s="500"/>
      <c r="C104" s="517"/>
      <c r="D104" s="517"/>
      <c r="E104" s="517"/>
      <c r="F104" s="517"/>
      <c r="G104" s="493"/>
      <c r="H104" s="493"/>
      <c r="I104" s="493"/>
      <c r="J104" s="493"/>
      <c r="K104" s="493"/>
      <c r="L104" s="493"/>
      <c r="M104" s="494"/>
      <c r="N104" s="2951"/>
      <c r="O104" s="2951"/>
      <c r="P104" s="2975"/>
      <c r="Q104" s="2936"/>
      <c r="R104" s="2922"/>
      <c r="S104" s="2922"/>
      <c r="T104" s="2922"/>
      <c r="U104" s="2922"/>
      <c r="V104" s="2922"/>
      <c r="W104" s="2922"/>
      <c r="X104" s="2922"/>
      <c r="Y104" s="2922"/>
      <c r="Z104" s="2922"/>
      <c r="AA104" s="2922"/>
      <c r="AB104" s="2922"/>
      <c r="AC104" s="2922"/>
      <c r="AD104" s="2922"/>
      <c r="AE104" s="2922"/>
    </row>
    <row r="105" spans="1:31" s="430" customFormat="1" ht="15" thickTop="1">
      <c r="A105" s="550"/>
      <c r="B105" s="551">
        <f>B33</f>
        <v>111</v>
      </c>
      <c r="C105" s="480"/>
      <c r="D105" s="480"/>
      <c r="E105" s="480"/>
      <c r="F105" s="480"/>
      <c r="G105" s="552"/>
      <c r="H105" s="552"/>
      <c r="I105" s="552"/>
      <c r="J105" s="553"/>
      <c r="K105" s="553"/>
      <c r="L105" s="554"/>
      <c r="M105" s="555"/>
      <c r="N105" s="2952"/>
      <c r="O105" s="2952"/>
      <c r="P105" s="2976"/>
      <c r="Q105" s="2943"/>
      <c r="R105" s="2944"/>
      <c r="S105" s="2944"/>
      <c r="T105" s="2944"/>
      <c r="U105" s="2944"/>
      <c r="V105" s="2944"/>
      <c r="W105" s="2944"/>
      <c r="X105" s="2944"/>
      <c r="Y105" s="2944"/>
      <c r="Z105" s="2944"/>
      <c r="AA105" s="2944"/>
      <c r="AB105" s="2944"/>
      <c r="AC105" s="2944"/>
      <c r="AD105" s="2944"/>
      <c r="AE105" s="2944"/>
    </row>
    <row r="106" spans="1:31" s="430" customFormat="1" ht="15.75" thickBot="1">
      <c r="A106" s="510"/>
      <c r="B106" s="503"/>
      <c r="C106" s="527"/>
      <c r="D106" s="527"/>
      <c r="E106" s="527"/>
      <c r="F106" s="527"/>
      <c r="G106" s="633"/>
      <c r="H106" s="633"/>
      <c r="I106" s="633"/>
      <c r="J106" s="633"/>
      <c r="K106" s="633"/>
      <c r="L106" s="633"/>
      <c r="M106" s="655"/>
      <c r="N106" s="2951"/>
      <c r="O106" s="2951"/>
      <c r="P106" s="2976"/>
      <c r="Q106" s="2943"/>
      <c r="R106" s="2944"/>
      <c r="S106" s="2944"/>
      <c r="T106" s="2944"/>
      <c r="U106" s="2944"/>
      <c r="V106" s="2944"/>
      <c r="W106" s="2944"/>
      <c r="X106" s="2944"/>
      <c r="Y106" s="2944"/>
      <c r="Z106" s="2944"/>
      <c r="AA106" s="2944"/>
      <c r="AB106" s="2944"/>
      <c r="AC106" s="2944"/>
      <c r="AD106" s="2944"/>
      <c r="AE106" s="2944"/>
    </row>
    <row r="107" spans="1:31">
      <c r="A107" s="484" t="s">
        <v>2323</v>
      </c>
      <c r="B107" s="485" t="s">
        <v>2551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0"/>
      <c r="O107" s="2950"/>
      <c r="P107" s="2975"/>
      <c r="Q107" s="2936"/>
      <c r="R107" s="2922"/>
      <c r="S107" s="2922"/>
      <c r="T107" s="2922"/>
      <c r="U107" s="2922"/>
      <c r="V107" s="2922"/>
      <c r="W107" s="2922"/>
      <c r="X107" s="2922"/>
      <c r="Y107" s="2922"/>
      <c r="Z107" s="2922"/>
      <c r="AA107" s="2922"/>
      <c r="AB107" s="2922"/>
      <c r="AC107" s="2922"/>
      <c r="AD107" s="2922"/>
      <c r="AE107" s="2922"/>
    </row>
    <row r="108" spans="1:31" ht="15">
      <c r="A108" s="491"/>
      <c r="B108" s="503"/>
      <c r="C108" s="552"/>
      <c r="D108" s="552"/>
      <c r="E108" s="552"/>
      <c r="F108" s="552"/>
      <c r="G108" s="552"/>
      <c r="H108" s="552"/>
      <c r="I108" s="552"/>
      <c r="J108" s="553"/>
      <c r="K108" s="553"/>
      <c r="L108" s="554"/>
      <c r="M108" s="555"/>
      <c r="N108" s="2950"/>
      <c r="O108" s="2950"/>
      <c r="P108" s="2975"/>
      <c r="Q108" s="2936"/>
      <c r="R108" s="2922"/>
      <c r="S108" s="2922"/>
      <c r="T108" s="2922"/>
      <c r="U108" s="2922"/>
      <c r="V108" s="2922"/>
      <c r="W108" s="2922"/>
      <c r="X108" s="2922"/>
      <c r="Y108" s="2922"/>
      <c r="Z108" s="2922"/>
      <c r="AA108" s="2922"/>
      <c r="AB108" s="2922"/>
      <c r="AC108" s="2922"/>
      <c r="AD108" s="2922"/>
      <c r="AE108" s="2922"/>
    </row>
    <row r="109" spans="1:31" ht="15.75" thickBot="1">
      <c r="A109" s="491"/>
      <c r="B109" s="500"/>
      <c r="C109" s="527"/>
      <c r="D109" s="548"/>
      <c r="E109" s="548"/>
      <c r="F109" s="548"/>
      <c r="G109" s="548"/>
      <c r="H109" s="548"/>
      <c r="I109" s="548"/>
      <c r="J109" s="548"/>
      <c r="K109" s="548"/>
      <c r="L109" s="548"/>
      <c r="M109" s="549"/>
      <c r="N109" s="2951"/>
      <c r="O109" s="2951"/>
      <c r="P109" s="2975"/>
      <c r="Q109" s="2936"/>
      <c r="R109" s="2922"/>
      <c r="S109" s="2922"/>
      <c r="T109" s="2922"/>
      <c r="U109" s="2922"/>
      <c r="V109" s="2922"/>
      <c r="W109" s="2922"/>
      <c r="X109" s="2922"/>
      <c r="Y109" s="2922"/>
      <c r="Z109" s="2922"/>
      <c r="AA109" s="2922"/>
      <c r="AB109" s="2922"/>
      <c r="AC109" s="2922"/>
      <c r="AD109" s="2922"/>
      <c r="AE109" s="2922"/>
    </row>
    <row r="110" spans="1:31" ht="15" thickTop="1">
      <c r="A110" s="556"/>
      <c r="B110" s="495" t="s">
        <v>2552</v>
      </c>
      <c r="C110" s="540"/>
      <c r="D110" s="540"/>
      <c r="E110" s="540"/>
      <c r="F110" s="540"/>
      <c r="G110" s="540"/>
      <c r="H110" s="540"/>
      <c r="I110" s="540"/>
      <c r="J110" s="540"/>
      <c r="K110" s="541"/>
      <c r="L110" s="542"/>
      <c r="M110" s="543"/>
      <c r="N110" s="2950"/>
      <c r="O110" s="2950"/>
      <c r="P110" s="2975"/>
      <c r="Q110" s="2936"/>
      <c r="R110" s="2922"/>
      <c r="S110" s="2922"/>
      <c r="T110" s="2922"/>
      <c r="U110" s="2922"/>
      <c r="V110" s="2922"/>
      <c r="W110" s="2922"/>
      <c r="X110" s="2922"/>
      <c r="Y110" s="2922"/>
      <c r="Z110" s="2922"/>
      <c r="AA110" s="2922"/>
      <c r="AB110" s="2922"/>
      <c r="AC110" s="2922"/>
      <c r="AD110" s="2922"/>
      <c r="AE110" s="2922"/>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1"/>
      <c r="O111" s="2951"/>
      <c r="P111" s="2975"/>
      <c r="Q111" s="2936"/>
      <c r="R111" s="2922"/>
      <c r="S111" s="2922"/>
      <c r="T111" s="2922"/>
      <c r="U111" s="2922"/>
      <c r="V111" s="2922"/>
      <c r="W111" s="2922"/>
      <c r="X111" s="2922"/>
      <c r="Y111" s="2922"/>
      <c r="Z111" s="2922"/>
      <c r="AA111" s="2922"/>
      <c r="AB111" s="2922"/>
      <c r="AC111" s="2922"/>
      <c r="AD111" s="2922"/>
      <c r="AE111" s="2922"/>
    </row>
    <row r="112" spans="1:31" s="430" customFormat="1" ht="15" thickTop="1">
      <c r="A112" s="550"/>
      <c r="B112" s="495" t="s">
        <v>2554</v>
      </c>
      <c r="C112" s="511"/>
      <c r="D112" s="511"/>
      <c r="E112" s="511"/>
      <c r="F112" s="511"/>
      <c r="G112" s="511"/>
      <c r="H112" s="540"/>
      <c r="I112" s="540"/>
      <c r="J112" s="540"/>
      <c r="K112" s="541"/>
      <c r="L112" s="542"/>
      <c r="M112" s="543"/>
      <c r="N112" s="2952"/>
      <c r="O112" s="2952"/>
      <c r="P112" s="2976"/>
      <c r="Q112" s="2943"/>
      <c r="R112" s="2944"/>
      <c r="S112" s="2944"/>
      <c r="T112" s="2944"/>
      <c r="U112" s="2944"/>
      <c r="V112" s="2944"/>
      <c r="W112" s="2944"/>
      <c r="X112" s="2944"/>
      <c r="Y112" s="2944"/>
      <c r="Z112" s="2944"/>
      <c r="AA112" s="2944"/>
      <c r="AB112" s="2944"/>
      <c r="AC112" s="2944"/>
      <c r="AD112" s="2944"/>
      <c r="AE112" s="2944"/>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2"/>
      <c r="O113" s="2952"/>
      <c r="P113" s="2976"/>
      <c r="Q113" s="2943"/>
      <c r="R113" s="2944"/>
      <c r="S113" s="2944"/>
      <c r="T113" s="2944"/>
      <c r="U113" s="2944"/>
      <c r="V113" s="2944"/>
      <c r="W113" s="2944"/>
      <c r="X113" s="2944"/>
      <c r="Y113" s="2944"/>
      <c r="Z113" s="2944"/>
      <c r="AA113" s="2944"/>
      <c r="AB113" s="2944"/>
      <c r="AC113" s="2944"/>
      <c r="AD113" s="2944"/>
      <c r="AE113" s="2944"/>
    </row>
    <row r="114" spans="1:31" ht="15" thickTop="1">
      <c r="A114" s="556"/>
      <c r="B114" s="495" t="s">
        <v>2555</v>
      </c>
      <c r="C114" s="511"/>
      <c r="D114" s="511"/>
      <c r="E114" s="540"/>
      <c r="F114" s="540"/>
      <c r="G114" s="540"/>
      <c r="H114" s="540"/>
      <c r="I114" s="540"/>
      <c r="J114" s="540"/>
      <c r="K114" s="541"/>
      <c r="L114" s="542"/>
      <c r="M114" s="543"/>
      <c r="N114" s="2950"/>
      <c r="O114" s="2950"/>
      <c r="P114" s="2975"/>
      <c r="Q114" s="2936"/>
      <c r="R114" s="2922"/>
      <c r="S114" s="2922"/>
      <c r="T114" s="2922"/>
      <c r="U114" s="2922"/>
      <c r="V114" s="2922"/>
      <c r="W114" s="2922"/>
      <c r="X114" s="2922"/>
      <c r="Y114" s="2922"/>
      <c r="Z114" s="2922"/>
      <c r="AA114" s="2922"/>
      <c r="AB114" s="2922"/>
      <c r="AC114" s="2922"/>
      <c r="AD114" s="2922"/>
      <c r="AE114" s="2922"/>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1"/>
      <c r="O115" s="2951"/>
      <c r="P115" s="2975"/>
      <c r="Q115" s="2936"/>
      <c r="R115" s="2922"/>
      <c r="S115" s="2922"/>
      <c r="T115" s="2922"/>
      <c r="U115" s="2922"/>
      <c r="V115" s="2922"/>
      <c r="W115" s="2922"/>
      <c r="X115" s="2922"/>
      <c r="Y115" s="2922"/>
      <c r="Z115" s="2922"/>
      <c r="AA115" s="2922"/>
      <c r="AB115" s="2922"/>
      <c r="AC115" s="2922"/>
      <c r="AD115" s="2922"/>
      <c r="AE115" s="2922"/>
    </row>
    <row r="116" spans="1:31" ht="15" thickTop="1">
      <c r="A116" s="556"/>
      <c r="B116" s="495">
        <f>B38</f>
        <v>111</v>
      </c>
      <c r="C116" s="511"/>
      <c r="D116" s="511"/>
      <c r="E116" s="511"/>
      <c r="F116" s="511"/>
      <c r="G116" s="511"/>
      <c r="H116" s="540"/>
      <c r="I116" s="540"/>
      <c r="J116" s="540"/>
      <c r="K116" s="541"/>
      <c r="L116" s="542"/>
      <c r="M116" s="543"/>
      <c r="N116" s="2950"/>
      <c r="O116" s="2950"/>
      <c r="P116" s="2975"/>
      <c r="Q116" s="2936"/>
      <c r="R116" s="2922"/>
      <c r="S116" s="2922"/>
      <c r="T116" s="2922"/>
      <c r="U116" s="2922"/>
      <c r="V116" s="2922"/>
      <c r="W116" s="2922"/>
      <c r="X116" s="2922"/>
      <c r="Y116" s="2922"/>
      <c r="Z116" s="2922"/>
      <c r="AA116" s="2922"/>
      <c r="AB116" s="2922"/>
      <c r="AC116" s="2922"/>
      <c r="AD116" s="2922"/>
      <c r="AE116" s="2922"/>
    </row>
    <row r="117" spans="1:31" ht="15.75" thickBot="1">
      <c r="A117" s="491"/>
      <c r="B117" s="500"/>
      <c r="C117" s="517"/>
      <c r="D117" s="493"/>
      <c r="E117" s="493"/>
      <c r="F117" s="493"/>
      <c r="G117" s="493"/>
      <c r="H117" s="493"/>
      <c r="I117" s="493"/>
      <c r="J117" s="493"/>
      <c r="K117" s="493"/>
      <c r="L117" s="493"/>
      <c r="M117" s="494"/>
      <c r="N117" s="2951"/>
      <c r="O117" s="2951"/>
      <c r="P117" s="2975"/>
      <c r="Q117" s="2936"/>
      <c r="R117" s="2922"/>
      <c r="S117" s="2922"/>
      <c r="T117" s="2922"/>
      <c r="U117" s="2922"/>
      <c r="V117" s="2922"/>
      <c r="W117" s="2922"/>
      <c r="X117" s="2922"/>
      <c r="Y117" s="2922"/>
      <c r="Z117" s="2922"/>
      <c r="AA117" s="2922"/>
      <c r="AB117" s="2922"/>
      <c r="AC117" s="2922"/>
      <c r="AD117" s="2922"/>
      <c r="AE117" s="2922"/>
    </row>
    <row r="118" spans="1:31" ht="15" thickTop="1">
      <c r="A118" s="556"/>
      <c r="B118" s="495">
        <f>B39</f>
        <v>111</v>
      </c>
      <c r="C118" s="511"/>
      <c r="D118" s="511"/>
      <c r="E118" s="511"/>
      <c r="F118" s="511"/>
      <c r="G118" s="540"/>
      <c r="H118" s="540"/>
      <c r="I118" s="540"/>
      <c r="J118" s="540"/>
      <c r="K118" s="541"/>
      <c r="L118" s="542"/>
      <c r="M118" s="543"/>
      <c r="N118" s="2950"/>
      <c r="O118" s="2950"/>
      <c r="P118" s="2975"/>
      <c r="Q118" s="2936"/>
      <c r="R118" s="2922"/>
      <c r="S118" s="2922"/>
      <c r="T118" s="2922"/>
      <c r="U118" s="2922"/>
      <c r="V118" s="2922"/>
      <c r="W118" s="2922"/>
      <c r="X118" s="2922"/>
      <c r="Y118" s="2922"/>
      <c r="Z118" s="2922"/>
      <c r="AA118" s="2922"/>
      <c r="AB118" s="2922"/>
      <c r="AC118" s="2922"/>
      <c r="AD118" s="2922"/>
      <c r="AE118" s="2922"/>
    </row>
    <row r="119" spans="1:31" ht="15.75" thickBot="1">
      <c r="A119" s="491"/>
      <c r="B119" s="500"/>
      <c r="C119" s="517"/>
      <c r="D119" s="517"/>
      <c r="E119" s="517"/>
      <c r="F119" s="517"/>
      <c r="G119" s="493"/>
      <c r="H119" s="493"/>
      <c r="I119" s="493"/>
      <c r="J119" s="493"/>
      <c r="K119" s="493"/>
      <c r="L119" s="493"/>
      <c r="M119" s="494"/>
      <c r="N119" s="2951"/>
      <c r="O119" s="2951"/>
      <c r="P119" s="2975"/>
      <c r="Q119" s="2936"/>
      <c r="R119" s="2922"/>
      <c r="S119" s="2922"/>
      <c r="T119" s="2922"/>
      <c r="U119" s="2922"/>
      <c r="V119" s="2922"/>
      <c r="W119" s="2922"/>
      <c r="X119" s="2922"/>
      <c r="Y119" s="2922"/>
      <c r="Z119" s="2922"/>
      <c r="AA119" s="2922"/>
      <c r="AB119" s="2922"/>
      <c r="AC119" s="2922"/>
      <c r="AD119" s="2922"/>
      <c r="AE119" s="2922"/>
    </row>
    <row r="120" spans="1:31" s="430" customFormat="1" ht="15" thickTop="1">
      <c r="A120" s="550"/>
      <c r="B120" s="495">
        <f>B40</f>
        <v>111</v>
      </c>
      <c r="C120" s="480"/>
      <c r="D120" s="480"/>
      <c r="E120" s="480"/>
      <c r="F120" s="480"/>
      <c r="G120" s="512"/>
      <c r="H120" s="512"/>
      <c r="I120" s="512"/>
      <c r="J120" s="512"/>
      <c r="K120" s="512"/>
      <c r="L120" s="513"/>
      <c r="M120" s="514"/>
      <c r="N120" s="2952"/>
      <c r="O120" s="2952"/>
      <c r="P120" s="2976"/>
      <c r="Q120" s="2943"/>
      <c r="R120" s="2944"/>
      <c r="S120" s="2944"/>
      <c r="T120" s="2944"/>
      <c r="U120" s="2944"/>
      <c r="V120" s="2944"/>
      <c r="W120" s="2944"/>
      <c r="X120" s="2944"/>
      <c r="Y120" s="2944"/>
      <c r="Z120" s="2944"/>
      <c r="AA120" s="2944"/>
      <c r="AB120" s="2944"/>
      <c r="AC120" s="2944"/>
      <c r="AD120" s="2944"/>
      <c r="AE120" s="2944"/>
    </row>
    <row r="121" spans="1:31" s="430" customFormat="1" ht="15.75" thickBot="1">
      <c r="A121" s="525"/>
      <c r="B121" s="656"/>
      <c r="C121" s="527"/>
      <c r="D121" s="527"/>
      <c r="E121" s="527"/>
      <c r="F121" s="527"/>
      <c r="G121" s="548"/>
      <c r="H121" s="548"/>
      <c r="I121" s="548"/>
      <c r="J121" s="548"/>
      <c r="K121" s="548"/>
      <c r="L121" s="548"/>
      <c r="M121" s="549"/>
      <c r="N121" s="2952"/>
      <c r="O121" s="2952"/>
      <c r="P121" s="2976"/>
      <c r="Q121" s="2943"/>
      <c r="R121" s="2944"/>
      <c r="S121" s="2944"/>
      <c r="T121" s="2944"/>
      <c r="U121" s="2944"/>
      <c r="V121" s="2944"/>
      <c r="W121" s="2944"/>
      <c r="X121" s="2944"/>
      <c r="Y121" s="2944"/>
      <c r="Z121" s="2944"/>
      <c r="AA121" s="2944"/>
      <c r="AB121" s="2944"/>
      <c r="AC121" s="2944"/>
      <c r="AD121" s="2944"/>
      <c r="AE121" s="2944"/>
    </row>
    <row r="122" spans="1:31">
      <c r="N122" s="2922"/>
      <c r="O122" s="2922"/>
      <c r="P122" s="2922"/>
      <c r="Q122" s="2922"/>
      <c r="R122" s="2922"/>
      <c r="S122" s="2922"/>
      <c r="T122" s="2922"/>
      <c r="U122" s="2922"/>
      <c r="V122" s="2922"/>
      <c r="W122" s="2922"/>
      <c r="X122" s="2922"/>
      <c r="Y122" s="2922"/>
      <c r="Z122" s="2922"/>
      <c r="AA122" s="2922"/>
      <c r="AB122" s="2922"/>
      <c r="AC122" s="2922"/>
      <c r="AD122" s="2922"/>
      <c r="AE122" s="2922"/>
    </row>
    <row r="123" spans="1:31">
      <c r="P123" s="2922"/>
      <c r="Q123" s="2922"/>
      <c r="R123" s="2922"/>
      <c r="S123" s="2922"/>
      <c r="T123" s="2922"/>
      <c r="U123" s="2922"/>
      <c r="V123" s="2922"/>
      <c r="W123" s="2922"/>
      <c r="X123" s="2922"/>
      <c r="Y123" s="2922"/>
      <c r="Z123" s="2922"/>
      <c r="AA123" s="2922"/>
      <c r="AB123" s="2922"/>
      <c r="AC123" s="2922"/>
      <c r="AD123" s="2922"/>
      <c r="AE123" s="2922"/>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2564</v>
      </c>
      <c r="B1" s="203"/>
      <c r="C1" s="207" t="s">
        <v>2565</v>
      </c>
      <c r="D1" s="348">
        <f>SUM(D29:D30,D33:D39)</f>
        <v>0</v>
      </c>
      <c r="E1" s="2151"/>
      <c r="F1" s="2151"/>
      <c r="G1" s="2151"/>
      <c r="H1" s="2151"/>
      <c r="I1" s="2151"/>
      <c r="J1" s="2151"/>
      <c r="K1" s="1252"/>
      <c r="L1" s="2152" t="s">
        <v>2566</v>
      </c>
      <c r="M1" s="994">
        <f>SUMPRODUCT((区片价!B5:B9=I2)*(区片价!C3:F3=E2)*(区片价!C5:F9))</f>
        <v>0</v>
      </c>
      <c r="N1" s="997">
        <f>SUMPRODUCT((因素修正幅度!B5:B9=I2)*(因素修正幅度!C3:F3=E2)*(因素修正幅度!C5:F9))</f>
        <v>0</v>
      </c>
      <c r="O1" s="2153"/>
      <c r="P1" s="2153"/>
      <c r="Q1" s="1252"/>
      <c r="R1" s="1346" t="s">
        <v>2567</v>
      </c>
      <c r="S1" s="1346" t="s">
        <v>2568</v>
      </c>
      <c r="T1" s="1346" t="s">
        <v>2569</v>
      </c>
      <c r="U1" s="1346" t="s">
        <v>2570</v>
      </c>
      <c r="V1" s="1346" t="s">
        <v>2571</v>
      </c>
      <c r="W1" s="1350"/>
      <c r="X1" s="1350"/>
      <c r="Y1" s="1350"/>
      <c r="Z1" s="1350"/>
      <c r="AA1" s="1350"/>
      <c r="AB1" s="1350"/>
      <c r="AC1" s="1351"/>
      <c r="AD1" s="1352"/>
      <c r="AE1" s="1352"/>
      <c r="AF1" s="1352"/>
      <c r="AG1" s="1352"/>
      <c r="AH1" s="1352"/>
      <c r="AI1" s="1352"/>
      <c r="AJ1" s="1353"/>
    </row>
    <row r="2" spans="1:36" ht="15.75">
      <c r="A2" s="207" t="s">
        <v>2572</v>
      </c>
      <c r="B2" s="210" t="e">
        <f>C26</f>
        <v>#DIV/0!</v>
      </c>
      <c r="C2" s="2155" t="s">
        <v>2573</v>
      </c>
      <c r="D2" s="2156" t="s">
        <v>2574</v>
      </c>
      <c r="E2" s="2157"/>
      <c r="F2" s="2156" t="s">
        <v>2575</v>
      </c>
      <c r="G2" s="2158">
        <f>IF(E2="商业",项目基本情况!B37,IF(E2="办公",项目基本情况!C37,IF(E2="住宅",项目基本情况!D37,项目基本情况!E37)))</f>
        <v>0</v>
      </c>
      <c r="H2" s="2156" t="s">
        <v>2576</v>
      </c>
      <c r="I2" s="2158">
        <f>IF(E2="商业",项目基本情况!B38,IF(E2="办公",项目基本情况!C38,IF(E2="住宅",项目基本情况!D38,项目基本情况!E38)))</f>
        <v>0</v>
      </c>
      <c r="J2" s="2159"/>
      <c r="K2" s="1252"/>
      <c r="L2" s="2160" t="s">
        <v>2577</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0</v>
      </c>
      <c r="T2" s="1346" t="e">
        <f>ROUND($C$5*$C$18*$C$19*$C$20*S2*$C$24,0)</f>
        <v>#DIV/0!</v>
      </c>
      <c r="U2" s="1347"/>
      <c r="V2" s="1346" t="e">
        <f>ROUND(T2*U2/10000,0)</f>
        <v>#DIV/0!</v>
      </c>
      <c r="W2" s="1350"/>
      <c r="X2" s="1350"/>
      <c r="Y2" s="1350"/>
      <c r="Z2" s="1350"/>
      <c r="AA2" s="1350"/>
      <c r="AB2" s="1350"/>
      <c r="AC2" s="1351"/>
      <c r="AD2" s="1352"/>
      <c r="AE2" s="1352"/>
      <c r="AF2" s="1352"/>
      <c r="AG2" s="1352"/>
      <c r="AH2" s="1352"/>
      <c r="AI2" s="1352"/>
      <c r="AJ2" s="1353"/>
    </row>
    <row r="3" spans="1:36" ht="15.75">
      <c r="A3" s="209" t="s">
        <v>2578</v>
      </c>
      <c r="B3" s="210" t="e">
        <f>ROUND(B2*10000/D1,0)</f>
        <v>#DIV/0!</v>
      </c>
      <c r="C3" s="2155" t="s">
        <v>2579</v>
      </c>
      <c r="D3" s="2156" t="s">
        <v>2580</v>
      </c>
      <c r="E3" s="2161"/>
      <c r="F3" s="2162" t="s">
        <v>2581</v>
      </c>
      <c r="G3" s="855">
        <f>IF(F3="宗地容积率",'数据-汇总表'!I4,IF(F3="估价对象容积率",'数据-汇总表'!I6,'数据-汇总表'!I7))</f>
        <v>3.77</v>
      </c>
      <c r="H3" s="175" t="s">
        <v>2582</v>
      </c>
      <c r="I3" s="881"/>
      <c r="J3" s="2159" t="s">
        <v>2583</v>
      </c>
      <c r="K3" s="1252"/>
      <c r="L3" s="2160" t="s">
        <v>2584</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0</v>
      </c>
      <c r="T3" s="1346" t="e">
        <f t="shared" ref="T3:T16" si="0">ROUND($C$5*$C$18*$C$19*$C$20*S3*$C$24,0)</f>
        <v>#DIV/0!</v>
      </c>
      <c r="U3" s="1347"/>
      <c r="V3" s="1346" t="e">
        <f t="shared" ref="V3:V16" si="1">ROUND(T3*U3/10000,0)</f>
        <v>#DIV/0!</v>
      </c>
      <c r="W3" s="1350"/>
      <c r="X3" s="1350"/>
      <c r="Y3" s="1350"/>
      <c r="Z3" s="1350"/>
      <c r="AA3" s="1350"/>
      <c r="AB3" s="1350"/>
      <c r="AC3" s="1351"/>
      <c r="AD3" s="1352"/>
      <c r="AE3" s="1352"/>
      <c r="AF3" s="1352"/>
      <c r="AG3" s="1352"/>
      <c r="AH3" s="1352"/>
      <c r="AI3" s="1352"/>
      <c r="AJ3" s="1353"/>
    </row>
    <row r="4" spans="1:36" ht="15.75">
      <c r="A4" s="3521"/>
      <c r="B4" s="3522"/>
      <c r="C4" s="3522"/>
      <c r="D4" s="3523"/>
      <c r="E4" s="3523"/>
      <c r="F4" s="3523"/>
      <c r="G4" s="3523"/>
      <c r="H4" s="3523"/>
      <c r="I4" s="3523"/>
      <c r="J4" s="3524"/>
      <c r="K4" s="1252"/>
      <c r="L4" s="2160" t="s">
        <v>2585</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0</v>
      </c>
      <c r="T4" s="1346" t="e">
        <f t="shared" si="0"/>
        <v>#DIV/0!</v>
      </c>
      <c r="U4" s="1347"/>
      <c r="V4" s="1346" t="e">
        <f t="shared" si="1"/>
        <v>#DIV/0!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2586</v>
      </c>
      <c r="C5" s="856" t="e">
        <f>ROUND(IF(E2="商业",C6*C7+C16,(IF(E2="住宅",C6*C12+C16,C6+C16))),0)</f>
        <v>#DIV/0!</v>
      </c>
      <c r="D5" s="1493" t="e">
        <f>ROUND(C6+C16,0)</f>
        <v>#DIV/0!</v>
      </c>
      <c r="E5" s="1493"/>
      <c r="F5" s="2165"/>
      <c r="G5" s="2166"/>
      <c r="H5" s="2166"/>
      <c r="I5" s="2166"/>
      <c r="J5" s="2167"/>
      <c r="K5" s="2168"/>
      <c r="L5" s="2160" t="s">
        <v>2587</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0</v>
      </c>
      <c r="T5" s="1346" t="e">
        <f t="shared" si="0"/>
        <v>#DIV/0!</v>
      </c>
      <c r="U5" s="1347"/>
      <c r="V5" s="1346" t="e">
        <f t="shared" si="1"/>
        <v>#DIV/0!</v>
      </c>
      <c r="W5" s="1350"/>
      <c r="X5" s="1350"/>
      <c r="Y5" s="1350"/>
      <c r="Z5" s="1350"/>
      <c r="AA5" s="1350"/>
      <c r="AB5" s="1350"/>
      <c r="AC5" s="2169"/>
      <c r="AD5" s="2170"/>
      <c r="AE5" s="2170"/>
      <c r="AF5" s="2170"/>
      <c r="AG5" s="2170"/>
      <c r="AH5" s="2170"/>
      <c r="AI5" s="2170"/>
      <c r="AJ5" s="2171"/>
    </row>
    <row r="6" spans="1:36" ht="15.75" thickBot="1">
      <c r="A6" s="2173" t="s">
        <v>2588</v>
      </c>
      <c r="B6" s="2174" t="s">
        <v>2589</v>
      </c>
      <c r="C6" s="857">
        <f>SUMIF(L1:L12,G2,M1:M12)</f>
        <v>0</v>
      </c>
      <c r="D6" s="2175" t="s">
        <v>2590</v>
      </c>
      <c r="E6" s="2176"/>
      <c r="F6" s="2176"/>
      <c r="G6" s="2177"/>
      <c r="H6" s="2177"/>
      <c r="I6" s="2177"/>
      <c r="J6" s="2178"/>
      <c r="K6" s="1538"/>
      <c r="L6" s="2160" t="s">
        <v>2591</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v>
      </c>
      <c r="T6" s="1346" t="e">
        <f t="shared" si="0"/>
        <v>#DIV/0!</v>
      </c>
      <c r="U6" s="1347"/>
      <c r="V6" s="1346" t="e">
        <f t="shared" si="1"/>
        <v>#DIV/0!</v>
      </c>
      <c r="W6" s="1350"/>
      <c r="X6" s="1350"/>
      <c r="Y6" s="1350"/>
      <c r="Z6" s="1350"/>
      <c r="AA6" s="1350"/>
      <c r="AB6" s="1350"/>
      <c r="AC6" s="2169"/>
      <c r="AD6" s="2170"/>
      <c r="AE6" s="2170"/>
      <c r="AF6" s="2170"/>
      <c r="AG6" s="2170"/>
      <c r="AH6" s="2170"/>
      <c r="AI6" s="2170"/>
      <c r="AJ6" s="2171"/>
    </row>
    <row r="7" spans="1:36" ht="24">
      <c r="A7" s="3502" t="str">
        <f>IF(E2="商业",IF(C8="不临58条商业街","",2),"")</f>
        <v/>
      </c>
      <c r="B7" s="2179" t="s">
        <v>2592</v>
      </c>
      <c r="C7" s="858" t="e">
        <f>IF(C8="不临58条商业街",1,ROUND(1+(1.6*E8+1.2*E9+0.8*E10+0.4*E11)*C9,4))</f>
        <v>#DIV/0!</v>
      </c>
      <c r="D7" s="2180" t="s">
        <v>2593</v>
      </c>
      <c r="E7" s="882"/>
      <c r="F7" s="2181"/>
      <c r="G7" s="2182"/>
      <c r="H7" s="2182"/>
      <c r="I7" s="2182"/>
      <c r="J7" s="2183"/>
      <c r="K7" s="1538"/>
      <c r="L7" s="2160" t="s">
        <v>2594</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0</v>
      </c>
      <c r="T7" s="1346" t="e">
        <f t="shared" si="0"/>
        <v>#DIV/0!</v>
      </c>
      <c r="U7" s="1347"/>
      <c r="V7" s="1346" t="e">
        <f t="shared" si="1"/>
        <v>#DIV/0!</v>
      </c>
      <c r="W7" s="1512" t="s">
        <v>2595</v>
      </c>
      <c r="X7" s="1348">
        <f>G2</f>
        <v>0</v>
      </c>
      <c r="Y7" s="1348" t="s">
        <v>2596</v>
      </c>
      <c r="Z7" s="1349">
        <f>G3</f>
        <v>3.77</v>
      </c>
      <c r="AA7" s="1350"/>
      <c r="AB7" s="1350"/>
      <c r="AC7" s="1351"/>
      <c r="AD7" s="1352"/>
      <c r="AE7" s="1352"/>
      <c r="AF7" s="1352"/>
      <c r="AG7" s="1352"/>
      <c r="AH7" s="1352"/>
      <c r="AI7" s="1352"/>
      <c r="AJ7" s="1353"/>
    </row>
    <row r="8" spans="1:36" ht="15">
      <c r="A8" s="3525"/>
      <c r="B8" s="175" t="s">
        <v>2597</v>
      </c>
      <c r="C8" s="2184"/>
      <c r="D8" s="859" t="s">
        <v>139</v>
      </c>
      <c r="E8" s="860" t="e">
        <f>ROUND(C11/E7,4)</f>
        <v>#DIV/0!</v>
      </c>
      <c r="F8" s="2185" t="s">
        <v>2598</v>
      </c>
      <c r="G8" s="2186"/>
      <c r="H8" s="2186"/>
      <c r="I8" s="2186"/>
      <c r="J8" s="2187"/>
      <c r="K8" s="1252"/>
      <c r="L8" s="2160" t="s">
        <v>2599</v>
      </c>
      <c r="M8" s="995">
        <f>SUMPRODUCT((区片价!B206:B244=I2)*(区片价!C3:F3=E2)*(区片价!C206:F244))</f>
        <v>0</v>
      </c>
      <c r="N8" s="997">
        <f>SUMPRODUCT((因素修正幅度!B206:B244=I2)*(因素修正幅度!C3:F3=E2)*(因素修正幅度!C206:F244))</f>
        <v>0</v>
      </c>
      <c r="O8" s="1252"/>
      <c r="P8" s="1252"/>
      <c r="Q8" s="1252"/>
      <c r="R8" s="1346">
        <v>7</v>
      </c>
      <c r="S8" s="1347"/>
      <c r="T8" s="1346" t="e">
        <f t="shared" si="0"/>
        <v>#DIV/0!</v>
      </c>
      <c r="U8" s="1347"/>
      <c r="V8" s="1346" t="e">
        <f t="shared" si="1"/>
        <v>#DIV/0!</v>
      </c>
      <c r="W8" s="3518" t="s">
        <v>2600</v>
      </c>
      <c r="X8" s="3519"/>
      <c r="Y8" s="1354" t="s">
        <v>2601</v>
      </c>
      <c r="Z8" s="1354" t="s">
        <v>2602</v>
      </c>
      <c r="AA8" s="1354" t="s">
        <v>2603</v>
      </c>
      <c r="AB8" s="1354" t="s">
        <v>2604</v>
      </c>
      <c r="AC8" s="1354" t="s">
        <v>2605</v>
      </c>
      <c r="AD8" s="1354" t="s">
        <v>2606</v>
      </c>
      <c r="AE8" s="1354" t="s">
        <v>2607</v>
      </c>
      <c r="AF8" s="1354" t="s">
        <v>2608</v>
      </c>
      <c r="AG8" s="1354" t="s">
        <v>2609</v>
      </c>
      <c r="AH8" s="1354" t="s">
        <v>2610</v>
      </c>
      <c r="AI8" s="1354" t="s">
        <v>2611</v>
      </c>
      <c r="AJ8" s="1354" t="s">
        <v>2612</v>
      </c>
    </row>
    <row r="9" spans="1:36" ht="15">
      <c r="A9" s="3525"/>
      <c r="B9" s="175" t="s">
        <v>2613</v>
      </c>
      <c r="C9" s="861">
        <f>SUMIF(修正!C59:C119,C8,修正!E59:E119)</f>
        <v>0</v>
      </c>
      <c r="D9" s="176" t="s">
        <v>140</v>
      </c>
      <c r="E9" s="176" t="e">
        <f>ROUND(C11/E7,4)</f>
        <v>#DIV/0!</v>
      </c>
      <c r="F9" s="2185" t="s">
        <v>2614</v>
      </c>
      <c r="G9" s="2186"/>
      <c r="H9" s="2186"/>
      <c r="I9" s="2186"/>
      <c r="J9" s="2187"/>
      <c r="K9" s="1252"/>
      <c r="L9" s="2160" t="s">
        <v>2615</v>
      </c>
      <c r="M9" s="995">
        <f>SUMPRODUCT((区片价!B245:B289=I2)*(区片价!C3:F3=E2)*(区片价!C245:F289))</f>
        <v>0</v>
      </c>
      <c r="N9" s="997">
        <f>SUMPRODUCT((因素修正幅度!B245:B289=I2)*(因素修正幅度!C3:F3=E2)*(因素修正幅度!C245:F289))</f>
        <v>0</v>
      </c>
      <c r="O9" s="1252"/>
      <c r="P9" s="1252"/>
      <c r="Q9" s="1252"/>
      <c r="R9" s="1346">
        <v>8</v>
      </c>
      <c r="S9" s="1347"/>
      <c r="T9" s="1346" t="e">
        <f t="shared" si="0"/>
        <v>#DIV/0!</v>
      </c>
      <c r="U9" s="1347"/>
      <c r="V9" s="1346" t="e">
        <f t="shared" si="1"/>
        <v>#DIV/0!</v>
      </c>
      <c r="W9" s="3520" t="s">
        <v>2616</v>
      </c>
      <c r="X9" s="1355" t="s">
        <v>2617</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525"/>
      <c r="B10" s="175" t="s">
        <v>2618</v>
      </c>
      <c r="C10" s="176">
        <f>SUMIF(修正!C59:C119,C8,修正!F59:F119)</f>
        <v>0</v>
      </c>
      <c r="D10" s="176" t="s">
        <v>141</v>
      </c>
      <c r="E10" s="176" t="e">
        <f>ROUND(C11/E7,4)</f>
        <v>#DIV/0!</v>
      </c>
      <c r="F10" s="2185" t="s">
        <v>2619</v>
      </c>
      <c r="G10" s="2186"/>
      <c r="H10" s="2186"/>
      <c r="I10" s="2186"/>
      <c r="J10" s="2187"/>
      <c r="K10" s="1252"/>
      <c r="L10" s="2160" t="s">
        <v>2620</v>
      </c>
      <c r="M10" s="995">
        <f>SUMPRODUCT((区片价!B290:B316=I2)*(区片价!C3:F3=E2)*(区片价!C290:F316))</f>
        <v>0</v>
      </c>
      <c r="N10" s="997">
        <f>SUMPRODUCT((因素修正幅度!B290:B316=I2)*(因素修正幅度!C3:F3=E2)*(因素修正幅度!C290:F316))</f>
        <v>0</v>
      </c>
      <c r="O10" s="1252"/>
      <c r="P10" s="1252"/>
      <c r="Q10" s="1252"/>
      <c r="R10" s="1346">
        <v>9</v>
      </c>
      <c r="S10" s="1347"/>
      <c r="T10" s="1346" t="e">
        <f t="shared" si="0"/>
        <v>#DIV/0!</v>
      </c>
      <c r="U10" s="1347"/>
      <c r="V10" s="1346" t="e">
        <f t="shared" si="1"/>
        <v>#DIV/0!</v>
      </c>
      <c r="W10" s="3520"/>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525"/>
      <c r="B11" s="2188" t="s">
        <v>2621</v>
      </c>
      <c r="C11" s="862">
        <f>C10/4</f>
        <v>0</v>
      </c>
      <c r="D11" s="862" t="s">
        <v>142</v>
      </c>
      <c r="E11" s="862" t="e">
        <f>ROUND(C11/E7,4)</f>
        <v>#DIV/0!</v>
      </c>
      <c r="F11" s="2189" t="s">
        <v>2622</v>
      </c>
      <c r="G11" s="2190"/>
      <c r="H11" s="2190"/>
      <c r="I11" s="2190"/>
      <c r="J11" s="2191"/>
      <c r="K11" s="1252"/>
      <c r="L11" s="2160" t="s">
        <v>2623</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t="e">
        <f t="shared" si="0"/>
        <v>#DIV/0!</v>
      </c>
      <c r="U11" s="1347"/>
      <c r="V11" s="1346" t="e">
        <f t="shared" si="1"/>
        <v>#DIV/0!</v>
      </c>
      <c r="W11" s="3520" t="s">
        <v>2624</v>
      </c>
      <c r="X11" s="1358" t="s">
        <v>2625</v>
      </c>
      <c r="Y11" s="1359">
        <f>$G$3</f>
        <v>3.77</v>
      </c>
      <c r="Z11" s="1359">
        <f t="shared" ref="Z11:AJ11" si="3">$G$3</f>
        <v>3.77</v>
      </c>
      <c r="AA11" s="1359">
        <f t="shared" si="3"/>
        <v>3.77</v>
      </c>
      <c r="AB11" s="1359">
        <f t="shared" si="3"/>
        <v>3.77</v>
      </c>
      <c r="AC11" s="1359">
        <f t="shared" si="3"/>
        <v>3.77</v>
      </c>
      <c r="AD11" s="1359">
        <f t="shared" si="3"/>
        <v>3.77</v>
      </c>
      <c r="AE11" s="1359">
        <f t="shared" si="3"/>
        <v>3.77</v>
      </c>
      <c r="AF11" s="1359">
        <f t="shared" si="3"/>
        <v>3.77</v>
      </c>
      <c r="AG11" s="1359">
        <f t="shared" si="3"/>
        <v>3.77</v>
      </c>
      <c r="AH11" s="1359">
        <f t="shared" si="3"/>
        <v>3.77</v>
      </c>
      <c r="AI11" s="1359">
        <f t="shared" si="3"/>
        <v>3.77</v>
      </c>
      <c r="AJ11" s="1359">
        <f t="shared" si="3"/>
        <v>3.77</v>
      </c>
    </row>
    <row r="12" spans="1:36" ht="25.5" thickBot="1">
      <c r="A12" s="3502" t="s">
        <v>2626</v>
      </c>
      <c r="B12" s="2192" t="s">
        <v>2627</v>
      </c>
      <c r="C12" s="858">
        <f>ROUND(C15*D15*E15*F15*G15*H15*I15*J15,4)</f>
        <v>1</v>
      </c>
      <c r="D12" s="2193" t="s">
        <v>2628</v>
      </c>
      <c r="E12" s="2194"/>
      <c r="F12" s="2194"/>
      <c r="G12" s="2195"/>
      <c r="H12" s="2195"/>
      <c r="I12" s="2195"/>
      <c r="J12" s="2196"/>
      <c r="K12" s="1252"/>
      <c r="L12" s="2197" t="s">
        <v>2629</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t="e">
        <f t="shared" si="0"/>
        <v>#DIV/0!</v>
      </c>
      <c r="U12" s="1347"/>
      <c r="V12" s="1346" t="e">
        <f t="shared" si="1"/>
        <v>#DIV/0!</v>
      </c>
      <c r="W12" s="3520"/>
      <c r="X12" s="1360" t="s">
        <v>2630</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526"/>
      <c r="B13" s="2198" t="s">
        <v>2631</v>
      </c>
      <c r="C13" s="2199" t="s">
        <v>2632</v>
      </c>
      <c r="D13" s="1504" t="s">
        <v>2633</v>
      </c>
      <c r="E13" s="1504" t="s">
        <v>2634</v>
      </c>
      <c r="F13" s="30" t="s">
        <v>2635</v>
      </c>
      <c r="G13" s="2200" t="s">
        <v>2636</v>
      </c>
      <c r="H13" s="2200" t="s">
        <v>2636</v>
      </c>
      <c r="I13" s="2200" t="s">
        <v>2636</v>
      </c>
      <c r="J13" s="2201" t="s">
        <v>2636</v>
      </c>
      <c r="K13" s="1252"/>
      <c r="L13" s="1252"/>
      <c r="M13" s="1252"/>
      <c r="N13" s="1252"/>
      <c r="O13" s="1252"/>
      <c r="P13" s="1252"/>
      <c r="Q13" s="1252"/>
      <c r="R13" s="1346">
        <v>12</v>
      </c>
      <c r="S13" s="1347"/>
      <c r="T13" s="1346" t="e">
        <f t="shared" si="0"/>
        <v>#DIV/0!</v>
      </c>
      <c r="U13" s="1347"/>
      <c r="V13" s="1346" t="e">
        <f t="shared" si="1"/>
        <v>#DIV/0!</v>
      </c>
      <c r="W13" s="3520"/>
      <c r="X13" s="1360"/>
      <c r="Y13" s="1357">
        <f>(-0.163*(Y12^2)-0.59*Y12+7617)*(10^(-4))/Y11</f>
        <v>0.2020424403183024</v>
      </c>
      <c r="Z13" s="1357">
        <f t="shared" ref="Z13:AJ13" si="5">(-0.163*(Z12^2)-0.59*Z12+7617)*(10^(-4))/Z11</f>
        <v>0.2020424403183024</v>
      </c>
      <c r="AA13" s="1357">
        <f t="shared" si="5"/>
        <v>0.2020424403183024</v>
      </c>
      <c r="AB13" s="1357">
        <f t="shared" si="5"/>
        <v>0.2020424403183024</v>
      </c>
      <c r="AC13" s="1357">
        <f t="shared" si="5"/>
        <v>0.2020424403183024</v>
      </c>
      <c r="AD13" s="1357">
        <f t="shared" si="5"/>
        <v>0.2020424403183024</v>
      </c>
      <c r="AE13" s="1357">
        <f t="shared" si="5"/>
        <v>0.2020424403183024</v>
      </c>
      <c r="AF13" s="1357">
        <f t="shared" si="5"/>
        <v>0.2020424403183024</v>
      </c>
      <c r="AG13" s="1357">
        <f t="shared" si="5"/>
        <v>0.2020424403183024</v>
      </c>
      <c r="AH13" s="1357">
        <f t="shared" si="5"/>
        <v>0.2020424403183024</v>
      </c>
      <c r="AI13" s="1357">
        <f t="shared" si="5"/>
        <v>0.2020424403183024</v>
      </c>
      <c r="AJ13" s="1357">
        <f t="shared" si="5"/>
        <v>0.2020424403183024</v>
      </c>
    </row>
    <row r="14" spans="1:36" ht="15">
      <c r="A14" s="3526"/>
      <c r="B14" s="2202"/>
      <c r="C14" s="2203"/>
      <c r="D14" s="2204"/>
      <c r="E14" s="2204"/>
      <c r="F14" s="2205"/>
      <c r="G14" s="2206" t="s">
        <v>2637</v>
      </c>
      <c r="H14" s="2207"/>
      <c r="I14" s="2208"/>
      <c r="J14" s="2209"/>
      <c r="K14" s="1252"/>
      <c r="L14" s="1252"/>
      <c r="M14" s="1252"/>
      <c r="N14" s="1252"/>
      <c r="O14" s="1252"/>
      <c r="P14" s="1252"/>
      <c r="Q14" s="1252"/>
      <c r="R14" s="1346">
        <v>13</v>
      </c>
      <c r="S14" s="1347"/>
      <c r="T14" s="1346" t="e">
        <f t="shared" si="0"/>
        <v>#DIV/0!</v>
      </c>
      <c r="U14" s="1347"/>
      <c r="V14" s="1346" t="e">
        <f t="shared" si="1"/>
        <v>#DIV/0!</v>
      </c>
      <c r="W14" s="1350"/>
      <c r="X14" s="1350"/>
      <c r="Y14" s="1350"/>
      <c r="Z14" s="1350"/>
      <c r="AA14" s="1350"/>
      <c r="AB14" s="1350"/>
      <c r="AC14" s="1351"/>
      <c r="AD14" s="2988"/>
      <c r="AE14" s="2988"/>
      <c r="AF14" s="2988"/>
      <c r="AG14" s="2988"/>
      <c r="AH14" s="2988"/>
      <c r="AI14" s="2988"/>
      <c r="AJ14" s="2989"/>
    </row>
    <row r="15" spans="1:36" ht="15.75" thickBot="1">
      <c r="A15" s="3527"/>
      <c r="B15" s="2210" t="s">
        <v>2638</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t="e">
        <f t="shared" si="0"/>
        <v>#DIV/0!</v>
      </c>
      <c r="U15" s="1347"/>
      <c r="V15" s="1346" t="e">
        <f t="shared" si="1"/>
        <v>#DIV/0!</v>
      </c>
      <c r="W15" s="1350"/>
      <c r="X15" s="1350"/>
      <c r="Y15" s="1350"/>
      <c r="Z15" s="1350"/>
      <c r="AA15" s="1350"/>
      <c r="AB15" s="1350"/>
      <c r="AC15" s="1351"/>
      <c r="AD15" s="2988"/>
      <c r="AE15" s="2988"/>
      <c r="AF15" s="2988"/>
      <c r="AG15" s="2988"/>
      <c r="AH15" s="2988"/>
      <c r="AI15" s="2988"/>
      <c r="AJ15" s="2989"/>
    </row>
    <row r="16" spans="1:36" ht="24.6" customHeight="1">
      <c r="A16" s="3502" t="s">
        <v>2643</v>
      </c>
      <c r="B16" s="2179" t="s">
        <v>2644</v>
      </c>
      <c r="C16" s="2341" t="e">
        <f>ROUND(IF(F17="与级别开发程度一致",0,(G17-E17)/C17),0)</f>
        <v>#DIV/0!</v>
      </c>
      <c r="D16" s="3515" t="s">
        <v>2648</v>
      </c>
      <c r="E16" s="3516"/>
      <c r="F16" s="3515" t="s">
        <v>2645</v>
      </c>
      <c r="G16" s="3516"/>
      <c r="H16" s="2211"/>
      <c r="I16" s="2211"/>
      <c r="J16" s="2345"/>
      <c r="K16" s="2211"/>
      <c r="L16" s="2211"/>
      <c r="M16" s="2211"/>
      <c r="N16" s="2211"/>
      <c r="O16" s="2212"/>
      <c r="P16" s="2153"/>
      <c r="Q16" s="1252"/>
      <c r="R16" s="1346">
        <v>15</v>
      </c>
      <c r="S16" s="1347"/>
      <c r="T16" s="1346" t="e">
        <f t="shared" si="0"/>
        <v>#DIV/0!</v>
      </c>
      <c r="U16" s="1347"/>
      <c r="V16" s="1346" t="e">
        <f t="shared" si="1"/>
        <v>#DIV/0!</v>
      </c>
      <c r="W16" s="1350"/>
      <c r="X16" s="1350"/>
      <c r="Y16" s="1350"/>
      <c r="Z16" s="1350"/>
      <c r="AA16" s="1350"/>
      <c r="AB16" s="1350"/>
      <c r="AC16" s="1351"/>
      <c r="AD16" s="2988"/>
      <c r="AE16" s="2988"/>
      <c r="AF16" s="2988"/>
      <c r="AG16" s="2988"/>
      <c r="AH16" s="2988"/>
      <c r="AI16" s="2988"/>
      <c r="AJ16" s="2989"/>
    </row>
    <row r="17" spans="1:37" ht="13.5" thickBot="1">
      <c r="A17" s="3503"/>
      <c r="B17" s="2352" t="s">
        <v>2647</v>
      </c>
      <c r="C17" s="2353">
        <f>SUMPRODUCT((修正!A2:A5=E2)*(修正!B1:M1=G2)*(修正!B2:M5))</f>
        <v>0</v>
      </c>
      <c r="D17" s="193" t="str">
        <f>IF(OR(G2="八级",G2="九级",G2="十级",G2="十一级",G2="十二级"),"五通一平","七通一平")</f>
        <v>七通一平</v>
      </c>
      <c r="E17" s="2342">
        <f>SUMPRODUCT((修正!B1:M1=G2)*(修正!B15:M15))</f>
        <v>0</v>
      </c>
      <c r="F17" s="2343"/>
      <c r="G17" s="2344">
        <f>SUM(H17:O17)</f>
        <v>0</v>
      </c>
      <c r="H17" s="2353">
        <f>SUMPRODUCT((七通一平=H16)*(修正!B1:M1=G2)*(修正!B6:M14))</f>
        <v>0</v>
      </c>
      <c r="I17" s="2353">
        <f>SUMPRODUCT((七通一平=I16)*(修正!B1:M1=G2)*(修正!B6:M14))</f>
        <v>0</v>
      </c>
      <c r="J17" s="2354">
        <f>SUMPRODUCT((七通一平=J16)*(修正!B1:M1=G2)*(修正!B6:M14))</f>
        <v>0</v>
      </c>
      <c r="K17" s="2353">
        <f>SUMPRODUCT((七通一平=K16)*(修正!B1:M1=G2)*(修正!B6:M14))</f>
        <v>0</v>
      </c>
      <c r="L17" s="2353">
        <f>SUMPRODUCT((七通一平=L16)*(修正!B1:M1=G2)*(修正!B6:M14))</f>
        <v>0</v>
      </c>
      <c r="M17" s="2353">
        <f>SUMPRODUCT((七通一平=M16)*(修正!B1:M1=G2)*(修正!B6:M14))</f>
        <v>0</v>
      </c>
      <c r="N17" s="2353">
        <f>SUMPRODUCT((七通一平=N16)*(修正!B1:M1=G2)*(修正!B6:M14))</f>
        <v>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2650</v>
      </c>
      <c r="C18" s="2348">
        <f>SUMIF(修正!C18:C39,E3,修正!E18:E39)</f>
        <v>0</v>
      </c>
      <c r="D18" s="2349"/>
      <c r="E18" s="2350"/>
      <c r="F18" s="2350"/>
      <c r="G18" s="2350"/>
      <c r="H18" s="2350"/>
      <c r="I18" s="2350"/>
      <c r="J18" s="2351"/>
      <c r="K18" s="1259"/>
      <c r="L18" s="2987"/>
      <c r="M18" s="2987"/>
      <c r="N18" s="2987"/>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7"/>
    </row>
    <row r="19" spans="1:37" s="2172" customFormat="1" ht="27.75" thickBot="1">
      <c r="A19" s="2216" t="s">
        <v>809</v>
      </c>
      <c r="B19" s="2217" t="s">
        <v>2651</v>
      </c>
      <c r="C19" s="863" t="e">
        <f>ROUND(IF(H19="按公示增长率计算",SUMPRODUCT((地价!A3:A37=YEAR(G19)&amp;"-"&amp;ROUNDUP(MONTH(G19)/3,0))*(地价!X2:AB2=E2)*(地价!X3:AB37)),IF(H19="地价指数",M20/M19,(1+I19)^O19)),4)</f>
        <v>#VALUE!</v>
      </c>
      <c r="D19" s="2221" t="s">
        <v>2652</v>
      </c>
      <c r="E19" s="864">
        <v>41640</v>
      </c>
      <c r="F19" s="2221" t="s">
        <v>2653</v>
      </c>
      <c r="G19" s="865">
        <f>'数据-取费表'!B2</f>
        <v>44641</v>
      </c>
      <c r="H19" s="2222"/>
      <c r="I19" s="866" t="str">
        <f>IF(H19="季度增幅（自定义）",SUMIF(N21:N24,E2,O21:O24),"")</f>
        <v/>
      </c>
      <c r="J19" s="2219"/>
      <c r="K19" s="1259"/>
      <c r="L19" s="2223" t="s">
        <v>2654</v>
      </c>
      <c r="M19" s="1468">
        <f>ROUND(SUMIF(地价!B2:F2,E2,地价!B37:F37),0)</f>
        <v>0</v>
      </c>
      <c r="N19" s="2224" t="s">
        <v>2655</v>
      </c>
      <c r="O19" s="867">
        <f>ROUNDDOWN(DATEDIF(E19,G19,"M")/3,0)</f>
        <v>32</v>
      </c>
      <c r="P19" s="1256"/>
      <c r="Q19" s="1258"/>
      <c r="R19" s="1258"/>
      <c r="S19" s="1258"/>
      <c r="T19" s="1253"/>
      <c r="U19" s="1253"/>
      <c r="V19" s="1253"/>
      <c r="W19" s="1252"/>
      <c r="X19" s="1252"/>
      <c r="Y19" s="1252"/>
      <c r="Z19" s="1259"/>
      <c r="AA19" s="1259"/>
      <c r="AB19" s="1259"/>
      <c r="AC19" s="1259"/>
      <c r="AD19" s="1259"/>
      <c r="AE19" s="1259"/>
      <c r="AF19" s="1258"/>
      <c r="AG19" s="2990"/>
      <c r="AH19" s="2310"/>
      <c r="AI19" s="2991"/>
      <c r="AJ19" s="2991"/>
      <c r="AK19" s="2225"/>
    </row>
    <row r="20" spans="1:37" s="2172" customFormat="1" ht="27.75" thickBot="1">
      <c r="A20" s="2226" t="s">
        <v>810</v>
      </c>
      <c r="B20" s="2227" t="s">
        <v>2656</v>
      </c>
      <c r="C20" s="868" t="e">
        <f>ROUND(POWER(1+G20,J20-I20)*(POWER(1+G20,I20)-1)/(POWER(1+G20,J20)-1),4)</f>
        <v>#DIV/0!</v>
      </c>
      <c r="D20" s="2228" t="s">
        <v>2657</v>
      </c>
      <c r="E20" s="1475">
        <f>存贷款利率!E20/100</f>
        <v>4.3499999999999997E-2</v>
      </c>
      <c r="F20" s="2228" t="s">
        <v>2649</v>
      </c>
      <c r="G20" s="873">
        <f>SUMIF(M26:P26,E2,M28:P28)</f>
        <v>0</v>
      </c>
      <c r="H20" s="2228" t="s">
        <v>2658</v>
      </c>
      <c r="I20" s="874" t="e">
        <f>SUMIF('数据-取费表'!C6:C15,E2,'数据-取费表'!F6:F15)/COUNTIF('数据-取费表'!C6:C15,E2)</f>
        <v>#DIV/0!</v>
      </c>
      <c r="J20" s="875">
        <f>IF(E2="住宅",70,IF(E2="商业",40,50))</f>
        <v>50</v>
      </c>
      <c r="K20" s="1259"/>
      <c r="L20" s="2229" t="s">
        <v>2659</v>
      </c>
      <c r="M20" s="1469">
        <f>ROUND(SUMPRODUCT((地价!A4:A37=YEAR(G19)&amp;"-"&amp;ROUNDUP(MONTH(G19)/3,0))*(地价!B2:F2=E2)*(地价!B4:F37)),0)</f>
        <v>0</v>
      </c>
      <c r="N20" s="2230" t="s">
        <v>2660</v>
      </c>
      <c r="O20" s="2231" t="s">
        <v>2661</v>
      </c>
      <c r="P20" s="2232" t="s">
        <v>2662</v>
      </c>
      <c r="Q20" s="2987"/>
      <c r="R20" s="1258"/>
      <c r="S20" s="1258"/>
      <c r="T20" s="1253"/>
      <c r="U20" s="1253"/>
      <c r="V20" s="1253"/>
      <c r="W20" s="1252"/>
      <c r="X20" s="1252"/>
      <c r="Y20" s="1252"/>
      <c r="Z20" s="1259"/>
      <c r="AA20" s="1259"/>
      <c r="AB20" s="1259"/>
      <c r="AC20" s="1259"/>
      <c r="AD20" s="1259"/>
      <c r="AE20" s="1259"/>
      <c r="AF20" s="1259"/>
      <c r="AG20" s="2987"/>
      <c r="AH20" s="2987"/>
      <c r="AI20" s="2987"/>
      <c r="AJ20" s="2987"/>
    </row>
    <row r="21" spans="1:37" s="2172" customFormat="1" ht="15">
      <c r="A21" s="2233" t="s">
        <v>811</v>
      </c>
      <c r="B21" s="2234" t="s">
        <v>2663</v>
      </c>
      <c r="C21" s="876">
        <f>IF(B21="容积率修正",IF(G3&lt;=10,D22,J22),C23)</f>
        <v>0</v>
      </c>
      <c r="D21" s="2235"/>
      <c r="E21" s="2235"/>
      <c r="F21" s="2235"/>
      <c r="G21" s="2235"/>
      <c r="H21" s="2235"/>
      <c r="I21" s="2235"/>
      <c r="J21" s="2236"/>
      <c r="K21" s="1259"/>
      <c r="L21" s="2987"/>
      <c r="M21" s="2987"/>
      <c r="N21" s="2237" t="s">
        <v>2664</v>
      </c>
      <c r="O21" s="1307"/>
      <c r="P21" s="1308">
        <f>SUMPRODUCT((地价!A3:A37=YEAR(G19)&amp;"-"&amp;ROUNDUP(MONTH(G19)/3,0))*(地价!AD2:AH2=N21)*(地价!AD3:AH37))</f>
        <v>1.03E-2</v>
      </c>
      <c r="Q21" s="2987"/>
      <c r="R21" s="1258"/>
      <c r="S21" s="1258"/>
      <c r="T21" s="1253"/>
      <c r="U21" s="1253"/>
      <c r="V21" s="1253"/>
      <c r="W21" s="1252"/>
      <c r="X21" s="1252"/>
      <c r="Y21" s="1252"/>
      <c r="Z21" s="1259"/>
      <c r="AA21" s="1259"/>
      <c r="AB21" s="1259"/>
      <c r="AC21" s="1259"/>
      <c r="AD21" s="1259"/>
      <c r="AE21" s="1259"/>
      <c r="AF21" s="1259"/>
      <c r="AG21" s="2987"/>
      <c r="AH21" s="2987"/>
      <c r="AI21" s="2987"/>
      <c r="AJ21" s="2987"/>
    </row>
    <row r="22" spans="1:37" s="2172" customFormat="1" ht="14.25">
      <c r="A22" s="2111" t="s">
        <v>2665</v>
      </c>
      <c r="B22" s="2238" t="s">
        <v>2666</v>
      </c>
      <c r="C22" s="1506" t="s">
        <v>2667</v>
      </c>
      <c r="D22" s="1506">
        <f>IF(E22=G22,F22,IF(G3&lt;=10,ROUND(F22+(H22-F22)*(G3-E22)/(G22-E22),4),"——"))</f>
        <v>0</v>
      </c>
      <c r="E22" s="855">
        <f>ROUNDDOWN(G3,1)</f>
        <v>3.7</v>
      </c>
      <c r="F22" s="15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3.8000000000000003</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06" t="s">
        <v>155</v>
      </c>
      <c r="J22" s="877" t="str">
        <f>IF(G3&gt;10,D113,"——")</f>
        <v>——</v>
      </c>
      <c r="K22" s="1259"/>
      <c r="L22" s="2987"/>
      <c r="M22" s="2987"/>
      <c r="N22" s="2237" t="s">
        <v>2668</v>
      </c>
      <c r="O22" s="1307"/>
      <c r="P22" s="1308">
        <f>SUMPRODUCT((地价!A3:A37=YEAR(G19)&amp;"-"&amp;ROUNDUP(MONTH(G19)/3,0))*(地价!AD2:AH2=N22)*(地价!AD3:AH37))</f>
        <v>1.03E-2</v>
      </c>
      <c r="Q22" s="2987"/>
      <c r="R22" s="1258"/>
      <c r="S22" s="1258"/>
      <c r="T22" s="1253"/>
      <c r="U22" s="1253"/>
      <c r="V22" s="1253"/>
      <c r="W22" s="1252"/>
      <c r="X22" s="1252"/>
      <c r="Y22" s="1252"/>
      <c r="Z22" s="1259"/>
      <c r="AA22" s="1259"/>
      <c r="AB22" s="1259"/>
      <c r="AC22" s="1259"/>
      <c r="AD22" s="1259"/>
      <c r="AE22" s="1259"/>
      <c r="AF22" s="1259"/>
      <c r="AG22" s="2987"/>
      <c r="AH22" s="2987"/>
      <c r="AI22" s="2987"/>
      <c r="AJ22" s="2987"/>
    </row>
    <row r="23" spans="1:37" ht="27.75" thickBot="1">
      <c r="A23" s="2111" t="s">
        <v>2669</v>
      </c>
      <c r="B23" s="2239" t="s">
        <v>2670</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2671</v>
      </c>
      <c r="O23" s="1307"/>
      <c r="P23" s="1308">
        <f>SUMPRODUCT((地价!A3:A37=YEAR(G19)&amp;"-"&amp;ROUNDUP(MONTH(G19)/3,0))*(地价!AD2:AH2=N23)*(地价!AD3:AH37))</f>
        <v>1.8100000000000002E-2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0</v>
      </c>
      <c r="D24" s="2218"/>
      <c r="E24" s="2245"/>
      <c r="F24" s="2245"/>
      <c r="G24" s="2245"/>
      <c r="H24" s="2245"/>
      <c r="I24" s="2245"/>
      <c r="J24" s="2246"/>
      <c r="K24" s="1259"/>
      <c r="L24" s="2987"/>
      <c r="M24" s="2987"/>
      <c r="N24" s="2247" t="s">
        <v>2673</v>
      </c>
      <c r="O24" s="1309"/>
      <c r="P24" s="1310">
        <f>SUMPRODUCT((地价!A3:A37=YEAR(G19)&amp;"-"&amp;ROUNDUP(MONTH(G19)/3,0))*(地价!AD2:AH2=N24)*(地价!AD3:AH37))</f>
        <v>1.2E-2</v>
      </c>
      <c r="Q24" s="2987"/>
      <c r="R24" s="1258"/>
      <c r="S24" s="1258"/>
      <c r="T24" s="1253"/>
      <c r="U24" s="1253"/>
      <c r="V24" s="1253"/>
      <c r="W24" s="1252"/>
      <c r="X24" s="1252"/>
      <c r="Y24" s="1252"/>
      <c r="Z24" s="1259"/>
      <c r="AA24" s="1259"/>
      <c r="AB24" s="1259"/>
      <c r="AC24" s="1259"/>
      <c r="AD24" s="1259"/>
      <c r="AE24" s="1259"/>
      <c r="AF24" s="1259"/>
      <c r="AG24" s="2987"/>
      <c r="AH24" s="2987"/>
      <c r="AI24" s="2987"/>
      <c r="AJ24" s="2987"/>
    </row>
    <row r="25" spans="1:37" ht="15.75" thickBot="1">
      <c r="A25" s="2226" t="s">
        <v>813</v>
      </c>
      <c r="B25" s="2248" t="s">
        <v>2674</v>
      </c>
      <c r="C25" s="869"/>
      <c r="D25" s="2182"/>
      <c r="E25" s="2182"/>
      <c r="F25" s="2249"/>
      <c r="G25" s="2182"/>
      <c r="H25" s="2182"/>
      <c r="I25" s="2182"/>
      <c r="J25" s="2183"/>
      <c r="K25" s="1252"/>
      <c r="L25" s="2153"/>
      <c r="M25" s="2153"/>
      <c r="N25" s="2982" t="s">
        <v>2675</v>
      </c>
      <c r="O25" s="2983"/>
      <c r="P25" s="2984">
        <f>SUMPRODUCT((地价!A3:A37=YEAR(G19)&amp;"-"&amp;ROUNDUP(MONTH(G19)/3,0))*(地价!AD2:AH2=N25)*(地价!AD3:AH37))</f>
        <v>1.6400000000000001E-2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2" t="e">
        <f>IF(B21="容积率修正",E29+SUM(E33:E39),SUM(V2:V16)+SUM(E33:E39))</f>
        <v>#DIV/0!</v>
      </c>
      <c r="D26" s="2251"/>
      <c r="E26" s="2207"/>
      <c r="F26" s="2252"/>
      <c r="G26" s="2207"/>
      <c r="H26" s="2207"/>
      <c r="I26" s="2207"/>
      <c r="J26" s="2253"/>
      <c r="K26" s="1252"/>
      <c r="L26" s="2985" t="s">
        <v>2574</v>
      </c>
      <c r="M26" s="2180" t="s">
        <v>2639</v>
      </c>
      <c r="N26" s="2180" t="s">
        <v>2640</v>
      </c>
      <c r="O26" s="2180" t="s">
        <v>2641</v>
      </c>
      <c r="P26" s="2986" t="s">
        <v>2642</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t="e">
        <f>E30+SUM(I33:I39)</f>
        <v>#DIV/0!</v>
      </c>
      <c r="D27" s="2255"/>
      <c r="E27" s="2256"/>
      <c r="F27" s="2257"/>
      <c r="G27" s="2256"/>
      <c r="H27" s="2256"/>
      <c r="I27" s="2256"/>
      <c r="J27" s="2258"/>
      <c r="K27" s="1252"/>
      <c r="L27" s="2213" t="s">
        <v>2646</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2649</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t="e">
        <f>ROUND(C5*C18*C19*C20*C21*C24,0)</f>
        <v>#DIV/0!</v>
      </c>
      <c r="D29" s="2266"/>
      <c r="E29" s="879" t="e">
        <f>ROUND(C29*D29/10000,0)</f>
        <v>#DIV/0!</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t="e">
        <f>ROUND(IF(E2="工业",C29*M39,C29*M38),0)</f>
        <v>#DIV/0!</v>
      </c>
      <c r="D30" s="2272"/>
      <c r="E30" s="879" t="e">
        <f>ROUND(C30*D30/10000,0)</f>
        <v>#DIV/0!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512"/>
      <c r="B33" s="2282" t="s">
        <v>2690</v>
      </c>
      <c r="C33" s="180" t="e">
        <f>ROUND(D5*C19*C20*C24*F33,0)</f>
        <v>#DIV/0!</v>
      </c>
      <c r="D33" s="2266"/>
      <c r="E33" s="176" t="e">
        <f>ROUND(C33*D33/10000,0)</f>
        <v>#DIV/0!</v>
      </c>
      <c r="F33" s="176">
        <f>SUMIF(修正!A45:A56,G2,修正!B45:B56)</f>
        <v>0</v>
      </c>
      <c r="G33" s="176" t="e">
        <f t="shared" ref="G33" si="6">ROUND(IF(E2="工业",C33*$M$39,C33*$M$38),0)</f>
        <v>#DIV/0!</v>
      </c>
      <c r="H33" s="176">
        <f>D33</f>
        <v>0</v>
      </c>
      <c r="I33" s="176" t="e">
        <f>ROUND(G33*H33/10000,0)</f>
        <v>#DIV/0!</v>
      </c>
      <c r="J33" s="3517" t="s">
        <v>2996</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513"/>
      <c r="B34" s="2199" t="s">
        <v>2691</v>
      </c>
      <c r="C34" s="180" t="e">
        <f>ROUND(D5*C19*C20*C24*F34,0)</f>
        <v>#DIV/0!</v>
      </c>
      <c r="D34" s="226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513"/>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513"/>
      <c r="B35" s="2199" t="s">
        <v>2692</v>
      </c>
      <c r="C35" s="180" t="e">
        <f>ROUND(D5*C19*C20*C24*F35,0)</f>
        <v>#DIV/0!</v>
      </c>
      <c r="D35" s="2266"/>
      <c r="E35" s="176" t="e">
        <f t="shared" si="7"/>
        <v>#DIV/0!</v>
      </c>
      <c r="F35" s="176">
        <f>SUMIF(修正!A45:A56,G2,修正!D45:D56)</f>
        <v>0</v>
      </c>
      <c r="G35" s="176" t="e">
        <f>ROUND(IF(E2="工业",C35*$M$39,C35*$M$38),0)</f>
        <v>#DIV/0!</v>
      </c>
      <c r="H35" s="176">
        <f t="shared" si="8"/>
        <v>0</v>
      </c>
      <c r="I35" s="176" t="e">
        <f t="shared" si="9"/>
        <v>#DIV/0!</v>
      </c>
      <c r="J35" s="3513"/>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514"/>
      <c r="B36" s="2199" t="s">
        <v>2693</v>
      </c>
      <c r="C36" s="180" t="e">
        <f>ROUND(D5*C19*C20*C24*F36,0)</f>
        <v>#DIV/0!</v>
      </c>
      <c r="D36" s="2266"/>
      <c r="E36" s="176" t="e">
        <f t="shared" si="7"/>
        <v>#DIV/0!</v>
      </c>
      <c r="F36" s="176">
        <f>SUMIF(修正!A45:A56,G2,修正!E45:E56)</f>
        <v>0</v>
      </c>
      <c r="G36" s="176" t="e">
        <f>ROUND(IF(E2="工业",C36*$M$39,C36*$M$38),0)</f>
        <v>#DIV/0!</v>
      </c>
      <c r="H36" s="176">
        <f t="shared" si="8"/>
        <v>0</v>
      </c>
      <c r="I36" s="176" t="e">
        <f t="shared" si="9"/>
        <v>#DIV/0!</v>
      </c>
      <c r="J36" s="3514"/>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t="e">
        <f>ROUND(D5*C19*C20*C24*F37,0)</f>
        <v>#DIV/0!</v>
      </c>
      <c r="D37" s="2266"/>
      <c r="E37" s="176" t="e">
        <f t="shared" si="7"/>
        <v>#DIV/0!</v>
      </c>
      <c r="F37" s="180">
        <f>SUMIF(修正!A45:A56,G2,修正!F45:F56)</f>
        <v>0</v>
      </c>
      <c r="G37" s="176" t="e">
        <f>ROUND(IF(E2="工业",C37*$M$39,C37*$M$38),0)</f>
        <v>#DIV/0!</v>
      </c>
      <c r="H37" s="176">
        <f t="shared" si="8"/>
        <v>0</v>
      </c>
      <c r="I37" s="176" t="e">
        <f t="shared" si="9"/>
        <v>#DIV/0!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t="e">
        <f>ROUND(D5*C19*C41*C24*F38,0)</f>
        <v>#DIV/0!</v>
      </c>
      <c r="D38" s="2266"/>
      <c r="E38" s="176" t="e">
        <f t="shared" si="7"/>
        <v>#DIV/0!</v>
      </c>
      <c r="F38" s="180">
        <f>SUMIF(修正!A45:A56,G2,修正!G45:G56)</f>
        <v>0</v>
      </c>
      <c r="G38" s="176" t="e">
        <f>ROUND(IF(E2="工业",C38*$M$39,C38*$M$38),0)</f>
        <v>#DIV/0!</v>
      </c>
      <c r="H38" s="176">
        <f t="shared" si="8"/>
        <v>0</v>
      </c>
      <c r="I38" s="176" t="e">
        <f t="shared" si="9"/>
        <v>#DIV/0!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t="e">
        <f>ROUND(D5*C19*C41*C24*F39,0)</f>
        <v>#DIV/0!</v>
      </c>
      <c r="D39" s="2272"/>
      <c r="E39" s="193" t="e">
        <f t="shared" si="7"/>
        <v>#DIV/0!</v>
      </c>
      <c r="F39" s="871">
        <f>SUMIF(修正!A45:A56,G2,修正!H45:H56)</f>
        <v>0</v>
      </c>
      <c r="G39" s="193" t="e">
        <f>ROUND(IF(E2="工业",C39*$M$39,C39*$M$38),0)</f>
        <v>#DIV/0!</v>
      </c>
      <c r="H39" s="193">
        <f t="shared" si="8"/>
        <v>0</v>
      </c>
      <c r="I39" s="193" t="e">
        <f t="shared" si="9"/>
        <v>#DIV/0!</v>
      </c>
      <c r="J39" s="2289"/>
      <c r="K39" s="1252"/>
      <c r="L39" s="2290" t="s">
        <v>2642</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t="e">
        <f>ROUND(POWER(1+E41,H41-G41)*(POWER(1+E41,G41)-1)/(POWER(1+E41,H41)-1),4)</f>
        <v>#DIV/0!</v>
      </c>
      <c r="D41" s="176" t="s">
        <v>2649</v>
      </c>
      <c r="E41" s="2339">
        <f>G20</f>
        <v>0</v>
      </c>
      <c r="F41" s="176" t="s">
        <v>2658</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2357</v>
      </c>
      <c r="K47" s="560" t="s">
        <v>2358</v>
      </c>
      <c r="L47" s="560" t="s">
        <v>2359</v>
      </c>
      <c r="M47" s="560" t="s">
        <v>2360</v>
      </c>
      <c r="N47" s="560" t="s">
        <v>2361</v>
      </c>
      <c r="AA47" s="1253"/>
      <c r="AB47" s="1253"/>
      <c r="AC47" s="1253"/>
      <c r="AD47" s="1253"/>
      <c r="AE47" s="1253"/>
      <c r="AF47" s="1253"/>
      <c r="AG47" s="1253"/>
      <c r="AH47" s="1253"/>
      <c r="AI47" s="1253"/>
      <c r="AJ47" s="1253"/>
      <c r="AK47" s="1253"/>
    </row>
    <row r="48" spans="1:37" s="1252" customFormat="1" ht="38.25">
      <c r="A48" s="2299" t="s">
        <v>2709</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2710</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2712</v>
      </c>
      <c r="B51" s="2304" t="s">
        <v>2713</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2715</v>
      </c>
      <c r="B53" s="2305" t="s">
        <v>2716</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2717</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2718</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2719</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2357</v>
      </c>
      <c r="K58" s="560" t="s">
        <v>2358</v>
      </c>
      <c r="L58" s="560" t="s">
        <v>2359</v>
      </c>
      <c r="M58" s="560" t="s">
        <v>2360</v>
      </c>
      <c r="N58" s="560" t="s">
        <v>2361</v>
      </c>
      <c r="AA58" s="1253"/>
      <c r="AB58" s="1253"/>
      <c r="AC58" s="1253"/>
      <c r="AD58" s="1253"/>
      <c r="AE58" s="1253"/>
      <c r="AF58" s="1253"/>
      <c r="AG58" s="1253"/>
      <c r="AH58" s="1253"/>
      <c r="AI58" s="1253"/>
      <c r="AJ58" s="1253"/>
      <c r="AK58" s="1253"/>
    </row>
    <row r="59" spans="1:37" s="1252" customFormat="1" ht="38.25">
      <c r="A59" s="2299" t="s">
        <v>2722</v>
      </c>
      <c r="B59" s="2302" t="str">
        <f>估价对象房地状况!C17</f>
        <v>估价对象位于XX商圈，周边办公楼项目较多，入驻率高，办公集聚程度较好</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51">
      <c r="A60" s="2299" t="s">
        <v>2710</v>
      </c>
      <c r="B60" s="2303" t="str">
        <f>估价对象房地状况!C18</f>
        <v>估价对象周边道路状况、公共交通通达情况、停车便捷程度，综合评价交通便捷度较好</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5.5">
      <c r="A65" s="2299" t="s">
        <v>2717</v>
      </c>
      <c r="B65" s="1466" t="str">
        <f>估价对象房地状况!C21</f>
        <v>估价对象所在区域公共配套设施齐备情况</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5.5">
      <c r="A66" s="2299" t="s">
        <v>2718</v>
      </c>
      <c r="B66" s="1466" t="str">
        <f>估价对象房地状况!C22</f>
        <v>估价对象所在区域基础设施水平</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39" thickBot="1">
      <c r="A67" s="2307" t="s">
        <v>2719</v>
      </c>
      <c r="B67" s="2309" t="str">
        <f>估价对象房地状况!C20</f>
        <v>区域自然环境：；人文环境；综合评价环境状况一般</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2357</v>
      </c>
      <c r="K69" s="560" t="s">
        <v>2358</v>
      </c>
      <c r="L69" s="560" t="s">
        <v>2359</v>
      </c>
      <c r="M69" s="560" t="s">
        <v>2360</v>
      </c>
      <c r="N69" s="560" t="s">
        <v>2361</v>
      </c>
      <c r="AA69" s="1253"/>
      <c r="AB69" s="1253"/>
      <c r="AC69" s="1253"/>
      <c r="AD69" s="1253"/>
      <c r="AE69" s="1253"/>
      <c r="AF69" s="1253"/>
      <c r="AG69" s="1253"/>
      <c r="AH69" s="1253"/>
      <c r="AI69" s="1253"/>
      <c r="AJ69" s="1253"/>
      <c r="AK69" s="1253"/>
    </row>
    <row r="70" spans="1:37" s="1252" customFormat="1" ht="51">
      <c r="A70" s="2299" t="s">
        <v>2724</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2710</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2717</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2718</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2719</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2726</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2727</v>
      </c>
      <c r="B79" s="2296">
        <f>1+E81</f>
        <v>1</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2357</v>
      </c>
      <c r="K80" s="560" t="s">
        <v>2358</v>
      </c>
      <c r="L80" s="560" t="s">
        <v>2359</v>
      </c>
      <c r="M80" s="560" t="s">
        <v>2360</v>
      </c>
      <c r="N80" s="560" t="s">
        <v>2361</v>
      </c>
      <c r="Z80" s="2154"/>
      <c r="AA80" s="2220"/>
      <c r="AG80" s="1254"/>
      <c r="AK80" s="2220"/>
    </row>
    <row r="81" spans="1:37" ht="38.25">
      <c r="A81" s="2299" t="s">
        <v>2728</v>
      </c>
      <c r="B81" s="2303" t="str">
        <f>估价对象房地状况!G15</f>
        <v>估价对象位于XX开发区，园区建设成熟度XX，产业集聚程度XX</v>
      </c>
      <c r="C81" s="2204"/>
      <c r="D81" s="1196">
        <f t="shared" ref="D81:D88" si="25">SUMIF($J$80:$N$80,C81,J81:N81)</f>
        <v>0</v>
      </c>
      <c r="E81" s="760">
        <f>ROUND(SUM(D81:D88),4)</f>
        <v>0</v>
      </c>
      <c r="F81" s="197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54"/>
      <c r="AA81" s="2220"/>
      <c r="AG81" s="1254"/>
      <c r="AK81" s="2220"/>
    </row>
    <row r="82" spans="1:37" ht="51">
      <c r="A82" s="2299" t="s">
        <v>2710</v>
      </c>
      <c r="B82" s="2303" t="str">
        <f>估价对象房地状况!G16</f>
        <v>估价对象周边道路状况、公共交通通达情况、停车便捷程度，综合评价交通便捷度较好</v>
      </c>
      <c r="C82" s="2204"/>
      <c r="D82" s="1196">
        <f t="shared" si="25"/>
        <v>0</v>
      </c>
      <c r="E82" s="765"/>
      <c r="F82" s="1970"/>
      <c r="G82" s="1194"/>
      <c r="H82" s="1198" t="str">
        <f t="shared" si="26"/>
        <v>——</v>
      </c>
      <c r="I82" s="759">
        <v>0.33</v>
      </c>
      <c r="J82" s="1195">
        <f t="shared" si="27"/>
        <v>0</v>
      </c>
      <c r="K82" s="1195">
        <f t="shared" si="28"/>
        <v>0</v>
      </c>
      <c r="L82" s="1195">
        <v>0</v>
      </c>
      <c r="M82" s="1195">
        <f t="shared" si="29"/>
        <v>0</v>
      </c>
      <c r="N82" s="1195">
        <f t="shared" si="29"/>
        <v>0</v>
      </c>
      <c r="Z82" s="2154"/>
      <c r="AA82" s="2220"/>
      <c r="AG82" s="1254"/>
      <c r="AK82" s="2220"/>
    </row>
    <row r="83" spans="1:37" ht="24">
      <c r="A83" s="2299" t="s">
        <v>2711</v>
      </c>
      <c r="B83" s="2303">
        <f>估价对象房地状况!G17</f>
        <v>0</v>
      </c>
      <c r="C83" s="2204"/>
      <c r="D83" s="1196">
        <f t="shared" si="25"/>
        <v>0</v>
      </c>
      <c r="E83" s="765"/>
      <c r="F83" s="1970"/>
      <c r="G83" s="1194"/>
      <c r="H83" s="1198" t="str">
        <f t="shared" si="26"/>
        <v>——</v>
      </c>
      <c r="I83" s="759">
        <v>0.05</v>
      </c>
      <c r="J83" s="1195">
        <f t="shared" si="27"/>
        <v>0</v>
      </c>
      <c r="K83" s="1195">
        <f t="shared" si="28"/>
        <v>0</v>
      </c>
      <c r="L83" s="1195">
        <v>0</v>
      </c>
      <c r="M83" s="1195">
        <f t="shared" si="29"/>
        <v>0</v>
      </c>
      <c r="N83" s="1195">
        <f t="shared" si="29"/>
        <v>0</v>
      </c>
      <c r="Z83" s="2154"/>
      <c r="AA83" s="2220"/>
      <c r="AG83" s="1254"/>
      <c r="AK83" s="2220"/>
    </row>
    <row r="84" spans="1:37" ht="14.25">
      <c r="A84" s="2299" t="s">
        <v>2725</v>
      </c>
      <c r="B84" s="2303">
        <f>估价对象房地状况!G22</f>
        <v>0</v>
      </c>
      <c r="C84" s="2204"/>
      <c r="D84" s="1196">
        <f t="shared" si="25"/>
        <v>0</v>
      </c>
      <c r="E84" s="765"/>
      <c r="F84" s="1970"/>
      <c r="G84" s="1194"/>
      <c r="H84" s="1198" t="str">
        <f t="shared" si="26"/>
        <v>——</v>
      </c>
      <c r="I84" s="759">
        <v>0.04</v>
      </c>
      <c r="J84" s="1195">
        <f t="shared" si="27"/>
        <v>0</v>
      </c>
      <c r="K84" s="1195">
        <f t="shared" si="28"/>
        <v>0</v>
      </c>
      <c r="L84" s="1195">
        <v>0</v>
      </c>
      <c r="M84" s="1195">
        <f t="shared" si="29"/>
        <v>0</v>
      </c>
      <c r="N84" s="1195">
        <f t="shared" si="29"/>
        <v>0</v>
      </c>
      <c r="Z84" s="2154"/>
      <c r="AA84" s="2220"/>
      <c r="AG84" s="1254"/>
      <c r="AK84" s="2220"/>
    </row>
    <row r="85" spans="1:37" ht="25.5">
      <c r="A85" s="2299" t="s">
        <v>2717</v>
      </c>
      <c r="B85" s="1466" t="str">
        <f>估价对象房地状况!G19</f>
        <v>估价对象所在区域公共配套设施齐备情况</v>
      </c>
      <c r="C85" s="2204"/>
      <c r="D85" s="1196">
        <f t="shared" si="25"/>
        <v>0</v>
      </c>
      <c r="E85" s="765"/>
      <c r="F85" s="1970"/>
      <c r="G85" s="1194"/>
      <c r="H85" s="1198" t="str">
        <f t="shared" si="26"/>
        <v>——</v>
      </c>
      <c r="I85" s="759">
        <v>0.06</v>
      </c>
      <c r="J85" s="1195">
        <f t="shared" si="27"/>
        <v>0</v>
      </c>
      <c r="K85" s="1195">
        <f t="shared" si="28"/>
        <v>0</v>
      </c>
      <c r="L85" s="1195">
        <v>0</v>
      </c>
      <c r="M85" s="1195">
        <f t="shared" si="29"/>
        <v>0</v>
      </c>
      <c r="N85" s="1195">
        <f t="shared" si="29"/>
        <v>0</v>
      </c>
      <c r="Z85" s="2154"/>
      <c r="AA85" s="2220"/>
      <c r="AG85" s="1254"/>
      <c r="AK85" s="2220"/>
    </row>
    <row r="86" spans="1:37" ht="25.5">
      <c r="A86" s="2299" t="s">
        <v>2718</v>
      </c>
      <c r="B86" s="1466" t="str">
        <f>估价对象房地状况!G20</f>
        <v>估价对象所在区域基础设施水平</v>
      </c>
      <c r="C86" s="2204"/>
      <c r="D86" s="1196">
        <f t="shared" si="25"/>
        <v>0</v>
      </c>
      <c r="E86" s="765"/>
      <c r="F86" s="1970"/>
      <c r="G86" s="1194"/>
      <c r="H86" s="1198" t="str">
        <f t="shared" si="26"/>
        <v>——</v>
      </c>
      <c r="I86" s="759">
        <v>0.15</v>
      </c>
      <c r="J86" s="1195">
        <f t="shared" si="27"/>
        <v>0</v>
      </c>
      <c r="K86" s="1195">
        <f t="shared" si="28"/>
        <v>0</v>
      </c>
      <c r="L86" s="1195">
        <v>0</v>
      </c>
      <c r="M86" s="1195">
        <f t="shared" si="29"/>
        <v>0</v>
      </c>
      <c r="N86" s="1195">
        <f t="shared" si="29"/>
        <v>0</v>
      </c>
      <c r="Z86" s="2154"/>
      <c r="AA86" s="2220"/>
      <c r="AG86" s="1254"/>
      <c r="AK86" s="2220"/>
    </row>
    <row r="87" spans="1:37" ht="24">
      <c r="A87" s="2299" t="s">
        <v>2715</v>
      </c>
      <c r="B87" s="2305" t="s">
        <v>2729</v>
      </c>
      <c r="C87" s="2204"/>
      <c r="D87" s="1196">
        <f t="shared" si="25"/>
        <v>0</v>
      </c>
      <c r="E87" s="765"/>
      <c r="F87" s="1970"/>
      <c r="G87" s="1194"/>
      <c r="H87" s="1198" t="str">
        <f t="shared" si="26"/>
        <v>——</v>
      </c>
      <c r="I87" s="759">
        <v>0.05</v>
      </c>
      <c r="J87" s="1195">
        <f t="shared" si="27"/>
        <v>0</v>
      </c>
      <c r="K87" s="1195">
        <f t="shared" si="28"/>
        <v>0</v>
      </c>
      <c r="L87" s="1195">
        <v>0</v>
      </c>
      <c r="M87" s="1195">
        <f t="shared" si="29"/>
        <v>0</v>
      </c>
      <c r="N87" s="1195">
        <f t="shared" si="29"/>
        <v>0</v>
      </c>
      <c r="Z87" s="2154"/>
      <c r="AA87" s="2220"/>
      <c r="AG87" s="1254"/>
      <c r="AK87" s="2220"/>
    </row>
    <row r="88" spans="1:37" ht="39" thickBot="1">
      <c r="A88" s="2307" t="s">
        <v>2730</v>
      </c>
      <c r="B88" s="2312" t="str">
        <f>估价对象房地状况!G18</f>
        <v>该园区内是否有污染型企业，绿化情况，卫生条件，整体环境状况判断</v>
      </c>
      <c r="C88" s="2204"/>
      <c r="D88" s="1196">
        <f t="shared" si="25"/>
        <v>0</v>
      </c>
      <c r="E88" s="766"/>
      <c r="F88" s="1970"/>
      <c r="G88" s="1194"/>
      <c r="H88" s="1198" t="str">
        <f t="shared" si="26"/>
        <v>——</v>
      </c>
      <c r="I88" s="763">
        <v>0.06</v>
      </c>
      <c r="J88" s="1195">
        <f t="shared" si="27"/>
        <v>0</v>
      </c>
      <c r="K88" s="1195">
        <f t="shared" si="28"/>
        <v>0</v>
      </c>
      <c r="L88" s="1195">
        <v>0</v>
      </c>
      <c r="M88" s="1195">
        <f t="shared" si="29"/>
        <v>0</v>
      </c>
      <c r="N88" s="1195">
        <f t="shared" si="29"/>
        <v>0</v>
      </c>
      <c r="Z88" s="2154"/>
      <c r="AA88" s="2220"/>
      <c r="AG88" s="1254"/>
      <c r="AK88" s="2220"/>
    </row>
    <row r="90" spans="1:37">
      <c r="A90" s="3504" t="s">
        <v>2731</v>
      </c>
      <c r="B90" s="3504"/>
      <c r="C90" s="3504"/>
      <c r="D90" s="3504"/>
      <c r="E90" s="3504"/>
      <c r="F90" s="3504"/>
      <c r="G90" s="3504"/>
      <c r="H90" s="3504"/>
      <c r="I90" s="3504"/>
      <c r="J90" s="3504"/>
      <c r="K90" s="2313"/>
      <c r="L90" s="2313"/>
      <c r="M90" s="2313"/>
      <c r="N90" s="2313"/>
    </row>
    <row r="91" spans="1:37">
      <c r="A91" s="3506" t="s">
        <v>2732</v>
      </c>
      <c r="B91" s="3506" t="s">
        <v>2733</v>
      </c>
      <c r="C91" s="2267" t="s">
        <v>2734</v>
      </c>
      <c r="D91" s="2268"/>
      <c r="E91" s="2268"/>
      <c r="F91" s="2268"/>
      <c r="G91" s="2268"/>
      <c r="H91" s="2268"/>
      <c r="I91" s="2268"/>
      <c r="J91" s="2314"/>
      <c r="K91" s="2315"/>
      <c r="L91" s="2315"/>
      <c r="M91" s="2315"/>
      <c r="N91" s="2315"/>
    </row>
    <row r="92" spans="1:37">
      <c r="A92" s="3506"/>
      <c r="B92" s="3506"/>
      <c r="C92" s="879" t="s">
        <v>2601</v>
      </c>
      <c r="D92" s="879" t="s">
        <v>2602</v>
      </c>
      <c r="E92" s="879" t="s">
        <v>2603</v>
      </c>
      <c r="F92" s="879" t="s">
        <v>2604</v>
      </c>
      <c r="G92" s="879" t="s">
        <v>2605</v>
      </c>
      <c r="H92" s="879" t="s">
        <v>2606</v>
      </c>
      <c r="I92" s="879" t="s">
        <v>2607</v>
      </c>
      <c r="J92" s="879" t="s">
        <v>2608</v>
      </c>
      <c r="K92" s="879" t="s">
        <v>2609</v>
      </c>
      <c r="L92" s="879" t="s">
        <v>2610</v>
      </c>
      <c r="M92" s="879" t="s">
        <v>2611</v>
      </c>
      <c r="N92" s="879" t="s">
        <v>2612</v>
      </c>
    </row>
    <row r="93" spans="1:37">
      <c r="A93" s="3507"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508"/>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508"/>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508"/>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508"/>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508"/>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508"/>
      <c r="B99" s="2316" t="s">
        <v>2617</v>
      </c>
      <c r="C99" s="2318">
        <f>$I$3</f>
        <v>0</v>
      </c>
      <c r="D99" s="2318">
        <f t="shared" ref="D99:M99" si="30">$I$3</f>
        <v>0</v>
      </c>
      <c r="E99" s="2318">
        <f t="shared" si="30"/>
        <v>0</v>
      </c>
      <c r="F99" s="2318">
        <f t="shared" si="30"/>
        <v>0</v>
      </c>
      <c r="G99" s="2318">
        <f t="shared" si="30"/>
        <v>0</v>
      </c>
      <c r="H99" s="2318">
        <f t="shared" si="30"/>
        <v>0</v>
      </c>
      <c r="I99" s="2318">
        <f t="shared" si="30"/>
        <v>0</v>
      </c>
      <c r="J99" s="2318">
        <f t="shared" si="30"/>
        <v>0</v>
      </c>
      <c r="K99" s="2318">
        <f t="shared" si="30"/>
        <v>0</v>
      </c>
      <c r="L99" s="2318">
        <f t="shared" si="30"/>
        <v>0</v>
      </c>
      <c r="M99" s="2318">
        <f t="shared" si="30"/>
        <v>0</v>
      </c>
      <c r="N99" s="2318">
        <f>$I$3</f>
        <v>0</v>
      </c>
    </row>
    <row r="100" spans="1:14">
      <c r="A100" s="3509"/>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507" t="s">
        <v>2736</v>
      </c>
      <c r="B101" s="2320" t="s">
        <v>2737</v>
      </c>
      <c r="C101" s="2321">
        <f>$G$3</f>
        <v>3.77</v>
      </c>
      <c r="D101" s="2321">
        <f t="shared" ref="D101:N101" si="31">$G$3</f>
        <v>3.77</v>
      </c>
      <c r="E101" s="2321">
        <f t="shared" si="31"/>
        <v>3.77</v>
      </c>
      <c r="F101" s="2321">
        <f t="shared" si="31"/>
        <v>3.77</v>
      </c>
      <c r="G101" s="2321">
        <f t="shared" si="31"/>
        <v>3.77</v>
      </c>
      <c r="H101" s="2321">
        <f t="shared" si="31"/>
        <v>3.77</v>
      </c>
      <c r="I101" s="2321">
        <f t="shared" si="31"/>
        <v>3.77</v>
      </c>
      <c r="J101" s="2321">
        <f t="shared" si="31"/>
        <v>3.77</v>
      </c>
      <c r="K101" s="2321">
        <f t="shared" si="31"/>
        <v>3.77</v>
      </c>
      <c r="L101" s="2321">
        <f t="shared" si="31"/>
        <v>3.77</v>
      </c>
      <c r="M101" s="2321">
        <f t="shared" si="31"/>
        <v>3.77</v>
      </c>
      <c r="N101" s="2321">
        <f t="shared" si="31"/>
        <v>3.77</v>
      </c>
    </row>
    <row r="102" spans="1:14">
      <c r="A102" s="3508"/>
      <c r="B102" s="2316">
        <v>1</v>
      </c>
      <c r="C102" s="2317">
        <f>1.9362/C101</f>
        <v>0.51358090185676386</v>
      </c>
      <c r="D102" s="2317">
        <f>1.9362/D101</f>
        <v>0.51358090185676386</v>
      </c>
      <c r="E102" s="2317">
        <f>1.8629/E101</f>
        <v>0.49413793103448278</v>
      </c>
      <c r="F102" s="2317">
        <f>1.8629/F101</f>
        <v>0.49413793103448278</v>
      </c>
      <c r="G102" s="2317">
        <f>1.8629/G101</f>
        <v>0.49413793103448278</v>
      </c>
      <c r="H102" s="2317">
        <f>1.8629/H101</f>
        <v>0.49413793103448278</v>
      </c>
      <c r="I102" s="2317">
        <f>1.8629/I101</f>
        <v>0.49413793103448278</v>
      </c>
      <c r="J102" s="2317">
        <f>1.942/J101</f>
        <v>0.51511936339522546</v>
      </c>
      <c r="K102" s="2317">
        <f>1.942/K101</f>
        <v>0.51511936339522546</v>
      </c>
      <c r="L102" s="2317">
        <f>1.942/L101</f>
        <v>0.51511936339522546</v>
      </c>
      <c r="M102" s="2317">
        <f>1.942/M101</f>
        <v>0.51511936339522546</v>
      </c>
      <c r="N102" s="2317">
        <f>1.942/N101</f>
        <v>0.51511936339522546</v>
      </c>
    </row>
    <row r="103" spans="1:14">
      <c r="A103" s="3508"/>
      <c r="B103" s="2316">
        <v>2</v>
      </c>
      <c r="C103" s="2317">
        <f>1.4198/C101</f>
        <v>0.37660477453580898</v>
      </c>
      <c r="D103" s="2317">
        <f>1.4198/D101</f>
        <v>0.37660477453580898</v>
      </c>
      <c r="E103" s="2317">
        <f>1.3372/E101</f>
        <v>0.35469496021220159</v>
      </c>
      <c r="F103" s="2317">
        <f>1.3372/F101</f>
        <v>0.35469496021220159</v>
      </c>
      <c r="G103" s="2317">
        <f>1.3372/G101</f>
        <v>0.35469496021220159</v>
      </c>
      <c r="H103" s="2317">
        <f>1.3372/H101</f>
        <v>0.35469496021220159</v>
      </c>
      <c r="I103" s="2317">
        <f>1.3372/I101</f>
        <v>0.35469496021220159</v>
      </c>
      <c r="J103" s="2317">
        <f>1.2799/J101</f>
        <v>0.33949602122015915</v>
      </c>
      <c r="K103" s="2317">
        <f>1.2799/K101</f>
        <v>0.33949602122015915</v>
      </c>
      <c r="L103" s="2317">
        <f>1.2799/L101</f>
        <v>0.33949602122015915</v>
      </c>
      <c r="M103" s="2317">
        <f>1.2799/M101</f>
        <v>0.33949602122015915</v>
      </c>
      <c r="N103" s="2317">
        <f>1.2799/N101</f>
        <v>0.33949602122015915</v>
      </c>
    </row>
    <row r="104" spans="1:14">
      <c r="A104" s="3508"/>
      <c r="B104" s="2316">
        <v>3</v>
      </c>
      <c r="C104" s="2317">
        <f>1.1594/C101</f>
        <v>0.30753315649867374</v>
      </c>
      <c r="D104" s="2317">
        <f>1.1594/D101</f>
        <v>0.30753315649867374</v>
      </c>
      <c r="E104" s="2317">
        <f>1.0788/E101</f>
        <v>0.28615384615384615</v>
      </c>
      <c r="F104" s="2317">
        <f>1.0788/F101</f>
        <v>0.28615384615384615</v>
      </c>
      <c r="G104" s="2317">
        <f>1.0788/G101</f>
        <v>0.28615384615384615</v>
      </c>
      <c r="H104" s="2317">
        <f>1.0788/H101</f>
        <v>0.28615384615384615</v>
      </c>
      <c r="I104" s="2317">
        <f>1.0788/I101</f>
        <v>0.28615384615384615</v>
      </c>
      <c r="J104" s="2317">
        <f>1.0072/J101</f>
        <v>0.26716180371352788</v>
      </c>
      <c r="K104" s="2317">
        <f>1.0072/K101</f>
        <v>0.26716180371352788</v>
      </c>
      <c r="L104" s="2317">
        <f>1.0072/L101</f>
        <v>0.26716180371352788</v>
      </c>
      <c r="M104" s="2317">
        <f>1.0072/M101</f>
        <v>0.26716180371352788</v>
      </c>
      <c r="N104" s="2317">
        <f>1.0072/N101</f>
        <v>0.26716180371352788</v>
      </c>
    </row>
    <row r="105" spans="1:14">
      <c r="A105" s="3508"/>
      <c r="B105" s="2316">
        <v>4</v>
      </c>
      <c r="C105" s="2317">
        <f>0.9622/C101</f>
        <v>0.25522546419098147</v>
      </c>
      <c r="D105" s="2317">
        <f>0.9622/D101</f>
        <v>0.25522546419098147</v>
      </c>
      <c r="E105" s="2317">
        <f>0.8656/E101</f>
        <v>0.22960212201591512</v>
      </c>
      <c r="F105" s="2317">
        <f>0.8656/F101</f>
        <v>0.22960212201591512</v>
      </c>
      <c r="G105" s="2317">
        <f>0.8656/G101</f>
        <v>0.22960212201591512</v>
      </c>
      <c r="H105" s="2317">
        <f>0.8656/H101</f>
        <v>0.22960212201591512</v>
      </c>
      <c r="I105" s="2317">
        <f>0.8656/I101</f>
        <v>0.22960212201591512</v>
      </c>
      <c r="J105" s="2317">
        <f>0.7525/J101</f>
        <v>0.1996021220159151</v>
      </c>
      <c r="K105" s="2317">
        <f>0.7525/K101</f>
        <v>0.1996021220159151</v>
      </c>
      <c r="L105" s="2317">
        <f>0.7525/L101</f>
        <v>0.1996021220159151</v>
      </c>
      <c r="M105" s="2317">
        <f>0.7525/M101</f>
        <v>0.1996021220159151</v>
      </c>
      <c r="N105" s="2317">
        <f>0.7525/N101</f>
        <v>0.1996021220159151</v>
      </c>
    </row>
    <row r="106" spans="1:14">
      <c r="A106" s="3508"/>
      <c r="B106" s="2316">
        <v>5</v>
      </c>
      <c r="C106" s="2317">
        <f>0.8417/C101</f>
        <v>0.22326259946949603</v>
      </c>
      <c r="D106" s="2317">
        <f>0.8417/D101</f>
        <v>0.22326259946949603</v>
      </c>
      <c r="E106" s="2317">
        <f>0.7371/E101</f>
        <v>0.19551724137931034</v>
      </c>
      <c r="F106" s="2317">
        <f>0.7371/F101</f>
        <v>0.19551724137931034</v>
      </c>
      <c r="G106" s="2317">
        <f>0.7371/G101</f>
        <v>0.19551724137931034</v>
      </c>
      <c r="H106" s="2317">
        <f>0.7371/H101</f>
        <v>0.19551724137931034</v>
      </c>
      <c r="I106" s="2317">
        <f>0.7371/I101</f>
        <v>0.19551724137931034</v>
      </c>
      <c r="J106" s="2317">
        <f>0.5659/J101</f>
        <v>0.15010610079575595</v>
      </c>
      <c r="K106" s="2317">
        <f>0.5659/K101</f>
        <v>0.15010610079575595</v>
      </c>
      <c r="L106" s="2317">
        <f>0.5659/L101</f>
        <v>0.15010610079575595</v>
      </c>
      <c r="M106" s="2317">
        <f>0.5659/M101</f>
        <v>0.15010610079575595</v>
      </c>
      <c r="N106" s="2317">
        <f>0.5659/N101</f>
        <v>0.15010610079575595</v>
      </c>
    </row>
    <row r="107" spans="1:14">
      <c r="A107" s="3508"/>
      <c r="B107" s="2316">
        <v>6</v>
      </c>
      <c r="C107" s="2317">
        <f>0.7608/C101</f>
        <v>0.20180371352785145</v>
      </c>
      <c r="D107" s="2317">
        <f>0.7608/D101</f>
        <v>0.20180371352785145</v>
      </c>
      <c r="E107" s="2317">
        <f>0.6482/E101</f>
        <v>0.17193633952254642</v>
      </c>
      <c r="F107" s="2317">
        <f>0.6482/F101</f>
        <v>0.17193633952254642</v>
      </c>
      <c r="G107" s="2317">
        <f>0.6482/G101</f>
        <v>0.17193633952254642</v>
      </c>
      <c r="H107" s="2317">
        <f>0.6482/H101</f>
        <v>0.17193633952254642</v>
      </c>
      <c r="I107" s="2317">
        <f>0.6482/I101</f>
        <v>0.17193633952254642</v>
      </c>
      <c r="J107" s="2317">
        <f>0.4525/J101</f>
        <v>0.120026525198939</v>
      </c>
      <c r="K107" s="2317">
        <f>0.4525/K101</f>
        <v>0.120026525198939</v>
      </c>
      <c r="L107" s="2317">
        <f>0.4525/L101</f>
        <v>0.120026525198939</v>
      </c>
      <c r="M107" s="2317">
        <f>0.4525/M101</f>
        <v>0.120026525198939</v>
      </c>
      <c r="N107" s="2317">
        <f>0.4525/N101</f>
        <v>0.120026525198939</v>
      </c>
    </row>
    <row r="108" spans="1:14">
      <c r="A108" s="3508"/>
      <c r="B108" s="3510" t="s">
        <v>2738</v>
      </c>
      <c r="C108" s="2318">
        <f>C99</f>
        <v>0</v>
      </c>
      <c r="D108" s="2318">
        <f t="shared" ref="D108:N108" si="32">D99</f>
        <v>0</v>
      </c>
      <c r="E108" s="2318">
        <f t="shared" si="32"/>
        <v>0</v>
      </c>
      <c r="F108" s="2318">
        <f t="shared" si="32"/>
        <v>0</v>
      </c>
      <c r="G108" s="2318">
        <f t="shared" si="32"/>
        <v>0</v>
      </c>
      <c r="H108" s="2318">
        <f t="shared" si="32"/>
        <v>0</v>
      </c>
      <c r="I108" s="2318">
        <f t="shared" si="32"/>
        <v>0</v>
      </c>
      <c r="J108" s="2318">
        <f t="shared" si="32"/>
        <v>0</v>
      </c>
      <c r="K108" s="2318">
        <f t="shared" si="32"/>
        <v>0</v>
      </c>
      <c r="L108" s="2318">
        <f t="shared" si="32"/>
        <v>0</v>
      </c>
      <c r="M108" s="2318">
        <f t="shared" si="32"/>
        <v>0</v>
      </c>
      <c r="N108" s="2318">
        <f t="shared" si="32"/>
        <v>0</v>
      </c>
    </row>
    <row r="109" spans="1:14">
      <c r="A109" s="3509"/>
      <c r="B109" s="3511"/>
      <c r="C109" s="2319">
        <f>(-0.163*(C108^2)-0.59*C108+7617)*(10^(-4))/C101</f>
        <v>0.2020424403183024</v>
      </c>
      <c r="D109" s="2319">
        <f>(-0.163*(D108^2)-0.59*D108+7617)*(10^(-4))/D101</f>
        <v>0.2020424403183024</v>
      </c>
      <c r="E109" s="2319">
        <f>(-0.161*(E108^2)-7.509*E108+6533)*(10^(-4))/E101</f>
        <v>0.17328912466843502</v>
      </c>
      <c r="F109" s="2319">
        <f>(-0.161*(F108^2)-7.509*F108+6533)*(10^(-4))/F101</f>
        <v>0.17328912466843502</v>
      </c>
      <c r="G109" s="2319">
        <f>(-0.161*(G108^2)-7.509*G108+6533)*(10^(-4))/G101</f>
        <v>0.17328912466843502</v>
      </c>
      <c r="H109" s="2319">
        <f>(-0.161*(H108^2)-7.509*H108+6533)*(10^(-4))/H101</f>
        <v>0.17328912466843502</v>
      </c>
      <c r="I109" s="2319">
        <f>(-0.161*(I108^2)-7.509*I108+6533)*(10^(-4))/I101</f>
        <v>0.17328912466843502</v>
      </c>
      <c r="J109" s="2319">
        <f>(-0.214*(J108^2)-21.991*J108+4665)*(10^(-4))/J101</f>
        <v>0.12374005305039788</v>
      </c>
      <c r="K109" s="2319">
        <f>(-0.214*(K108^2)-21.991*K108+4665)*(10^(-4))/K101</f>
        <v>0.12374005305039788</v>
      </c>
      <c r="L109" s="2319">
        <f>(-0.214*(L108^2)-21.991*L108+4665)*(10^(-4))/L101</f>
        <v>0.12374005305039788</v>
      </c>
      <c r="M109" s="2319">
        <f>(-0.214*(M108^2)-21.991*M108+4665)*(10^(-4))/M101</f>
        <v>0.12374005305039788</v>
      </c>
      <c r="N109" s="2319">
        <f>(-0.214*(N108^2)-21.991*N108+4665)*(10^(-4))/N101</f>
        <v>0.12374005305039788</v>
      </c>
    </row>
    <row r="110" spans="1:14">
      <c r="A110" s="3505" t="s">
        <v>2739</v>
      </c>
      <c r="B110" s="3505"/>
      <c r="C110" s="3505"/>
      <c r="D110" s="3505"/>
      <c r="E110" s="3505"/>
      <c r="F110" s="3505"/>
      <c r="G110" s="3505"/>
      <c r="H110" s="3505"/>
      <c r="I110" s="3505"/>
      <c r="J110" s="3505"/>
      <c r="K110" s="2322"/>
      <c r="L110" s="2322"/>
      <c r="M110" s="2322"/>
      <c r="N110" s="2322"/>
    </row>
    <row r="112" spans="1:14" ht="13.5" thickBot="1"/>
    <row r="113" spans="1:13" ht="25.5" thickBot="1">
      <c r="A113" s="842" t="s">
        <v>2740</v>
      </c>
      <c r="B113" s="1197">
        <f>G3</f>
        <v>3.77</v>
      </c>
      <c r="C113" s="843" t="s">
        <v>2741</v>
      </c>
      <c r="D113" s="844">
        <f>SUMPRODUCT((A115:A118=F113)*(B114:M114=H113)*B115:M118)</f>
        <v>0</v>
      </c>
      <c r="E113" s="2158" t="s">
        <v>2574</v>
      </c>
      <c r="F113" s="2324">
        <f>E2</f>
        <v>0</v>
      </c>
      <c r="G113" s="2158" t="s">
        <v>2575</v>
      </c>
      <c r="H113" s="2324">
        <f>G2</f>
        <v>0</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2639</v>
      </c>
      <c r="B115" s="849">
        <f>ROUND(0.9335-0.0094*B113,4)</f>
        <v>0.89810000000000001</v>
      </c>
      <c r="C115" s="849">
        <f>B115</f>
        <v>0.89810000000000001</v>
      </c>
      <c r="D115" s="849">
        <f>ROUND(0.8331-0.0109*B113,4)</f>
        <v>0.79200000000000004</v>
      </c>
      <c r="E115" s="849">
        <f>D115</f>
        <v>0.79200000000000004</v>
      </c>
      <c r="F115" s="849">
        <f>E115</f>
        <v>0.79200000000000004</v>
      </c>
      <c r="G115" s="849">
        <f>F115</f>
        <v>0.79200000000000004</v>
      </c>
      <c r="H115" s="849">
        <f>G115</f>
        <v>0.79200000000000004</v>
      </c>
      <c r="I115" s="849">
        <f>ROUND(0.689-0.0155*B113,4)</f>
        <v>0.63060000000000005</v>
      </c>
      <c r="J115" s="849">
        <f t="shared" ref="J115:M118" si="33">I115</f>
        <v>0.63060000000000005</v>
      </c>
      <c r="K115" s="849">
        <f t="shared" si="33"/>
        <v>0.63060000000000005</v>
      </c>
      <c r="L115" s="849">
        <f t="shared" si="33"/>
        <v>0.63060000000000005</v>
      </c>
      <c r="M115" s="850">
        <f t="shared" si="33"/>
        <v>0.63060000000000005</v>
      </c>
    </row>
    <row r="116" spans="1:13">
      <c r="A116" s="848" t="s">
        <v>2640</v>
      </c>
      <c r="B116" s="849">
        <f>ROUND(0.949-0.012*B113,4)</f>
        <v>0.90380000000000005</v>
      </c>
      <c r="C116" s="849">
        <f>B116</f>
        <v>0.90380000000000005</v>
      </c>
      <c r="D116" s="849">
        <f>ROUND(0.8567-0.013*B113,4)</f>
        <v>0.80769999999999997</v>
      </c>
      <c r="E116" s="849">
        <f t="shared" ref="E116:H117" si="34">D116</f>
        <v>0.80769999999999997</v>
      </c>
      <c r="F116" s="849">
        <f t="shared" si="34"/>
        <v>0.80769999999999997</v>
      </c>
      <c r="G116" s="849">
        <f t="shared" si="34"/>
        <v>0.80769999999999997</v>
      </c>
      <c r="H116" s="849">
        <f t="shared" si="34"/>
        <v>0.80769999999999997</v>
      </c>
      <c r="I116" s="849">
        <f>ROUND(0.7694-0.014*B113,4)</f>
        <v>0.71660000000000001</v>
      </c>
      <c r="J116" s="849">
        <f t="shared" si="33"/>
        <v>0.71660000000000001</v>
      </c>
      <c r="K116" s="849">
        <f t="shared" si="33"/>
        <v>0.71660000000000001</v>
      </c>
      <c r="L116" s="849">
        <f t="shared" si="33"/>
        <v>0.71660000000000001</v>
      </c>
      <c r="M116" s="850">
        <f t="shared" si="33"/>
        <v>0.71660000000000001</v>
      </c>
    </row>
    <row r="117" spans="1:13">
      <c r="A117" s="848" t="s">
        <v>2641</v>
      </c>
      <c r="B117" s="849">
        <f>ROUND(0.8808-0.006*B113,4)</f>
        <v>0.85819999999999996</v>
      </c>
      <c r="C117" s="849">
        <f>B117</f>
        <v>0.85819999999999996</v>
      </c>
      <c r="D117" s="849">
        <f>ROUND(0.8748-0.008*B113,4)</f>
        <v>0.84460000000000002</v>
      </c>
      <c r="E117" s="849">
        <f t="shared" si="34"/>
        <v>0.84460000000000002</v>
      </c>
      <c r="F117" s="849">
        <f t="shared" si="34"/>
        <v>0.84460000000000002</v>
      </c>
      <c r="G117" s="849">
        <f t="shared" si="34"/>
        <v>0.84460000000000002</v>
      </c>
      <c r="H117" s="849">
        <f t="shared" si="34"/>
        <v>0.84460000000000002</v>
      </c>
      <c r="I117" s="849">
        <f>ROUND(0.7412-0.0095*B113,4)</f>
        <v>0.70540000000000003</v>
      </c>
      <c r="J117" s="849">
        <f t="shared" si="33"/>
        <v>0.70540000000000003</v>
      </c>
      <c r="K117" s="849">
        <f t="shared" si="33"/>
        <v>0.70540000000000003</v>
      </c>
      <c r="L117" s="849">
        <f t="shared" si="33"/>
        <v>0.70540000000000003</v>
      </c>
      <c r="M117" s="850">
        <f t="shared" si="33"/>
        <v>0.70540000000000003</v>
      </c>
    </row>
    <row r="118" spans="1:13" ht="13.5" thickBot="1">
      <c r="A118" s="670" t="s">
        <v>2642</v>
      </c>
      <c r="B118" s="851">
        <f>ROUND(0.7275-0.01*B113,4)</f>
        <v>0.68979999999999997</v>
      </c>
      <c r="C118" s="851">
        <f>B118</f>
        <v>0.68979999999999997</v>
      </c>
      <c r="D118" s="851">
        <f>ROUND(0.7043-0.012*B113,4)</f>
        <v>0.65910000000000002</v>
      </c>
      <c r="E118" s="851">
        <f>D118</f>
        <v>0.65910000000000002</v>
      </c>
      <c r="F118" s="851">
        <f>E118</f>
        <v>0.65910000000000002</v>
      </c>
      <c r="G118" s="851">
        <f>ROUND(0.6299-0.0122*B113,4)</f>
        <v>0.58389999999999997</v>
      </c>
      <c r="H118" s="851">
        <f>G118</f>
        <v>0.58389999999999997</v>
      </c>
      <c r="I118" s="851">
        <f>ROUND(0.5667-0.0136*B113,4)</f>
        <v>0.51539999999999997</v>
      </c>
      <c r="J118" s="851">
        <f t="shared" si="33"/>
        <v>0.51539999999999997</v>
      </c>
      <c r="K118" s="851">
        <f t="shared" si="33"/>
        <v>0.51539999999999997</v>
      </c>
      <c r="L118" s="851">
        <f t="shared" si="33"/>
        <v>0.51539999999999997</v>
      </c>
      <c r="M118" s="852">
        <f t="shared" si="33"/>
        <v>0.51539999999999997</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28" t="s">
        <v>183</v>
      </c>
      <c r="B18" s="821" t="s">
        <v>560</v>
      </c>
      <c r="C18" s="822" t="s">
        <v>561</v>
      </c>
      <c r="D18" s="823"/>
      <c r="E18" s="821">
        <v>1</v>
      </c>
      <c r="F18" s="824" t="s">
        <v>562</v>
      </c>
      <c r="G18" s="825"/>
      <c r="H18" s="817"/>
      <c r="I18" s="817"/>
    </row>
    <row r="19" spans="1:9" s="826" customFormat="1" ht="19.5" customHeight="1">
      <c r="A19" s="3528"/>
      <c r="B19" s="3528" t="s">
        <v>563</v>
      </c>
      <c r="C19" s="822" t="s">
        <v>564</v>
      </c>
      <c r="D19" s="823"/>
      <c r="E19" s="821">
        <v>0.9</v>
      </c>
      <c r="F19" s="824" t="s">
        <v>565</v>
      </c>
      <c r="G19" s="825"/>
      <c r="H19" s="817"/>
      <c r="I19" s="817"/>
    </row>
    <row r="20" spans="1:9" s="826" customFormat="1" ht="19.5" customHeight="1">
      <c r="A20" s="3528"/>
      <c r="B20" s="3528"/>
      <c r="C20" s="822" t="s">
        <v>566</v>
      </c>
      <c r="D20" s="823"/>
      <c r="E20" s="821">
        <v>1.1000000000000001</v>
      </c>
      <c r="F20" s="824" t="s">
        <v>567</v>
      </c>
      <c r="G20" s="825"/>
      <c r="H20" s="817"/>
      <c r="I20" s="817"/>
    </row>
    <row r="21" spans="1:9" s="826" customFormat="1" ht="19.5" customHeight="1">
      <c r="A21" s="3528"/>
      <c r="B21" s="3528"/>
      <c r="C21" s="822" t="s">
        <v>568</v>
      </c>
      <c r="D21" s="823"/>
      <c r="E21" s="821">
        <v>0.8</v>
      </c>
      <c r="F21" s="824" t="s">
        <v>569</v>
      </c>
      <c r="G21" s="825"/>
      <c r="H21" s="817"/>
      <c r="I21" s="817"/>
    </row>
    <row r="22" spans="1:9" s="826" customFormat="1" ht="19.5" customHeight="1">
      <c r="A22" s="3528"/>
      <c r="B22" s="3528"/>
      <c r="C22" s="822" t="s">
        <v>570</v>
      </c>
      <c r="D22" s="823"/>
      <c r="E22" s="821">
        <v>0.5</v>
      </c>
      <c r="F22" s="824"/>
      <c r="G22" s="825"/>
      <c r="H22" s="817"/>
      <c r="I22" s="817"/>
    </row>
    <row r="23" spans="1:9" s="826" customFormat="1" ht="19.5" customHeight="1">
      <c r="A23" s="3528" t="s">
        <v>184</v>
      </c>
      <c r="B23" s="821" t="s">
        <v>560</v>
      </c>
      <c r="C23" s="822" t="s">
        <v>571</v>
      </c>
      <c r="D23" s="823"/>
      <c r="E23" s="821">
        <v>1</v>
      </c>
      <c r="F23" s="824" t="s">
        <v>572</v>
      </c>
      <c r="G23" s="825"/>
      <c r="H23" s="817"/>
      <c r="I23" s="817"/>
    </row>
    <row r="24" spans="1:9" s="826" customFormat="1" ht="19.5" customHeight="1">
      <c r="A24" s="3528"/>
      <c r="B24" s="3528" t="s">
        <v>563</v>
      </c>
      <c r="C24" s="822" t="s">
        <v>573</v>
      </c>
      <c r="D24" s="823"/>
      <c r="E24" s="821">
        <v>0.5</v>
      </c>
      <c r="F24" s="824"/>
      <c r="G24" s="825"/>
      <c r="H24" s="817"/>
      <c r="I24" s="817"/>
    </row>
    <row r="25" spans="1:9" s="826" customFormat="1" ht="19.5" customHeight="1">
      <c r="A25" s="3528"/>
      <c r="B25" s="3528"/>
      <c r="C25" s="822" t="s">
        <v>574</v>
      </c>
      <c r="D25" s="823"/>
      <c r="E25" s="821">
        <v>1.1000000000000001</v>
      </c>
      <c r="F25" s="824"/>
      <c r="G25" s="825"/>
      <c r="H25" s="817"/>
      <c r="I25" s="817"/>
    </row>
    <row r="26" spans="1:9" s="826" customFormat="1" ht="19.5" customHeight="1">
      <c r="A26" s="3528"/>
      <c r="B26" s="3528"/>
      <c r="C26" s="822" t="s">
        <v>575</v>
      </c>
      <c r="D26" s="823"/>
      <c r="E26" s="821">
        <v>1.1000000000000001</v>
      </c>
      <c r="F26" s="824"/>
      <c r="G26" s="825"/>
      <c r="H26" s="817"/>
      <c r="I26" s="817"/>
    </row>
    <row r="27" spans="1:9" s="826" customFormat="1" ht="19.5" customHeight="1">
      <c r="A27" s="3528"/>
      <c r="B27" s="3528"/>
      <c r="C27" s="822" t="s">
        <v>576</v>
      </c>
      <c r="D27" s="823"/>
      <c r="E27" s="821">
        <v>0.9</v>
      </c>
      <c r="F27" s="824" t="s">
        <v>577</v>
      </c>
      <c r="G27" s="825"/>
      <c r="H27" s="817"/>
      <c r="I27" s="817"/>
    </row>
    <row r="28" spans="1:9" s="826" customFormat="1" ht="19.5" customHeight="1">
      <c r="A28" s="3528"/>
      <c r="B28" s="3528"/>
      <c r="C28" s="822" t="s">
        <v>578</v>
      </c>
      <c r="D28" s="823"/>
      <c r="E28" s="821">
        <v>0.9</v>
      </c>
      <c r="F28" s="824" t="s">
        <v>579</v>
      </c>
      <c r="G28" s="825"/>
      <c r="H28" s="817"/>
      <c r="I28" s="817"/>
    </row>
    <row r="29" spans="1:9" s="826" customFormat="1" ht="19.5" customHeight="1">
      <c r="A29" s="3528"/>
      <c r="B29" s="3528"/>
      <c r="C29" s="822" t="s">
        <v>580</v>
      </c>
      <c r="D29" s="823"/>
      <c r="E29" s="821">
        <v>0.9</v>
      </c>
      <c r="F29" s="824" t="s">
        <v>581</v>
      </c>
      <c r="G29" s="825"/>
      <c r="H29" s="817"/>
      <c r="I29" s="817"/>
    </row>
    <row r="30" spans="1:9" s="826" customFormat="1" ht="19.5" customHeight="1">
      <c r="A30" s="3528"/>
      <c r="B30" s="3528"/>
      <c r="C30" s="822" t="s">
        <v>582</v>
      </c>
      <c r="D30" s="823"/>
      <c r="E30" s="821">
        <v>0.9</v>
      </c>
      <c r="F30" s="824" t="s">
        <v>583</v>
      </c>
      <c r="G30" s="825"/>
      <c r="H30" s="817"/>
      <c r="I30" s="817"/>
    </row>
    <row r="31" spans="1:9" s="826" customFormat="1" ht="19.5" customHeight="1">
      <c r="A31" s="3528"/>
      <c r="B31" s="3528"/>
      <c r="C31" s="822" t="s">
        <v>584</v>
      </c>
      <c r="D31" s="823"/>
      <c r="E31" s="821">
        <v>0.8</v>
      </c>
      <c r="F31" s="824" t="s">
        <v>585</v>
      </c>
      <c r="G31" s="825"/>
      <c r="H31" s="817"/>
      <c r="I31" s="817"/>
    </row>
    <row r="32" spans="1:9" s="826" customFormat="1" ht="19.5" customHeight="1">
      <c r="A32" s="3528"/>
      <c r="B32" s="3528"/>
      <c r="C32" s="822" t="s">
        <v>586</v>
      </c>
      <c r="D32" s="823"/>
      <c r="E32" s="821">
        <v>0.8</v>
      </c>
      <c r="F32" s="824" t="s">
        <v>587</v>
      </c>
      <c r="G32" s="825"/>
      <c r="H32" s="817"/>
      <c r="I32" s="817"/>
    </row>
    <row r="33" spans="1:9" s="826" customFormat="1" ht="19.5" customHeight="1">
      <c r="A33" s="3528" t="s">
        <v>185</v>
      </c>
      <c r="B33" s="821" t="s">
        <v>560</v>
      </c>
      <c r="C33" s="822" t="s">
        <v>588</v>
      </c>
      <c r="D33" s="823"/>
      <c r="E33" s="821">
        <v>1</v>
      </c>
      <c r="F33" s="824" t="s">
        <v>589</v>
      </c>
      <c r="G33" s="825"/>
      <c r="H33" s="817"/>
      <c r="I33" s="817"/>
    </row>
    <row r="34" spans="1:9" s="826" customFormat="1" ht="19.5" customHeight="1">
      <c r="A34" s="3528"/>
      <c r="B34" s="821" t="s">
        <v>563</v>
      </c>
      <c r="C34" s="822" t="s">
        <v>590</v>
      </c>
      <c r="D34" s="823"/>
      <c r="E34" s="821">
        <v>1.5</v>
      </c>
      <c r="F34" s="824" t="s">
        <v>591</v>
      </c>
      <c r="G34" s="825"/>
      <c r="H34" s="817"/>
      <c r="I34" s="817"/>
    </row>
    <row r="35" spans="1:9" s="826" customFormat="1" ht="19.5" customHeight="1">
      <c r="A35" s="3528" t="s">
        <v>186</v>
      </c>
      <c r="B35" s="821" t="s">
        <v>560</v>
      </c>
      <c r="C35" s="822" t="s">
        <v>592</v>
      </c>
      <c r="D35" s="823"/>
      <c r="E35" s="821">
        <v>1</v>
      </c>
      <c r="F35" s="824" t="s">
        <v>593</v>
      </c>
      <c r="G35" s="825"/>
      <c r="H35" s="817"/>
      <c r="I35" s="817"/>
    </row>
    <row r="36" spans="1:9" s="826" customFormat="1" ht="19.5" customHeight="1">
      <c r="A36" s="3528"/>
      <c r="B36" s="3528" t="s">
        <v>563</v>
      </c>
      <c r="C36" s="822" t="s">
        <v>594</v>
      </c>
      <c r="D36" s="823"/>
      <c r="E36" s="821">
        <v>1</v>
      </c>
      <c r="F36" s="824" t="s">
        <v>595</v>
      </c>
      <c r="G36" s="825"/>
      <c r="H36" s="817"/>
      <c r="I36" s="817"/>
    </row>
    <row r="37" spans="1:9" s="826" customFormat="1" ht="19.5" customHeight="1">
      <c r="A37" s="3528"/>
      <c r="B37" s="3528"/>
      <c r="C37" s="822" t="s">
        <v>596</v>
      </c>
      <c r="D37" s="823"/>
      <c r="E37" s="821">
        <v>1.5</v>
      </c>
      <c r="F37" s="824" t="s">
        <v>597</v>
      </c>
      <c r="G37" s="825"/>
      <c r="H37" s="817"/>
      <c r="I37" s="817"/>
    </row>
    <row r="38" spans="1:9" s="826" customFormat="1" ht="19.5" customHeight="1">
      <c r="A38" s="3528"/>
      <c r="B38" s="3528"/>
      <c r="C38" s="822" t="s">
        <v>598</v>
      </c>
      <c r="D38" s="823"/>
      <c r="E38" s="821">
        <v>1</v>
      </c>
      <c r="F38" s="824" t="s">
        <v>599</v>
      </c>
      <c r="G38" s="825"/>
      <c r="H38" s="817"/>
      <c r="I38" s="817"/>
    </row>
    <row r="39" spans="1:9" s="826" customFormat="1" ht="19.5" customHeight="1">
      <c r="A39" s="3528"/>
      <c r="B39" s="3528"/>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28" t="s">
        <v>614</v>
      </c>
      <c r="C61" s="757" t="s">
        <v>615</v>
      </c>
      <c r="D61" s="757" t="s">
        <v>616</v>
      </c>
      <c r="E61" s="834">
        <v>0.5</v>
      </c>
      <c r="F61" s="821">
        <v>80</v>
      </c>
    </row>
    <row r="62" spans="1:8" s="817" customFormat="1" ht="24">
      <c r="A62" s="821">
        <v>2</v>
      </c>
      <c r="B62" s="3528"/>
      <c r="C62" s="757" t="s">
        <v>617</v>
      </c>
      <c r="D62" s="757" t="s">
        <v>618</v>
      </c>
      <c r="E62" s="834">
        <v>0.5</v>
      </c>
      <c r="F62" s="821">
        <v>80</v>
      </c>
    </row>
    <row r="63" spans="1:8" s="817" customFormat="1" ht="36">
      <c r="A63" s="821">
        <v>3</v>
      </c>
      <c r="B63" s="3528"/>
      <c r="C63" s="757" t="s">
        <v>619</v>
      </c>
      <c r="D63" s="757" t="s">
        <v>620</v>
      </c>
      <c r="E63" s="834">
        <v>0.5</v>
      </c>
      <c r="F63" s="821">
        <v>80</v>
      </c>
    </row>
    <row r="64" spans="1:8" s="817" customFormat="1" ht="36">
      <c r="A64" s="821">
        <v>4</v>
      </c>
      <c r="B64" s="3528"/>
      <c r="C64" s="757" t="s">
        <v>621</v>
      </c>
      <c r="D64" s="757" t="s">
        <v>622</v>
      </c>
      <c r="E64" s="834">
        <v>0.4</v>
      </c>
      <c r="F64" s="821">
        <v>60</v>
      </c>
    </row>
    <row r="65" spans="1:6" s="817" customFormat="1" ht="36">
      <c r="A65" s="821">
        <v>5</v>
      </c>
      <c r="B65" s="3528"/>
      <c r="C65" s="757" t="s">
        <v>623</v>
      </c>
      <c r="D65" s="757" t="s">
        <v>624</v>
      </c>
      <c r="E65" s="834">
        <v>0.2</v>
      </c>
      <c r="F65" s="821">
        <v>30</v>
      </c>
    </row>
    <row r="66" spans="1:6" s="817" customFormat="1" ht="36">
      <c r="A66" s="821">
        <v>6</v>
      </c>
      <c r="B66" s="3528"/>
      <c r="C66" s="757" t="s">
        <v>625</v>
      </c>
      <c r="D66" s="757" t="s">
        <v>626</v>
      </c>
      <c r="E66" s="834">
        <v>0.3</v>
      </c>
      <c r="F66" s="821">
        <v>50</v>
      </c>
    </row>
    <row r="67" spans="1:6" s="817" customFormat="1" ht="36">
      <c r="A67" s="821">
        <v>7</v>
      </c>
      <c r="B67" s="3528"/>
      <c r="C67" s="757" t="s">
        <v>627</v>
      </c>
      <c r="D67" s="757" t="s">
        <v>628</v>
      </c>
      <c r="E67" s="834">
        <v>0.2</v>
      </c>
      <c r="F67" s="821">
        <v>30</v>
      </c>
    </row>
    <row r="68" spans="1:6" s="817" customFormat="1" ht="36">
      <c r="A68" s="821">
        <v>8</v>
      </c>
      <c r="B68" s="3528"/>
      <c r="C68" s="757" t="s">
        <v>629</v>
      </c>
      <c r="D68" s="757" t="s">
        <v>630</v>
      </c>
      <c r="E68" s="834">
        <v>0.2</v>
      </c>
      <c r="F68" s="821">
        <v>30</v>
      </c>
    </row>
    <row r="69" spans="1:6" s="817" customFormat="1" ht="36">
      <c r="A69" s="821">
        <v>9</v>
      </c>
      <c r="B69" s="3528"/>
      <c r="C69" s="757" t="s">
        <v>631</v>
      </c>
      <c r="D69" s="757" t="s">
        <v>632</v>
      </c>
      <c r="E69" s="834">
        <v>0.2</v>
      </c>
      <c r="F69" s="821">
        <v>30</v>
      </c>
    </row>
    <row r="70" spans="1:6" s="817" customFormat="1" ht="48">
      <c r="A70" s="821">
        <v>10</v>
      </c>
      <c r="B70" s="3528"/>
      <c r="C70" s="757" t="s">
        <v>633</v>
      </c>
      <c r="D70" s="757" t="s">
        <v>634</v>
      </c>
      <c r="E70" s="834">
        <v>0.2</v>
      </c>
      <c r="F70" s="821">
        <v>30</v>
      </c>
    </row>
    <row r="71" spans="1:6" s="817" customFormat="1" ht="48">
      <c r="A71" s="821">
        <v>11</v>
      </c>
      <c r="B71" s="3528"/>
      <c r="C71" s="757" t="s">
        <v>635</v>
      </c>
      <c r="D71" s="757" t="s">
        <v>636</v>
      </c>
      <c r="E71" s="834">
        <v>0.2</v>
      </c>
      <c r="F71" s="821">
        <v>30</v>
      </c>
    </row>
    <row r="72" spans="1:6" s="817" customFormat="1" ht="36">
      <c r="A72" s="821">
        <v>12</v>
      </c>
      <c r="B72" s="3528"/>
      <c r="C72" s="757" t="s">
        <v>637</v>
      </c>
      <c r="D72" s="757" t="s">
        <v>638</v>
      </c>
      <c r="E72" s="834">
        <v>0.5</v>
      </c>
      <c r="F72" s="821">
        <v>80</v>
      </c>
    </row>
    <row r="73" spans="1:6" s="817" customFormat="1" ht="24">
      <c r="A73" s="821">
        <v>13</v>
      </c>
      <c r="B73" s="3528"/>
      <c r="C73" s="757" t="s">
        <v>639</v>
      </c>
      <c r="D73" s="757" t="s">
        <v>640</v>
      </c>
      <c r="E73" s="834">
        <v>0.4</v>
      </c>
      <c r="F73" s="821">
        <v>60</v>
      </c>
    </row>
    <row r="74" spans="1:6" s="817" customFormat="1" ht="24">
      <c r="A74" s="821">
        <v>14</v>
      </c>
      <c r="B74" s="3528"/>
      <c r="C74" s="757" t="s">
        <v>641</v>
      </c>
      <c r="D74" s="757" t="s">
        <v>642</v>
      </c>
      <c r="E74" s="834">
        <v>0.2</v>
      </c>
      <c r="F74" s="821">
        <v>30</v>
      </c>
    </row>
    <row r="75" spans="1:6" s="817" customFormat="1" ht="24">
      <c r="A75" s="821">
        <v>15</v>
      </c>
      <c r="B75" s="3528"/>
      <c r="C75" s="757" t="s">
        <v>643</v>
      </c>
      <c r="D75" s="757" t="s">
        <v>644</v>
      </c>
      <c r="E75" s="834">
        <v>0.2</v>
      </c>
      <c r="F75" s="821">
        <v>30</v>
      </c>
    </row>
    <row r="76" spans="1:6" s="817" customFormat="1" ht="24">
      <c r="A76" s="821">
        <v>16</v>
      </c>
      <c r="B76" s="3528" t="s">
        <v>645</v>
      </c>
      <c r="C76" s="757" t="s">
        <v>646</v>
      </c>
      <c r="D76" s="757" t="s">
        <v>647</v>
      </c>
      <c r="E76" s="834">
        <v>0.5</v>
      </c>
      <c r="F76" s="821">
        <v>80</v>
      </c>
    </row>
    <row r="77" spans="1:6" s="817" customFormat="1" ht="24">
      <c r="A77" s="821">
        <v>17</v>
      </c>
      <c r="B77" s="3528"/>
      <c r="C77" s="757" t="s">
        <v>648</v>
      </c>
      <c r="D77" s="757" t="s">
        <v>649</v>
      </c>
      <c r="E77" s="834">
        <v>0.5</v>
      </c>
      <c r="F77" s="821">
        <v>80</v>
      </c>
    </row>
    <row r="78" spans="1:6" s="817" customFormat="1" ht="24">
      <c r="A78" s="821">
        <v>18</v>
      </c>
      <c r="B78" s="3528"/>
      <c r="C78" s="757" t="s">
        <v>650</v>
      </c>
      <c r="D78" s="757" t="s">
        <v>651</v>
      </c>
      <c r="E78" s="834">
        <v>0.2</v>
      </c>
      <c r="F78" s="821">
        <v>30</v>
      </c>
    </row>
    <row r="79" spans="1:6" s="817" customFormat="1" ht="24">
      <c r="A79" s="821">
        <v>19</v>
      </c>
      <c r="B79" s="3528"/>
      <c r="C79" s="757" t="s">
        <v>652</v>
      </c>
      <c r="D79" s="757" t="s">
        <v>653</v>
      </c>
      <c r="E79" s="834">
        <v>0.5</v>
      </c>
      <c r="F79" s="821">
        <v>80</v>
      </c>
    </row>
    <row r="80" spans="1:6" s="817" customFormat="1" ht="36">
      <c r="A80" s="821">
        <v>20</v>
      </c>
      <c r="B80" s="3528"/>
      <c r="C80" s="757" t="s">
        <v>654</v>
      </c>
      <c r="D80" s="757" t="s">
        <v>655</v>
      </c>
      <c r="E80" s="834">
        <v>0.2</v>
      </c>
      <c r="F80" s="821">
        <v>30</v>
      </c>
    </row>
    <row r="81" spans="1:6" s="817" customFormat="1" ht="36">
      <c r="A81" s="821">
        <v>21</v>
      </c>
      <c r="B81" s="3528"/>
      <c r="C81" s="757" t="s">
        <v>656</v>
      </c>
      <c r="D81" s="757" t="s">
        <v>657</v>
      </c>
      <c r="E81" s="834">
        <v>0.2</v>
      </c>
      <c r="F81" s="821">
        <v>30</v>
      </c>
    </row>
    <row r="82" spans="1:6" s="817" customFormat="1" ht="48">
      <c r="A82" s="821">
        <v>22</v>
      </c>
      <c r="B82" s="3528"/>
      <c r="C82" s="757" t="s">
        <v>658</v>
      </c>
      <c r="D82" s="757" t="s">
        <v>659</v>
      </c>
      <c r="E82" s="834">
        <v>0.2</v>
      </c>
      <c r="F82" s="821">
        <v>30</v>
      </c>
    </row>
    <row r="83" spans="1:6" s="817" customFormat="1" ht="48">
      <c r="A83" s="821">
        <v>23</v>
      </c>
      <c r="B83" s="3528"/>
      <c r="C83" s="757" t="s">
        <v>660</v>
      </c>
      <c r="D83" s="757" t="s">
        <v>661</v>
      </c>
      <c r="E83" s="834">
        <v>0.2</v>
      </c>
      <c r="F83" s="821">
        <v>30</v>
      </c>
    </row>
    <row r="84" spans="1:6" s="817" customFormat="1" ht="36">
      <c r="A84" s="821">
        <v>24</v>
      </c>
      <c r="B84" s="3528"/>
      <c r="C84" s="757" t="s">
        <v>662</v>
      </c>
      <c r="D84" s="757" t="s">
        <v>663</v>
      </c>
      <c r="E84" s="834">
        <v>0.2</v>
      </c>
      <c r="F84" s="821">
        <v>30</v>
      </c>
    </row>
    <row r="85" spans="1:6" s="817" customFormat="1" ht="36">
      <c r="A85" s="821">
        <v>25</v>
      </c>
      <c r="B85" s="3528"/>
      <c r="C85" s="757" t="s">
        <v>664</v>
      </c>
      <c r="D85" s="757" t="s">
        <v>665</v>
      </c>
      <c r="E85" s="834">
        <v>0.5</v>
      </c>
      <c r="F85" s="821">
        <v>80</v>
      </c>
    </row>
    <row r="86" spans="1:6" s="817" customFormat="1" ht="36">
      <c r="A86" s="821">
        <v>26</v>
      </c>
      <c r="B86" s="3528"/>
      <c r="C86" s="757" t="s">
        <v>666</v>
      </c>
      <c r="D86" s="757" t="s">
        <v>667</v>
      </c>
      <c r="E86" s="834">
        <v>0.2</v>
      </c>
      <c r="F86" s="821">
        <v>30</v>
      </c>
    </row>
    <row r="87" spans="1:6" s="817" customFormat="1" ht="36">
      <c r="A87" s="821">
        <v>27</v>
      </c>
      <c r="B87" s="3528"/>
      <c r="C87" s="757" t="s">
        <v>668</v>
      </c>
      <c r="D87" s="757" t="s">
        <v>669</v>
      </c>
      <c r="E87" s="834">
        <v>0.2</v>
      </c>
      <c r="F87" s="821">
        <v>30</v>
      </c>
    </row>
    <row r="88" spans="1:6" s="817" customFormat="1" ht="36">
      <c r="A88" s="821">
        <v>28</v>
      </c>
      <c r="B88" s="3528"/>
      <c r="C88" s="757" t="s">
        <v>670</v>
      </c>
      <c r="D88" s="757" t="s">
        <v>671</v>
      </c>
      <c r="E88" s="834">
        <v>0.2</v>
      </c>
      <c r="F88" s="821">
        <v>30</v>
      </c>
    </row>
    <row r="89" spans="1:6" s="817" customFormat="1" ht="24">
      <c r="A89" s="821">
        <v>29</v>
      </c>
      <c r="B89" s="3528"/>
      <c r="C89" s="757" t="s">
        <v>672</v>
      </c>
      <c r="D89" s="757" t="s">
        <v>673</v>
      </c>
      <c r="E89" s="834">
        <v>0.2</v>
      </c>
      <c r="F89" s="821">
        <v>30</v>
      </c>
    </row>
    <row r="90" spans="1:6" s="817" customFormat="1" ht="24">
      <c r="A90" s="821">
        <v>30</v>
      </c>
      <c r="B90" s="3528"/>
      <c r="C90" s="757" t="s">
        <v>674</v>
      </c>
      <c r="D90" s="757" t="s">
        <v>675</v>
      </c>
      <c r="E90" s="834">
        <v>0.2</v>
      </c>
      <c r="F90" s="821">
        <v>30</v>
      </c>
    </row>
    <row r="91" spans="1:6" s="817" customFormat="1" ht="36">
      <c r="A91" s="821">
        <v>31</v>
      </c>
      <c r="B91" s="3528"/>
      <c r="C91" s="757" t="s">
        <v>676</v>
      </c>
      <c r="D91" s="757" t="s">
        <v>677</v>
      </c>
      <c r="E91" s="834">
        <v>0.2</v>
      </c>
      <c r="F91" s="821">
        <v>30</v>
      </c>
    </row>
    <row r="92" spans="1:6" s="817" customFormat="1" ht="24">
      <c r="A92" s="821">
        <v>32</v>
      </c>
      <c r="B92" s="3528" t="s">
        <v>678</v>
      </c>
      <c r="C92" s="821" t="s">
        <v>679</v>
      </c>
      <c r="D92" s="757" t="s">
        <v>680</v>
      </c>
      <c r="E92" s="834">
        <v>0.2</v>
      </c>
      <c r="F92" s="821">
        <v>30</v>
      </c>
    </row>
    <row r="93" spans="1:6" s="817" customFormat="1" ht="36">
      <c r="A93" s="821">
        <v>33</v>
      </c>
      <c r="B93" s="3528"/>
      <c r="C93" s="821" t="s">
        <v>681</v>
      </c>
      <c r="D93" s="757" t="s">
        <v>682</v>
      </c>
      <c r="E93" s="834">
        <v>0.2</v>
      </c>
      <c r="F93" s="821">
        <v>30</v>
      </c>
    </row>
    <row r="94" spans="1:6" s="817" customFormat="1" ht="48">
      <c r="A94" s="821">
        <v>34</v>
      </c>
      <c r="B94" s="3528"/>
      <c r="C94" s="821" t="s">
        <v>683</v>
      </c>
      <c r="D94" s="757" t="s">
        <v>684</v>
      </c>
      <c r="E94" s="834">
        <v>0.2</v>
      </c>
      <c r="F94" s="821">
        <v>30</v>
      </c>
    </row>
    <row r="95" spans="1:6" s="817" customFormat="1" ht="36">
      <c r="A95" s="821">
        <v>35</v>
      </c>
      <c r="B95" s="3528"/>
      <c r="C95" s="821" t="s">
        <v>685</v>
      </c>
      <c r="D95" s="757" t="s">
        <v>686</v>
      </c>
      <c r="E95" s="834">
        <v>0.2</v>
      </c>
      <c r="F95" s="821">
        <v>30</v>
      </c>
    </row>
    <row r="96" spans="1:6" s="817" customFormat="1" ht="48">
      <c r="A96" s="821">
        <v>36</v>
      </c>
      <c r="B96" s="3528"/>
      <c r="C96" s="757" t="s">
        <v>687</v>
      </c>
      <c r="D96" s="757" t="s">
        <v>688</v>
      </c>
      <c r="E96" s="834">
        <v>0.2</v>
      </c>
      <c r="F96" s="821">
        <v>30</v>
      </c>
    </row>
    <row r="97" spans="1:6" s="817" customFormat="1" ht="36">
      <c r="A97" s="821">
        <v>37</v>
      </c>
      <c r="B97" s="3528"/>
      <c r="C97" s="821" t="s">
        <v>689</v>
      </c>
      <c r="D97" s="757" t="s">
        <v>690</v>
      </c>
      <c r="E97" s="834">
        <v>0.2</v>
      </c>
      <c r="F97" s="821">
        <v>30</v>
      </c>
    </row>
    <row r="98" spans="1:6" s="817" customFormat="1" ht="36">
      <c r="A98" s="821">
        <v>38</v>
      </c>
      <c r="B98" s="3528"/>
      <c r="C98" s="821" t="s">
        <v>691</v>
      </c>
      <c r="D98" s="757" t="s">
        <v>692</v>
      </c>
      <c r="E98" s="834">
        <v>0.2</v>
      </c>
      <c r="F98" s="821">
        <v>30</v>
      </c>
    </row>
    <row r="99" spans="1:6" s="817" customFormat="1" ht="36">
      <c r="A99" s="821">
        <v>39</v>
      </c>
      <c r="B99" s="3528" t="s">
        <v>693</v>
      </c>
      <c r="C99" s="821" t="s">
        <v>694</v>
      </c>
      <c r="D99" s="757" t="s">
        <v>695</v>
      </c>
      <c r="E99" s="834">
        <v>0.3</v>
      </c>
      <c r="F99" s="821">
        <v>50</v>
      </c>
    </row>
    <row r="100" spans="1:6" s="817" customFormat="1" ht="24">
      <c r="A100" s="821">
        <v>40</v>
      </c>
      <c r="B100" s="3528"/>
      <c r="C100" s="821" t="s">
        <v>696</v>
      </c>
      <c r="D100" s="757" t="s">
        <v>697</v>
      </c>
      <c r="E100" s="834">
        <v>0.2</v>
      </c>
      <c r="F100" s="821">
        <v>30</v>
      </c>
    </row>
    <row r="101" spans="1:6" s="817" customFormat="1" ht="36">
      <c r="A101" s="821">
        <v>41</v>
      </c>
      <c r="B101" s="3528"/>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28" t="s">
        <v>708</v>
      </c>
      <c r="C105" s="821" t="s">
        <v>709</v>
      </c>
      <c r="D105" s="757" t="s">
        <v>710</v>
      </c>
      <c r="E105" s="834">
        <v>0.2</v>
      </c>
      <c r="F105" s="821">
        <v>30</v>
      </c>
    </row>
    <row r="106" spans="1:6" s="817" customFormat="1" ht="36">
      <c r="A106" s="821">
        <v>46</v>
      </c>
      <c r="B106" s="3528"/>
      <c r="C106" s="821" t="s">
        <v>711</v>
      </c>
      <c r="D106" s="757" t="s">
        <v>712</v>
      </c>
      <c r="E106" s="834">
        <v>0.2</v>
      </c>
      <c r="F106" s="821">
        <v>30</v>
      </c>
    </row>
    <row r="107" spans="1:6" s="817" customFormat="1" ht="36">
      <c r="A107" s="821">
        <v>47</v>
      </c>
      <c r="B107" s="3528" t="s">
        <v>713</v>
      </c>
      <c r="C107" s="821" t="s">
        <v>714</v>
      </c>
      <c r="D107" s="757" t="s">
        <v>715</v>
      </c>
      <c r="E107" s="834">
        <v>0.3</v>
      </c>
      <c r="F107" s="821">
        <v>50</v>
      </c>
    </row>
    <row r="108" spans="1:6" s="817" customFormat="1" ht="36">
      <c r="A108" s="821">
        <v>48</v>
      </c>
      <c r="B108" s="3528"/>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28" t="s">
        <v>724</v>
      </c>
      <c r="C111" s="821" t="s">
        <v>725</v>
      </c>
      <c r="D111" s="757" t="s">
        <v>726</v>
      </c>
      <c r="E111" s="834">
        <v>0.2</v>
      </c>
      <c r="F111" s="821">
        <v>30</v>
      </c>
    </row>
    <row r="112" spans="1:6" s="817" customFormat="1" ht="24">
      <c r="A112" s="821">
        <v>52</v>
      </c>
      <c r="B112" s="3528"/>
      <c r="C112" s="821" t="s">
        <v>727</v>
      </c>
      <c r="D112" s="757" t="s">
        <v>728</v>
      </c>
      <c r="E112" s="834">
        <v>0.2</v>
      </c>
      <c r="F112" s="821">
        <v>30</v>
      </c>
    </row>
    <row r="113" spans="1:6" s="817" customFormat="1" ht="24">
      <c r="A113" s="821">
        <v>53</v>
      </c>
      <c r="B113" s="3528"/>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28" t="s">
        <v>737</v>
      </c>
      <c r="C116" s="821" t="s">
        <v>738</v>
      </c>
      <c r="D116" s="757" t="s">
        <v>739</v>
      </c>
      <c r="E116" s="834">
        <v>0.2</v>
      </c>
      <c r="F116" s="821">
        <v>30</v>
      </c>
    </row>
    <row r="117" spans="1:6" ht="36">
      <c r="A117" s="821">
        <v>57</v>
      </c>
      <c r="B117" s="3528"/>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2"/>
      <c r="G1" s="2992"/>
      <c r="H1" s="2992"/>
      <c r="I1" s="2992"/>
      <c r="J1" s="2992"/>
      <c r="K1" s="2992"/>
      <c r="L1" s="2992"/>
      <c r="M1" s="2992"/>
      <c r="N1" s="2992"/>
      <c r="O1" s="2992"/>
      <c r="P1" s="2992"/>
    </row>
    <row r="2" spans="1:16" ht="15.75">
      <c r="A2" s="2331" t="s">
        <v>2754</v>
      </c>
      <c r="B2" s="2796" t="e">
        <f ca="1">SUMIF(B6:B13,"&lt;&gt;#ref!",B6:B13)</f>
        <v>#DIV/0!</v>
      </c>
      <c r="C2" s="2331" t="s">
        <v>2755</v>
      </c>
      <c r="D2" s="2331" t="s">
        <v>2756</v>
      </c>
      <c r="E2" s="2806">
        <f ca="1">SUMIF(E6:E13,"&lt;&gt;#ref!",E6:E13)</f>
        <v>0</v>
      </c>
      <c r="F2" s="2992"/>
      <c r="G2" s="2992"/>
      <c r="H2" s="2992"/>
      <c r="I2" s="2992"/>
      <c r="J2" s="2992"/>
      <c r="K2" s="2992"/>
      <c r="L2" s="2992"/>
      <c r="M2" s="2992"/>
      <c r="N2" s="2992"/>
      <c r="O2" s="2992"/>
      <c r="P2" s="2992"/>
    </row>
    <row r="3" spans="1:16" ht="15.75">
      <c r="A3" s="2331" t="s">
        <v>2757</v>
      </c>
      <c r="B3" s="2796" t="e">
        <f ca="1">ROUND(B2*10000/E2,0)</f>
        <v>#DIV/0!</v>
      </c>
      <c r="C3" s="2331" t="s">
        <v>2763</v>
      </c>
      <c r="D3" s="2992"/>
      <c r="E3" s="2992"/>
      <c r="F3" s="2992"/>
      <c r="G3" s="2992"/>
      <c r="H3" s="2992"/>
      <c r="I3" s="2992"/>
      <c r="J3" s="2992"/>
      <c r="K3" s="2992"/>
      <c r="L3" s="2992"/>
      <c r="M3" s="2992"/>
      <c r="N3" s="2992"/>
      <c r="O3" s="2992"/>
      <c r="P3" s="2992"/>
    </row>
    <row r="4" spans="1:16" ht="15.75">
      <c r="A4" s="2993"/>
      <c r="B4" s="2992"/>
      <c r="C4" s="2992"/>
      <c r="D4" s="2992"/>
      <c r="E4" s="2992"/>
      <c r="F4" s="2992"/>
      <c r="G4" s="2992"/>
      <c r="H4" s="2992"/>
      <c r="I4" s="2992"/>
      <c r="J4" s="2992"/>
      <c r="K4" s="2992"/>
      <c r="L4" s="2992"/>
      <c r="M4" s="2992"/>
      <c r="N4" s="2992"/>
      <c r="O4" s="2992"/>
      <c r="P4" s="2992"/>
    </row>
    <row r="5" spans="1:16" ht="28.5">
      <c r="A5" s="2802" t="s">
        <v>2758</v>
      </c>
      <c r="B5" s="2804" t="s">
        <v>2759</v>
      </c>
      <c r="C5" s="2332"/>
      <c r="D5" s="2992"/>
      <c r="E5" s="2805" t="s">
        <v>2760</v>
      </c>
      <c r="F5" s="2992"/>
      <c r="G5" s="2992"/>
      <c r="H5" s="2992"/>
      <c r="I5" s="2992"/>
      <c r="J5" s="2992"/>
      <c r="K5" s="2992"/>
      <c r="L5" s="2992"/>
      <c r="M5" s="2992"/>
      <c r="N5" s="2992"/>
      <c r="O5" s="2992"/>
      <c r="P5" s="2992"/>
    </row>
    <row r="6" spans="1:16" ht="15.75">
      <c r="A6" s="2803" t="s">
        <v>2761</v>
      </c>
      <c r="B6" s="2796" t="e">
        <f ca="1">SUMIF(INDIRECT("'"&amp;A6&amp;"'"&amp;"!A:A"),"总价",INDIRECT("'"&amp;A6&amp;"'"&amp;"!B:B"))</f>
        <v>#DIV/0!</v>
      </c>
      <c r="C6" s="2331" t="s">
        <v>2755</v>
      </c>
      <c r="D6" s="2992"/>
      <c r="E6" s="2806">
        <f ca="1">SUMIF(INDIRECT("'"&amp;A6&amp;"'"&amp;"!C:C"),"建筑面积",INDIRECT("'"&amp;A6&amp;"'"&amp;"!D:D"))</f>
        <v>0</v>
      </c>
      <c r="F6" s="2992"/>
      <c r="G6" s="2992"/>
      <c r="H6" s="2992"/>
      <c r="I6" s="2992"/>
      <c r="J6" s="2992"/>
      <c r="K6" s="2992"/>
      <c r="L6" s="2992"/>
      <c r="M6" s="2992"/>
      <c r="N6" s="2992"/>
      <c r="O6" s="2992"/>
      <c r="P6" s="2992"/>
    </row>
    <row r="7" spans="1:16" ht="15.75">
      <c r="A7" s="2803"/>
      <c r="B7" s="2796" t="e">
        <f ca="1">SUMIF(INDIRECT("'"&amp;A7&amp;"'"&amp;"!A:A"),"总价",INDIRECT("'"&amp;A7&amp;"'"&amp;"!B:B"))</f>
        <v>#REF!</v>
      </c>
      <c r="C7" s="2331" t="s">
        <v>2755</v>
      </c>
      <c r="D7" s="2992"/>
      <c r="E7" s="2806" t="e">
        <f t="shared" ref="E7:E13" ca="1" si="0">SUMIF(INDIRECT("'"&amp;A7&amp;"'"&amp;"!C:C"),"建筑面积",INDIRECT("'"&amp;A7&amp;"'"&amp;"!D:D"))</f>
        <v>#REF!</v>
      </c>
      <c r="F7" s="2992"/>
      <c r="G7" s="2992"/>
      <c r="H7" s="2992"/>
      <c r="I7" s="2992"/>
      <c r="J7" s="2992"/>
      <c r="K7" s="2992"/>
      <c r="L7" s="2992"/>
      <c r="M7" s="2992"/>
      <c r="N7" s="2992"/>
      <c r="O7" s="2992"/>
      <c r="P7" s="2992"/>
    </row>
    <row r="8" spans="1:16" ht="15.75">
      <c r="A8" s="2803"/>
      <c r="B8" s="2796" t="e">
        <f t="shared" ref="B8:B13" ca="1" si="1">SUMIF(INDIRECT("'"&amp;A8&amp;"'"&amp;"!A:A"),"总价",INDIRECT("'"&amp;A8&amp;"'"&amp;"!B:B"))</f>
        <v>#REF!</v>
      </c>
      <c r="C8" s="2331" t="s">
        <v>2755</v>
      </c>
      <c r="D8" s="2992"/>
      <c r="E8" s="2806" t="e">
        <f t="shared" ca="1" si="0"/>
        <v>#REF!</v>
      </c>
      <c r="F8" s="2992"/>
      <c r="G8" s="2992"/>
      <c r="H8" s="2992"/>
      <c r="I8" s="2992"/>
      <c r="J8" s="2992"/>
      <c r="K8" s="2992"/>
      <c r="L8" s="2992"/>
      <c r="M8" s="2992"/>
      <c r="N8" s="2992"/>
      <c r="O8" s="2992"/>
      <c r="P8" s="2992"/>
    </row>
    <row r="9" spans="1:16" ht="15.75">
      <c r="A9" s="2803"/>
      <c r="B9" s="2796" t="e">
        <f t="shared" ca="1" si="1"/>
        <v>#REF!</v>
      </c>
      <c r="C9" s="2331" t="s">
        <v>2755</v>
      </c>
      <c r="D9" s="2992"/>
      <c r="E9" s="2806" t="e">
        <f t="shared" ca="1" si="0"/>
        <v>#REF!</v>
      </c>
      <c r="F9" s="2992"/>
      <c r="G9" s="2992"/>
      <c r="H9" s="2992"/>
      <c r="I9" s="2992"/>
      <c r="J9" s="2992"/>
      <c r="K9" s="2992"/>
      <c r="L9" s="2992"/>
      <c r="M9" s="2992"/>
      <c r="N9" s="2992"/>
      <c r="O9" s="2992"/>
      <c r="P9" s="2992"/>
    </row>
    <row r="10" spans="1:16" ht="15.75">
      <c r="A10" s="2803"/>
      <c r="B10" s="2796" t="e">
        <f t="shared" ca="1" si="1"/>
        <v>#REF!</v>
      </c>
      <c r="C10" s="2331" t="s">
        <v>2755</v>
      </c>
      <c r="D10" s="2992"/>
      <c r="E10" s="2806" t="e">
        <f t="shared" ca="1" si="0"/>
        <v>#REF!</v>
      </c>
      <c r="F10" s="2992"/>
      <c r="G10" s="2992"/>
      <c r="H10" s="2992"/>
      <c r="I10" s="2992"/>
      <c r="J10" s="2992"/>
      <c r="K10" s="2992"/>
      <c r="L10" s="2992"/>
      <c r="M10" s="2992"/>
      <c r="N10" s="2992"/>
      <c r="O10" s="2992"/>
      <c r="P10" s="2992"/>
    </row>
    <row r="11" spans="1:16" ht="15.75">
      <c r="A11" s="2803"/>
      <c r="B11" s="2796" t="e">
        <f t="shared" ca="1" si="1"/>
        <v>#REF!</v>
      </c>
      <c r="C11" s="2331" t="s">
        <v>2755</v>
      </c>
      <c r="D11" s="2992"/>
      <c r="E11" s="2806" t="e">
        <f t="shared" ca="1" si="0"/>
        <v>#REF!</v>
      </c>
      <c r="F11" s="2992"/>
      <c r="G11" s="2992"/>
      <c r="H11" s="2992"/>
      <c r="I11" s="2992"/>
      <c r="J11" s="2992"/>
      <c r="K11" s="2992"/>
      <c r="L11" s="2992"/>
      <c r="M11" s="2992"/>
      <c r="N11" s="2992"/>
      <c r="O11" s="2992"/>
      <c r="P11" s="2992"/>
    </row>
    <row r="12" spans="1:16" ht="15.75">
      <c r="A12" s="2803"/>
      <c r="B12" s="2796" t="e">
        <f t="shared" ca="1" si="1"/>
        <v>#REF!</v>
      </c>
      <c r="C12" s="2331" t="s">
        <v>2755</v>
      </c>
      <c r="D12" s="2992"/>
      <c r="E12" s="2806" t="e">
        <f t="shared" ca="1" si="0"/>
        <v>#REF!</v>
      </c>
      <c r="F12" s="2992"/>
      <c r="G12" s="2992"/>
      <c r="H12" s="2992"/>
      <c r="I12" s="2992"/>
      <c r="J12" s="2992"/>
      <c r="K12" s="2992"/>
      <c r="L12" s="2992"/>
      <c r="M12" s="2992"/>
      <c r="N12" s="2992"/>
      <c r="O12" s="2992"/>
      <c r="P12" s="2992"/>
    </row>
    <row r="13" spans="1:16" ht="15.75">
      <c r="A13" s="2803"/>
      <c r="B13" s="2796" t="e">
        <f t="shared" ca="1" si="1"/>
        <v>#REF!</v>
      </c>
      <c r="C13" s="2331" t="s">
        <v>2755</v>
      </c>
      <c r="D13" s="2992"/>
      <c r="E13" s="2806" t="e">
        <f t="shared" ca="1" si="0"/>
        <v>#REF!</v>
      </c>
      <c r="F13" s="2992"/>
      <c r="G13" s="2992"/>
      <c r="H13" s="2992"/>
      <c r="I13" s="2992"/>
      <c r="J13" s="2992"/>
      <c r="K13" s="2992"/>
      <c r="L13" s="2992"/>
      <c r="M13" s="2992"/>
      <c r="N13" s="2992"/>
      <c r="O13" s="2992"/>
      <c r="P13" s="2992"/>
    </row>
    <row r="14" spans="1:16">
      <c r="A14" s="2992"/>
      <c r="B14" s="2992"/>
      <c r="C14" s="2992"/>
      <c r="D14" s="2992"/>
      <c r="E14" s="2992"/>
      <c r="F14" s="2992"/>
      <c r="G14" s="2992"/>
      <c r="H14" s="2992"/>
      <c r="I14" s="2992"/>
      <c r="J14" s="2992"/>
      <c r="K14" s="2992"/>
      <c r="L14" s="2992"/>
      <c r="M14" s="2992"/>
      <c r="N14" s="2992"/>
      <c r="O14" s="2992"/>
      <c r="P14" s="2992"/>
    </row>
    <row r="15" spans="1:16">
      <c r="A15" s="2992"/>
      <c r="B15" s="2992"/>
      <c r="C15" s="2992"/>
      <c r="D15" s="2992"/>
      <c r="E15" s="2992"/>
      <c r="F15" s="2992"/>
      <c r="G15" s="2992"/>
      <c r="H15" s="2992"/>
      <c r="I15" s="2992"/>
      <c r="J15" s="2992"/>
      <c r="K15" s="2992"/>
      <c r="L15" s="2992"/>
      <c r="M15" s="2992"/>
      <c r="N15" s="2992"/>
      <c r="O15" s="2992"/>
      <c r="P15" s="2992"/>
    </row>
    <row r="16" spans="1:16">
      <c r="A16" s="2992"/>
      <c r="B16" s="2992"/>
      <c r="C16" s="2992"/>
      <c r="D16" s="2992"/>
      <c r="E16" s="2992"/>
      <c r="F16" s="2992"/>
      <c r="G16" s="2992"/>
      <c r="H16" s="2992"/>
      <c r="I16" s="2992"/>
      <c r="J16" s="2992"/>
      <c r="K16" s="2992"/>
      <c r="L16" s="2992"/>
      <c r="M16" s="2992"/>
      <c r="N16" s="2992"/>
      <c r="O16" s="2992"/>
      <c r="P16" s="2992"/>
    </row>
    <row r="17" spans="1:16">
      <c r="A17" s="2992"/>
      <c r="B17" s="2992"/>
      <c r="C17" s="2992"/>
      <c r="D17" s="2992"/>
      <c r="E17" s="2992"/>
      <c r="F17" s="2992"/>
      <c r="G17" s="2992"/>
      <c r="H17" s="2992"/>
      <c r="I17" s="2992"/>
      <c r="J17" s="2992"/>
      <c r="K17" s="2992"/>
      <c r="L17" s="2992"/>
      <c r="M17" s="2992"/>
      <c r="N17" s="2992"/>
      <c r="O17" s="2992"/>
      <c r="P17" s="2992"/>
    </row>
    <row r="18" spans="1:16">
      <c r="A18" s="2992"/>
      <c r="B18" s="2992"/>
      <c r="C18" s="2992"/>
      <c r="D18" s="2992"/>
      <c r="E18" s="2992"/>
      <c r="F18" s="2992"/>
      <c r="G18" s="2992"/>
      <c r="H18" s="2992"/>
      <c r="I18" s="2992"/>
      <c r="J18" s="2992"/>
      <c r="K18" s="2992"/>
      <c r="L18" s="2992"/>
      <c r="M18" s="2992"/>
      <c r="N18" s="2992"/>
      <c r="O18" s="2992"/>
      <c r="P18" s="2992"/>
    </row>
    <row r="19" spans="1:16">
      <c r="A19" s="2992"/>
      <c r="B19" s="2992"/>
      <c r="C19" s="2992"/>
      <c r="D19" s="2992"/>
      <c r="E19" s="2992"/>
      <c r="F19" s="2992"/>
      <c r="G19" s="2992"/>
      <c r="H19" s="2992"/>
      <c r="I19" s="2992"/>
      <c r="J19" s="2992"/>
      <c r="K19" s="2992"/>
      <c r="L19" s="2992"/>
      <c r="M19" s="2992"/>
      <c r="N19" s="2992"/>
      <c r="O19" s="2992"/>
      <c r="P19" s="2992"/>
    </row>
    <row r="20" spans="1:16">
      <c r="A20" s="2992"/>
      <c r="B20" s="2992"/>
      <c r="C20" s="2992"/>
      <c r="D20" s="2992"/>
      <c r="E20" s="2992"/>
      <c r="F20" s="2992"/>
      <c r="G20" s="2992"/>
      <c r="H20" s="2992"/>
      <c r="I20" s="2992"/>
      <c r="J20" s="2992"/>
      <c r="K20" s="2992"/>
      <c r="L20" s="2992"/>
      <c r="M20" s="2992"/>
      <c r="N20" s="2992"/>
      <c r="O20" s="2992"/>
      <c r="P20" s="2992"/>
    </row>
    <row r="21" spans="1:16">
      <c r="A21" s="2992"/>
      <c r="B21" s="2992"/>
      <c r="C21" s="2992"/>
      <c r="D21" s="2992"/>
      <c r="E21" s="2992"/>
      <c r="F21" s="2992"/>
      <c r="G21" s="2992"/>
      <c r="H21" s="2992"/>
      <c r="I21" s="2992"/>
      <c r="J21" s="2992"/>
      <c r="K21" s="2992"/>
      <c r="L21" s="2992"/>
      <c r="M21" s="2992"/>
      <c r="N21" s="2992"/>
      <c r="O21" s="2992"/>
      <c r="P21" s="299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J9" sqref="J6:J9"/>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4" t="s">
        <v>1058</v>
      </c>
      <c r="C1" s="3534"/>
      <c r="D1" s="3534"/>
      <c r="E1" s="3534"/>
      <c r="F1" s="3534"/>
      <c r="G1" s="3530" t="s">
        <v>1059</v>
      </c>
      <c r="H1" s="3530"/>
      <c r="I1" s="3530"/>
      <c r="J1" s="3530"/>
      <c r="K1" s="3530"/>
      <c r="L1" s="3530"/>
      <c r="N1" s="3530" t="s">
        <v>1060</v>
      </c>
      <c r="O1" s="3530"/>
      <c r="P1" s="3530"/>
      <c r="Q1" s="3530"/>
      <c r="S1" s="3530" t="s">
        <v>1061</v>
      </c>
      <c r="T1" s="3530"/>
      <c r="U1" s="3530"/>
      <c r="V1" s="3530"/>
      <c r="X1" s="3529" t="s">
        <v>1062</v>
      </c>
      <c r="Y1" s="3530"/>
      <c r="Z1" s="3530"/>
      <c r="AA1" s="3530"/>
      <c r="AB1" s="3530"/>
      <c r="AD1" s="3529" t="s">
        <v>1063</v>
      </c>
      <c r="AE1" s="3530"/>
      <c r="AF1" s="3530"/>
      <c r="AG1" s="3530"/>
      <c r="AH1" s="3530"/>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2795</v>
      </c>
      <c r="B3" s="2365"/>
      <c r="C3" s="2365"/>
      <c r="D3" s="2366"/>
      <c r="E3" s="2366"/>
      <c r="F3" s="2365"/>
      <c r="G3" s="2367"/>
      <c r="H3" s="2368"/>
      <c r="I3" s="2369">
        <f>ROUND(AVERAGE($I4:$I37),2)</f>
        <v>1.64</v>
      </c>
      <c r="J3" s="2369">
        <f>ROUND(AVERAGE($J4:$J37),2)</f>
        <v>1.03</v>
      </c>
      <c r="K3" s="2369">
        <f>ROUND(AVERAGE($K4:$K37),2)</f>
        <v>1.81</v>
      </c>
      <c r="L3" s="2369">
        <f>ROUND(AVERAGE($L4:$L37),2)</f>
        <v>1.2</v>
      </c>
      <c r="N3" s="2367"/>
      <c r="S3" s="2367"/>
      <c r="W3" s="2371"/>
      <c r="X3" s="2372">
        <f>ROUND(SUMPRODUCT(PRODUCT(1+N3:N$36)),4)</f>
        <v>1.6585000000000001</v>
      </c>
      <c r="Y3" s="2372">
        <f>ROUND(SUMPRODUCT(PRODUCT(1+O3:O$36)),4)</f>
        <v>1.3676999999999999</v>
      </c>
      <c r="Z3" s="2372">
        <f t="shared" ref="Z3:Z34" si="0">Y3</f>
        <v>1.3676999999999999</v>
      </c>
      <c r="AA3" s="2372">
        <f>ROUND(SUMPRODUCT(PRODUCT(1+P3:P$36)),4)</f>
        <v>1.7434000000000001</v>
      </c>
      <c r="AB3" s="2372">
        <f>ROUND(SUMPRODUCT(PRODUCT(1+Q3:Q$36)),4)</f>
        <v>1.4609000000000001</v>
      </c>
      <c r="AD3" s="2373">
        <f>ROUND(AVERAGE(I3:I$37)/100,4)</f>
        <v>1.6400000000000001E-2</v>
      </c>
      <c r="AE3" s="2373">
        <f>ROUND(AVERAGE(J3:J$37)/100,4)</f>
        <v>1.03E-2</v>
      </c>
      <c r="AF3" s="2373">
        <f t="shared" ref="AF3:AF35" si="1">AE3</f>
        <v>1.03E-2</v>
      </c>
      <c r="AG3" s="2373">
        <f>ROUND(AVERAGE(K3:K$37)/100,4)</f>
        <v>1.8100000000000002E-2</v>
      </c>
      <c r="AH3" s="2373">
        <f>ROUND(AVERAGE(L3:L$37)/100,4)</f>
        <v>1.2E-2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3127</v>
      </c>
      <c r="B5" s="2383">
        <f t="shared" ref="B5" si="2">B6*(1+N5)</f>
        <v>510.07089659554606</v>
      </c>
      <c r="C5" s="2383">
        <f t="shared" ref="C5" si="3">C6*(1+O5)</f>
        <v>352.55593185737411</v>
      </c>
      <c r="D5" s="2383">
        <f t="shared" ref="D5" si="4">C5</f>
        <v>352.55593185737411</v>
      </c>
      <c r="E5" s="2383">
        <f t="shared" ref="E5" si="5">E6*(1+P5)</f>
        <v>737.27992463403655</v>
      </c>
      <c r="F5" s="2383">
        <f t="shared" ref="F5" si="6">F6*(1+Q5)</f>
        <v>335.88319198297864</v>
      </c>
      <c r="G5" s="3204">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2796</v>
      </c>
      <c r="X5" s="2391">
        <f>ROUND(IF(项目基本情况!B1="出让",SUMPRODUCT(PRODUCT(1+N5:N$37)),SUMPRODUCT(PRODUCT(1+N5:N$36))),4)</f>
        <v>1.6585000000000001</v>
      </c>
      <c r="Y5" s="2391">
        <f>ROUND(IF(项目基本情况!B1="出让",SUMPRODUCT(PRODUCT(1+O5:O$37)),SUMPRODUCT(PRODUCT(1+O5:O$36))),4)</f>
        <v>1.3676999999999999</v>
      </c>
      <c r="Z5" s="2391">
        <f t="shared" ref="Z5" si="11">Y5</f>
        <v>1.3676999999999999</v>
      </c>
      <c r="AA5" s="2391">
        <f>ROUND(IF(项目基本情况!B1="出让",SUMPRODUCT(PRODUCT(1+P5:P$37)),SUMPRODUCT(PRODUCT(1+P5:P$36))),4)</f>
        <v>1.7434000000000001</v>
      </c>
      <c r="AB5" s="2391">
        <f>ROUND(IF(项目基本情况!B1="出让",SUMPRODUCT(PRODUCT(1+Q5:Q$37)),SUMPRODUCT(PRODUCT(1+Q5:Q$36))),4)</f>
        <v>1.4609000000000001</v>
      </c>
      <c r="AD5" s="2392">
        <f>ROUND(AVERAGE(I5:I$37)/100,4)</f>
        <v>1.6400000000000001E-2</v>
      </c>
      <c r="AE5" s="2392">
        <f>ROUND(AVERAGE(J5:J$37)/100,4)</f>
        <v>1.03E-2</v>
      </c>
      <c r="AF5" s="2392">
        <f t="shared" ref="AF5" si="12">AE5</f>
        <v>1.03E-2</v>
      </c>
      <c r="AG5" s="2392">
        <f>ROUND(AVERAGE(K5:K$37)/100,4)</f>
        <v>1.8100000000000002E-2</v>
      </c>
      <c r="AH5" s="2392">
        <f>ROUND(AVERAGE(L5:L$37)/100,4)</f>
        <v>1.2E-2</v>
      </c>
    </row>
    <row r="6" spans="1:34" s="2400" customFormat="1">
      <c r="A6" s="2393" t="s">
        <v>3126</v>
      </c>
      <c r="B6" s="2394">
        <f t="shared" ref="B6" si="13">B7*(1+N6)</f>
        <v>510.07089659554606</v>
      </c>
      <c r="C6" s="2394">
        <f t="shared" ref="C6" si="14">C7*(1+O6)</f>
        <v>352.55593185737411</v>
      </c>
      <c r="D6" s="2394">
        <f t="shared" ref="D6" si="15">C6</f>
        <v>352.55593185737411</v>
      </c>
      <c r="E6" s="2394">
        <f t="shared" ref="E6" si="16">E7*(1+P6)</f>
        <v>737.27992463403655</v>
      </c>
      <c r="F6" s="2394">
        <f t="shared" ref="F6" si="17">F7*(1+Q6)</f>
        <v>335.88319198297864</v>
      </c>
      <c r="G6" s="3204">
        <v>2021</v>
      </c>
      <c r="H6" s="2395">
        <v>4</v>
      </c>
      <c r="I6" s="2357">
        <v>1.03</v>
      </c>
      <c r="J6" s="2357">
        <v>0.24</v>
      </c>
      <c r="K6" s="2357">
        <v>1.17</v>
      </c>
      <c r="L6" s="2358">
        <v>0.55000000000000004</v>
      </c>
      <c r="M6" s="2380"/>
      <c r="N6" s="2396">
        <f t="shared" ref="N6" si="18">I6/100</f>
        <v>1.03E-2</v>
      </c>
      <c r="O6" s="2381">
        <f t="shared" ref="O6" si="19">J6/100</f>
        <v>2.3999999999999998E-3</v>
      </c>
      <c r="P6" s="2381">
        <f t="shared" ref="P6" si="20">K6/100</f>
        <v>1.1699999999999999E-2</v>
      </c>
      <c r="Q6" s="2381">
        <f t="shared" ref="Q6" si="21">L6/100</f>
        <v>5.5000000000000005E-3</v>
      </c>
      <c r="R6" s="2397"/>
      <c r="S6" s="2396"/>
      <c r="T6" s="2381"/>
      <c r="U6" s="2381"/>
      <c r="V6" s="2381"/>
      <c r="W6" s="2398"/>
      <c r="X6" s="2398">
        <f>ROUND(IF(项目基本情况!B2="出让",SUMPRODUCT(PRODUCT(1+N6:N$37)),SUMPRODUCT(PRODUCT(1+N6:N$36))),4)</f>
        <v>1.6585000000000001</v>
      </c>
      <c r="Y6" s="2398">
        <f>ROUND(IF(项目基本情况!B2="出让",SUMPRODUCT(PRODUCT(1+O6:O$37)),SUMPRODUCT(PRODUCT(1+O6:O$36))),4)</f>
        <v>1.3676999999999999</v>
      </c>
      <c r="Z6" s="2398">
        <f t="shared" ref="Z6" si="22">Y6</f>
        <v>1.3676999999999999</v>
      </c>
      <c r="AA6" s="2398">
        <f>ROUND(IF(项目基本情况!B2="出让",SUMPRODUCT(PRODUCT(1+P6:P$37)),SUMPRODUCT(PRODUCT(1+P6:P$36))),4)</f>
        <v>1.7434000000000001</v>
      </c>
      <c r="AB6" s="2398">
        <f>ROUND(IF(项目基本情况!B2="出让",SUMPRODUCT(PRODUCT(1+Q6:Q$37)),SUMPRODUCT(PRODUCT(1+Q6:Q$36))),4)</f>
        <v>1.4609000000000001</v>
      </c>
      <c r="AC6" s="2398"/>
      <c r="AD6" s="2399">
        <f>ROUND(AVERAGE(I6:I$37)/100,4)</f>
        <v>1.6899999999999998E-2</v>
      </c>
      <c r="AE6" s="2399">
        <f>ROUND(AVERAGE(J6:J$37)/100,4)</f>
        <v>1.06E-2</v>
      </c>
      <c r="AF6" s="2399">
        <f t="shared" ref="AF6" si="23">AE6</f>
        <v>1.06E-2</v>
      </c>
      <c r="AG6" s="2399">
        <f>ROUND(AVERAGE(K6:K$37)/100,4)</f>
        <v>1.8700000000000001E-2</v>
      </c>
      <c r="AH6" s="2399">
        <f>ROUND(AVERAGE(L6:L$37)/100,4)</f>
        <v>1.24E-2</v>
      </c>
    </row>
    <row r="7" spans="1:34" s="2400" customFormat="1">
      <c r="A7" s="2393" t="s">
        <v>3003</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29">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3002</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28">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3001</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2">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2999</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1">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2998</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08">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2812</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2810</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2809</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2808</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2806</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2804</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2807</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32">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2802</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32"/>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2801</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32"/>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2794</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39"/>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2792</v>
      </c>
      <c r="B22" s="2408">
        <v>439</v>
      </c>
      <c r="C22" s="2408">
        <v>327</v>
      </c>
      <c r="D22" s="2408">
        <f>C22</f>
        <v>327</v>
      </c>
      <c r="E22" s="2408">
        <v>627</v>
      </c>
      <c r="F22" s="2409">
        <v>283</v>
      </c>
      <c r="G22" s="3535">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2793</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32"/>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32"/>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39"/>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5">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32"/>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32"/>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33"/>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31">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32"/>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32"/>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33"/>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31">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32"/>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32"/>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33"/>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36">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37"/>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37"/>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38"/>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31">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32"/>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32"/>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33"/>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31">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32">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32">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33">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31">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32">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32">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33">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31">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32">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32">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33">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31">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32">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32">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33">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31">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32">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32">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33">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31">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32">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32">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33">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31">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32">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32">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33">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31">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32">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32">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33">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31">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32">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32">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33">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31">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32">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32">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33">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1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8"/>
      <c r="C2" s="3218"/>
      <c r="D2" s="3218"/>
      <c r="E2" s="3218"/>
    </row>
    <row r="3" spans="1:5" ht="18">
      <c r="A3" s="3219" t="str">
        <f>IF(项目基本情况!B9="房地产市场价值","估价结果一览表（市场价值不需“结果表-1”）","估价结果一览表")</f>
        <v>估价结果一览表</v>
      </c>
      <c r="B3" s="3219"/>
      <c r="C3" s="3219"/>
      <c r="D3" s="3219"/>
      <c r="E3" s="3219"/>
    </row>
    <row r="4" spans="1:5" ht="19.5" thickBot="1">
      <c r="A4" s="1648"/>
      <c r="B4" s="3217" t="s">
        <v>1535</v>
      </c>
      <c r="C4" s="3217"/>
      <c r="D4" s="3217"/>
      <c r="E4" s="1648"/>
    </row>
    <row r="5" spans="1:5" ht="16.5" thickTop="1">
      <c r="A5" s="1646"/>
      <c r="B5" s="3215" t="s">
        <v>1527</v>
      </c>
      <c r="C5" s="1649" t="s">
        <v>1528</v>
      </c>
      <c r="D5" s="959">
        <f ca="1">结果表!H101</f>
        <v>66491</v>
      </c>
      <c r="E5" s="1646"/>
    </row>
    <row r="6" spans="1:5" ht="15.75">
      <c r="A6" s="1646"/>
      <c r="B6" s="3215"/>
      <c r="C6" s="1649" t="s">
        <v>1529</v>
      </c>
      <c r="D6" s="959" t="str">
        <f ca="1">NUMBERSTRING(INT(D5*10000),2)&amp;"元整"</f>
        <v>陆亿陆仟肆佰玖拾壹万元整</v>
      </c>
      <c r="E6" s="1646"/>
    </row>
    <row r="7" spans="1:5" ht="15.75">
      <c r="A7" s="1646"/>
      <c r="B7" s="3220"/>
      <c r="C7" s="1650" t="s">
        <v>1530</v>
      </c>
      <c r="D7" s="960">
        <f ca="1">结果表!H102</f>
        <v>58630</v>
      </c>
      <c r="E7" s="1646"/>
    </row>
    <row r="8" spans="1:5" ht="15.75">
      <c r="A8" s="1646"/>
      <c r="B8" s="3221" t="str">
        <f>结果表!E103</f>
        <v>2.估价师知悉的法定优先受偿款</v>
      </c>
      <c r="C8" s="1651" t="s">
        <v>1531</v>
      </c>
      <c r="D8" s="960">
        <f>结果表!H103</f>
        <v>0</v>
      </c>
      <c r="E8" s="1646"/>
    </row>
    <row r="9" spans="1:5" ht="15.75">
      <c r="A9" s="1646"/>
      <c r="B9" s="3223"/>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14" t="str">
        <f>结果表!E107</f>
        <v>——</v>
      </c>
      <c r="C13" s="1654" t="s">
        <v>1528</v>
      </c>
      <c r="D13" s="962" t="str">
        <f>结果表!H107</f>
        <v>——</v>
      </c>
      <c r="E13" s="1646"/>
    </row>
    <row r="14" spans="1:5" ht="15.75">
      <c r="A14" s="1646"/>
      <c r="B14" s="3215"/>
      <c r="C14" s="1649" t="s">
        <v>1529</v>
      </c>
      <c r="D14" s="959" t="e">
        <f>NUMBERSTRING(INT(D13*10000),2)&amp;"元整"</f>
        <v>#VALUE!</v>
      </c>
      <c r="E14" s="1646"/>
    </row>
    <row r="15" spans="1:5" ht="15">
      <c r="A15" s="1646"/>
      <c r="B15" s="3220"/>
      <c r="C15" s="1650" t="s">
        <v>1539</v>
      </c>
      <c r="D15" s="968" t="e">
        <f>结果表!H108</f>
        <v>#VALUE!</v>
      </c>
      <c r="E15" s="1646"/>
    </row>
    <row r="16" spans="1:5" ht="15">
      <c r="A16" s="1646"/>
      <c r="B16" s="3221" t="str">
        <f>结果表!E109</f>
        <v>3.抵押担保权已注销时的房地产抵押价值</v>
      </c>
      <c r="C16" s="1654" t="s">
        <v>1540</v>
      </c>
      <c r="D16" s="1655">
        <f ca="1">结果表!H109</f>
        <v>66491</v>
      </c>
      <c r="E16" s="1646"/>
    </row>
    <row r="17" spans="1:5" ht="15.75">
      <c r="A17" s="1646"/>
      <c r="B17" s="3222"/>
      <c r="C17" s="1649" t="s">
        <v>1541</v>
      </c>
      <c r="D17" s="959" t="str">
        <f ca="1">NUMBERSTRING(INT(D16*10000),2)&amp;"元整"</f>
        <v>陆亿陆仟肆佰玖拾壹万元整</v>
      </c>
      <c r="E17" s="1646"/>
    </row>
    <row r="18" spans="1:5" ht="15">
      <c r="A18" s="1646"/>
      <c r="B18" s="3223"/>
      <c r="C18" s="1650" t="s">
        <v>1530</v>
      </c>
      <c r="D18" s="968">
        <f ca="1">结果表!H110</f>
        <v>58630</v>
      </c>
      <c r="E18" s="1646"/>
    </row>
    <row r="19" spans="1:5" ht="15.75">
      <c r="A19" s="1646"/>
      <c r="B19" s="3214" t="str">
        <f>结果表!E111</f>
        <v>——</v>
      </c>
      <c r="C19" s="1654" t="s">
        <v>1528</v>
      </c>
      <c r="D19" s="960" t="str">
        <f>结果表!H111</f>
        <v>——</v>
      </c>
      <c r="E19" s="1646"/>
    </row>
    <row r="20" spans="1:5" ht="15.75">
      <c r="A20" s="1646"/>
      <c r="B20" s="3215"/>
      <c r="C20" s="1649" t="s">
        <v>1541</v>
      </c>
      <c r="D20" s="959" t="e">
        <f>NUMBERSTRING(INT(D19*10000),2)&amp;"元整"</f>
        <v>#VALUE!</v>
      </c>
      <c r="E20" s="1646"/>
    </row>
    <row r="21" spans="1:5" ht="15.75" thickBot="1">
      <c r="A21" s="1646"/>
      <c r="B21" s="3216"/>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3" t="s">
        <v>2765</v>
      </c>
      <c r="D1" s="3544"/>
      <c r="E1" s="3544"/>
      <c r="F1" s="3544"/>
      <c r="G1" s="3544"/>
      <c r="H1" s="3544"/>
      <c r="I1" s="3544"/>
      <c r="J1" s="3544"/>
      <c r="K1" s="3544"/>
      <c r="L1" s="3544"/>
      <c r="M1" s="3544"/>
      <c r="N1" s="3544"/>
      <c r="O1" s="3544"/>
      <c r="P1" s="3544"/>
      <c r="Q1" s="3544"/>
      <c r="R1" s="3544"/>
      <c r="S1" s="3545"/>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40" t="s">
        <v>33</v>
      </c>
      <c r="D22" s="3541"/>
      <c r="E22" s="3541"/>
      <c r="F22" s="3541"/>
      <c r="G22" s="3541"/>
      <c r="H22" s="3541"/>
      <c r="I22" s="3541"/>
      <c r="J22" s="3541"/>
      <c r="K22" s="3541"/>
      <c r="L22" s="3541"/>
      <c r="M22" s="3541"/>
      <c r="N22" s="3541"/>
      <c r="O22" s="3541"/>
      <c r="P22" s="3541"/>
      <c r="Q22" s="3542"/>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09">
        <v>1</v>
      </c>
      <c r="D24" s="3010"/>
      <c r="E24" s="3009">
        <v>1</v>
      </c>
      <c r="F24" s="3010"/>
      <c r="G24" s="3009">
        <v>1</v>
      </c>
      <c r="H24" s="3010"/>
      <c r="I24" s="3009">
        <v>1</v>
      </c>
      <c r="J24" s="3010"/>
      <c r="K24" s="3009">
        <v>1</v>
      </c>
      <c r="L24" s="3010"/>
      <c r="M24" s="3009">
        <v>1</v>
      </c>
      <c r="N24" s="3010"/>
      <c r="O24" s="3009">
        <v>1</v>
      </c>
      <c r="P24" s="3010"/>
      <c r="Q24" s="3009">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35252</v>
      </c>
      <c r="C2" s="2" t="s">
        <v>133</v>
      </c>
      <c r="D2" s="205"/>
      <c r="E2" s="205"/>
      <c r="F2" s="205"/>
      <c r="G2" s="205"/>
    </row>
    <row r="3" spans="1:7" s="206" customFormat="1" ht="18" customHeight="1" thickBot="1">
      <c r="A3" s="209" t="s">
        <v>85</v>
      </c>
      <c r="B3" s="210">
        <f ca="1">ROUND(B2*10000/'数据-汇总表'!E3,0)</f>
        <v>31084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227</v>
      </c>
      <c r="D10" s="954">
        <f>'数据-汇总表'!E6</f>
        <v>11340.73</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227</v>
      </c>
      <c r="D19" s="958">
        <f>'数据-汇总表'!E3</f>
        <v>11340.73</v>
      </c>
      <c r="E19" s="217">
        <f>'数据-取费表'!B31</f>
        <v>200</v>
      </c>
      <c r="F19" s="237"/>
      <c r="G19" s="1" t="s">
        <v>1042</v>
      </c>
    </row>
    <row r="20" spans="1:7" s="220" customFormat="1" ht="13.5" customHeight="1">
      <c r="A20" s="885" t="s">
        <v>1025</v>
      </c>
      <c r="B20" s="216" t="s">
        <v>104</v>
      </c>
      <c r="C20" s="238">
        <f>ROUND((C5+C19)*F20,0)</f>
        <v>417</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1805</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19</v>
      </c>
      <c r="D24" s="244"/>
      <c r="E24" s="244"/>
      <c r="F24" s="245"/>
      <c r="G24" s="246" t="s">
        <v>109</v>
      </c>
    </row>
    <row r="25" spans="1:7" s="220" customFormat="1" ht="24">
      <c r="A25" s="888" t="s">
        <v>793</v>
      </c>
      <c r="B25" s="221" t="s">
        <v>1026</v>
      </c>
      <c r="C25" s="1237">
        <f ca="1">ROUND(IF('数据-取费表'!B22&lt;=1,C20*F22*'数据-取费表'!B23/2,C20*(POWER((1+F22),'数据-取费表'!B23/2)-1)),0)</f>
        <v>18</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4251</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4251</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29625</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5012</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4536</v>
      </c>
      <c r="D34" s="223"/>
      <c r="E34" s="226"/>
      <c r="F34" s="263">
        <f>IF('数据-取费表'!B24=0,1,'数据-取费表'!N16)</f>
        <v>1</v>
      </c>
      <c r="G34" s="225" t="s">
        <v>116</v>
      </c>
    </row>
    <row r="35" spans="1:7" ht="13.5" customHeight="1">
      <c r="A35" s="888" t="s">
        <v>796</v>
      </c>
      <c r="B35" s="221" t="s">
        <v>60</v>
      </c>
      <c r="C35" s="226">
        <f>ROUND(C34*F35,0)</f>
        <v>181</v>
      </c>
      <c r="D35" s="226"/>
      <c r="E35" s="226"/>
      <c r="F35" s="265">
        <f>'数据-取费表'!B33</f>
        <v>0.04</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227</v>
      </c>
      <c r="D37" s="223">
        <f>'数据-汇总表'!E3</f>
        <v>11340.73</v>
      </c>
      <c r="E37" s="255">
        <f>'数据-取费表'!B35</f>
        <v>200</v>
      </c>
      <c r="F37" s="265"/>
      <c r="G37" s="267" t="s">
        <v>119</v>
      </c>
    </row>
    <row r="38" spans="1:7" ht="13.5" customHeight="1">
      <c r="A38" s="888" t="s">
        <v>799</v>
      </c>
      <c r="B38" s="221" t="s">
        <v>63</v>
      </c>
      <c r="C38" s="226">
        <f>ROUND(C34*F38,0)</f>
        <v>68</v>
      </c>
      <c r="D38" s="226"/>
      <c r="E38" s="226"/>
      <c r="F38" s="265">
        <f>'数据-取费表'!B36</f>
        <v>1.4999999999999999E-2</v>
      </c>
      <c r="G38" s="225" t="s">
        <v>117</v>
      </c>
    </row>
    <row r="39" spans="1:7" s="220" customFormat="1" ht="13.5" customHeight="1">
      <c r="A39" s="885" t="s">
        <v>783</v>
      </c>
      <c r="B39" s="216" t="s">
        <v>104</v>
      </c>
      <c r="C39" s="238">
        <f>ROUND(C33*F20,0)</f>
        <v>100</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215</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211</v>
      </c>
      <c r="D42" s="244"/>
      <c r="E42" s="244"/>
      <c r="F42" s="245"/>
      <c r="G42" s="3402" t="s">
        <v>121</v>
      </c>
    </row>
    <row r="43" spans="1:7" ht="13.5" customHeight="1">
      <c r="A43" s="888" t="s">
        <v>792</v>
      </c>
      <c r="B43" s="221" t="s">
        <v>1032</v>
      </c>
      <c r="C43" s="244">
        <f ca="1">ROUND(IF('数据-取费表'!B22&lt;=1,C39*F22*'数据-取费表'!B21/2,C39*(POWER((1+F22),'数据-取费表'!B21/2)-1)),0)</f>
        <v>4</v>
      </c>
      <c r="D43" s="244"/>
      <c r="E43" s="244"/>
      <c r="F43" s="245"/>
      <c r="G43" s="3403"/>
    </row>
    <row r="44" spans="1:7" ht="13.5" customHeight="1">
      <c r="A44" s="888" t="s">
        <v>793</v>
      </c>
      <c r="B44" s="221" t="s">
        <v>1034</v>
      </c>
      <c r="C44" s="244">
        <f ca="1">ROUND(IF('数据-取费表'!B22&lt;=1,C40*F22*'数据-取费表'!B21/2,C40*(POWER((1+F22),'数据-取费表'!B21/2)-1)),4)</f>
        <v>8.0000000000000004E-4</v>
      </c>
      <c r="D44" s="244"/>
      <c r="E44" s="244"/>
      <c r="F44" s="245"/>
      <c r="G44" s="3404"/>
    </row>
    <row r="45" spans="1:7" s="220" customFormat="1" ht="13.5" customHeight="1">
      <c r="A45" s="885" t="s">
        <v>786</v>
      </c>
      <c r="B45" s="250" t="s">
        <v>112</v>
      </c>
      <c r="C45" s="251">
        <f>C46</f>
        <v>1022</v>
      </c>
      <c r="D45" s="241">
        <f>C47</f>
        <v>4.0000000000000001E-3</v>
      </c>
      <c r="E45" s="242" t="s">
        <v>129</v>
      </c>
      <c r="F45" s="252"/>
      <c r="G45" s="253" t="s">
        <v>1040</v>
      </c>
    </row>
    <row r="46" spans="1:7" s="220" customFormat="1" ht="13.5" customHeight="1">
      <c r="A46" s="888" t="s">
        <v>794</v>
      </c>
      <c r="B46" s="254" t="s">
        <v>1033</v>
      </c>
      <c r="C46" s="255">
        <f>ROUND((C33+C39)*F27,0)</f>
        <v>1022</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6887</v>
      </c>
      <c r="D49" s="238"/>
      <c r="E49" s="238"/>
      <c r="F49" s="270"/>
      <c r="G49" s="240" t="s">
        <v>1041</v>
      </c>
    </row>
    <row r="50" spans="1:7" s="264" customFormat="1" ht="24">
      <c r="A50" s="885" t="s">
        <v>789</v>
      </c>
      <c r="B50" s="216" t="s">
        <v>124</v>
      </c>
      <c r="C50" s="238"/>
      <c r="D50" s="238"/>
      <c r="E50" s="238"/>
      <c r="F50" s="270">
        <f>IF('数据-取费表'!B24=0,'数据-取费表'!N16,1)</f>
        <v>0.81699999999999995</v>
      </c>
      <c r="G50" s="253" t="s">
        <v>125</v>
      </c>
    </row>
    <row r="51" spans="1:7" ht="16.5" customHeight="1">
      <c r="A51" s="885" t="s">
        <v>790</v>
      </c>
      <c r="B51" s="216" t="s">
        <v>132</v>
      </c>
      <c r="C51" s="238">
        <f ca="1">ROUND(C49*F50,0)</f>
        <v>5627</v>
      </c>
      <c r="D51" s="238"/>
      <c r="E51" s="238"/>
      <c r="F51" s="270"/>
      <c r="G51" s="240" t="s">
        <v>64</v>
      </c>
    </row>
    <row r="52" spans="1:7" s="214" customFormat="1" ht="16.5" thickBot="1">
      <c r="A52" s="271" t="s">
        <v>65</v>
      </c>
      <c r="B52" s="272"/>
      <c r="C52" s="273">
        <f ca="1">C31+C51</f>
        <v>35252</v>
      </c>
      <c r="D52" s="272"/>
      <c r="E52" s="272"/>
      <c r="F52" s="272"/>
      <c r="G52" s="274"/>
    </row>
    <row r="55" spans="1:7" ht="15">
      <c r="B55" s="276" t="s">
        <v>66</v>
      </c>
      <c r="C55" s="277"/>
    </row>
    <row r="56" spans="1:7">
      <c r="B56" s="279" t="s">
        <v>67</v>
      </c>
      <c r="C56" s="280">
        <f ca="1">ROUND(C51/C52,3)</f>
        <v>0.16</v>
      </c>
    </row>
    <row r="57" spans="1:7">
      <c r="B57" s="279" t="s">
        <v>68</v>
      </c>
      <c r="C57" s="281">
        <f ca="1">1-C56</f>
        <v>0.84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46" t="s">
        <v>156</v>
      </c>
      <c r="B1" s="3546"/>
      <c r="C1" s="3546"/>
      <c r="D1" s="3546"/>
      <c r="E1" s="3546"/>
      <c r="F1" s="354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47" t="s">
        <v>169</v>
      </c>
      <c r="B2" s="3547"/>
      <c r="C2" s="3547"/>
      <c r="D2" s="3547"/>
      <c r="E2" s="3547"/>
      <c r="F2" s="354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48"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49"/>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46" t="s">
        <v>839</v>
      </c>
      <c r="B1" s="3546"/>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44641</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0">
        <v>44581</v>
      </c>
      <c r="D13" s="3021">
        <v>3.7</v>
      </c>
      <c r="E13" s="3021">
        <f>D13</f>
        <v>3.7</v>
      </c>
      <c r="F13" s="3021">
        <f>D13</f>
        <v>3.7</v>
      </c>
      <c r="G13" s="3021">
        <f>D13</f>
        <v>3.7</v>
      </c>
      <c r="H13" s="3021">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6"/>
      <c r="C14" s="3017">
        <v>44550</v>
      </c>
      <c r="D14" s="3016">
        <v>3.8</v>
      </c>
      <c r="E14" s="3016">
        <f>D14</f>
        <v>3.8</v>
      </c>
      <c r="F14" s="3016">
        <f>D14</f>
        <v>3.8</v>
      </c>
      <c r="G14" s="3016">
        <f>D14</f>
        <v>3.8</v>
      </c>
      <c r="H14" s="3016">
        <v>4.6500000000000004</v>
      </c>
      <c r="I14" s="3016"/>
      <c r="J14" s="3021"/>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6"/>
      <c r="C15" s="3017">
        <v>43941</v>
      </c>
      <c r="D15" s="3016">
        <v>3.85</v>
      </c>
      <c r="E15" s="3016">
        <v>3.85</v>
      </c>
      <c r="F15" s="3016">
        <v>3.85</v>
      </c>
      <c r="G15" s="3016">
        <v>3.85</v>
      </c>
      <c r="H15" s="3016">
        <v>4.6500000000000004</v>
      </c>
      <c r="I15" s="3016"/>
      <c r="J15" s="3016"/>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6"/>
      <c r="C16" s="3017">
        <v>43881</v>
      </c>
      <c r="D16" s="3016">
        <v>4.05</v>
      </c>
      <c r="E16" s="3016">
        <v>4.05</v>
      </c>
      <c r="F16" s="3016">
        <v>4.05</v>
      </c>
      <c r="G16" s="3016">
        <v>4.05</v>
      </c>
      <c r="H16" s="3016">
        <v>4.75</v>
      </c>
      <c r="I16" s="3016"/>
      <c r="J16" s="3016"/>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6"/>
      <c r="C17" s="3017">
        <v>43789</v>
      </c>
      <c r="D17" s="3016">
        <v>4.1500000000000004</v>
      </c>
      <c r="E17" s="3016">
        <v>4.1500000000000004</v>
      </c>
      <c r="F17" s="3016">
        <v>4.1500000000000004</v>
      </c>
      <c r="G17" s="3016">
        <v>4.1500000000000004</v>
      </c>
      <c r="H17" s="3016">
        <v>4.8</v>
      </c>
      <c r="I17" s="3016"/>
      <c r="J17" s="3016"/>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6"/>
      <c r="C18" s="3017">
        <v>43728</v>
      </c>
      <c r="D18" s="3016">
        <v>4.2</v>
      </c>
      <c r="E18" s="3016">
        <v>4.2</v>
      </c>
      <c r="F18" s="3016">
        <v>4.2</v>
      </c>
      <c r="G18" s="3016">
        <v>4.2</v>
      </c>
      <c r="H18" s="3016">
        <v>4.8499999999999996</v>
      </c>
      <c r="I18" s="3016"/>
      <c r="J18" s="3016"/>
      <c r="L18" s="3025"/>
      <c r="M18" s="3024">
        <v>41965</v>
      </c>
      <c r="N18" s="3025">
        <v>0.35</v>
      </c>
      <c r="O18" s="3025">
        <v>2.35</v>
      </c>
      <c r="P18" s="3025">
        <v>2.5499999999999998</v>
      </c>
      <c r="Q18" s="3025">
        <v>2.75</v>
      </c>
      <c r="R18" s="3025">
        <v>3.35</v>
      </c>
      <c r="S18" s="3025">
        <v>4</v>
      </c>
      <c r="T18" s="3025">
        <v>4.75</v>
      </c>
      <c r="U18" s="3026">
        <v>2.35</v>
      </c>
      <c r="V18" s="3026">
        <v>2.5499999999999998</v>
      </c>
      <c r="W18" s="3026">
        <v>2.75</v>
      </c>
      <c r="X18" s="3025"/>
      <c r="Y18" s="3026">
        <v>0.8</v>
      </c>
      <c r="Z18" s="3026">
        <v>1.35</v>
      </c>
    </row>
    <row r="19" spans="1:256" s="3027" customFormat="1" ht="14.25">
      <c r="A19" s="1424"/>
      <c r="B19" s="3015" t="s">
        <v>3000</v>
      </c>
      <c r="C19" s="3018">
        <v>43697</v>
      </c>
      <c r="D19" s="3019">
        <v>4.25</v>
      </c>
      <c r="E19" s="3019">
        <v>4.25</v>
      </c>
      <c r="F19" s="3019">
        <v>4.25</v>
      </c>
      <c r="G19" s="3019">
        <v>4.25</v>
      </c>
      <c r="H19" s="3019">
        <v>4.8499999999999996</v>
      </c>
      <c r="I19" s="3019"/>
      <c r="J19" s="3019"/>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2"/>
      <c r="B20" s="3023"/>
      <c r="C20" s="3024">
        <v>42301</v>
      </c>
      <c r="D20" s="3025">
        <v>4.3499999999999996</v>
      </c>
      <c r="E20" s="3025">
        <v>4.3499999999999996</v>
      </c>
      <c r="F20" s="3025">
        <v>4.75</v>
      </c>
      <c r="G20" s="3025">
        <v>4.75</v>
      </c>
      <c r="H20" s="3025">
        <v>4.9000000000000004</v>
      </c>
      <c r="I20" s="3025"/>
      <c r="J20" s="3025"/>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I40" sqref="A1:I40"/>
    </sheetView>
  </sheetViews>
  <sheetFormatPr defaultRowHeight="13.5"/>
  <cols>
    <col min="1" max="1" width="6.25" customWidth="1"/>
    <col min="2" max="2" width="24.375" customWidth="1"/>
    <col min="3" max="3" width="29.875" bestFit="1" customWidth="1"/>
    <col min="4" max="4" width="11" bestFit="1" customWidth="1"/>
    <col min="5" max="6" width="9" style="3553"/>
    <col min="8" max="8" width="11" bestFit="1" customWidth="1"/>
  </cols>
  <sheetData>
    <row r="1" spans="1:9">
      <c r="A1" s="3550" t="s">
        <v>3183</v>
      </c>
      <c r="B1" s="3550" t="s">
        <v>3184</v>
      </c>
      <c r="C1" s="3550" t="s">
        <v>3185</v>
      </c>
      <c r="D1" s="3550" t="s">
        <v>3187</v>
      </c>
      <c r="E1" s="3552" t="s">
        <v>3188</v>
      </c>
      <c r="F1" s="3552" t="s">
        <v>3186</v>
      </c>
      <c r="G1" s="3550" t="s">
        <v>3190</v>
      </c>
      <c r="H1" s="3550" t="s">
        <v>3191</v>
      </c>
      <c r="I1" s="3550" t="s">
        <v>3192</v>
      </c>
    </row>
    <row r="2" spans="1:9">
      <c r="A2" s="3554">
        <v>1</v>
      </c>
      <c r="B2" s="3550" t="s">
        <v>3194</v>
      </c>
      <c r="C2" s="3550" t="s">
        <v>3193</v>
      </c>
      <c r="D2" s="3550" t="s">
        <v>3195</v>
      </c>
      <c r="E2" s="3552" t="s">
        <v>3196</v>
      </c>
      <c r="F2" s="3552" t="s">
        <v>3197</v>
      </c>
      <c r="G2" s="3551">
        <f>'数据-基础表'!K13</f>
        <v>2845.98</v>
      </c>
      <c r="H2" s="3550" t="s">
        <v>3198</v>
      </c>
      <c r="I2" s="3550" t="s">
        <v>3199</v>
      </c>
    </row>
    <row r="3" spans="1:9">
      <c r="A3" s="3554">
        <v>2</v>
      </c>
      <c r="B3" s="3550" t="s">
        <v>3194</v>
      </c>
      <c r="C3" s="3550" t="s">
        <v>3193</v>
      </c>
      <c r="D3" s="3550" t="s">
        <v>3195</v>
      </c>
      <c r="E3" s="3552" t="s">
        <v>3200</v>
      </c>
      <c r="F3" s="3552" t="s">
        <v>3205</v>
      </c>
      <c r="G3" s="3551">
        <f>'数据-基础表'!I14</f>
        <v>1278.48</v>
      </c>
      <c r="H3" s="3550" t="s">
        <v>3198</v>
      </c>
      <c r="I3" s="3550" t="s">
        <v>3199</v>
      </c>
    </row>
    <row r="4" spans="1:9">
      <c r="A4" s="3554">
        <v>3</v>
      </c>
      <c r="B4" s="3550" t="s">
        <v>3194</v>
      </c>
      <c r="C4" s="3550" t="s">
        <v>3193</v>
      </c>
      <c r="D4" s="3550" t="s">
        <v>3195</v>
      </c>
      <c r="E4" s="3552" t="s">
        <v>3201</v>
      </c>
      <c r="F4" s="3552" t="s">
        <v>3206</v>
      </c>
      <c r="G4" s="3551">
        <f>'数据-基础表'!I15</f>
        <v>1161.4100000000001</v>
      </c>
      <c r="H4" s="3550" t="s">
        <v>3198</v>
      </c>
      <c r="I4" s="3550" t="s">
        <v>3199</v>
      </c>
    </row>
    <row r="5" spans="1:9">
      <c r="A5" s="3554">
        <v>4</v>
      </c>
      <c r="B5" s="3550" t="s">
        <v>3194</v>
      </c>
      <c r="C5" s="3550" t="s">
        <v>3193</v>
      </c>
      <c r="D5" s="3550" t="s">
        <v>3195</v>
      </c>
      <c r="E5" s="3552" t="s">
        <v>3202</v>
      </c>
      <c r="F5" s="3552" t="s">
        <v>3207</v>
      </c>
      <c r="G5" s="3551">
        <f>'数据-基础表'!I16</f>
        <v>1921.63</v>
      </c>
      <c r="H5" s="3550" t="s">
        <v>3198</v>
      </c>
      <c r="I5" s="3550" t="s">
        <v>3199</v>
      </c>
    </row>
    <row r="6" spans="1:9">
      <c r="A6" s="3554">
        <v>5</v>
      </c>
      <c r="B6" s="3550" t="s">
        <v>3194</v>
      </c>
      <c r="C6" s="3550" t="s">
        <v>3193</v>
      </c>
      <c r="D6" s="3550" t="s">
        <v>3195</v>
      </c>
      <c r="E6" s="3552" t="s">
        <v>3203</v>
      </c>
      <c r="F6" s="3552" t="s">
        <v>3208</v>
      </c>
      <c r="G6" s="3551">
        <f>'数据-基础表'!I17</f>
        <v>2022.65</v>
      </c>
      <c r="H6" s="3550" t="s">
        <v>3198</v>
      </c>
      <c r="I6" s="3550" t="s">
        <v>3199</v>
      </c>
    </row>
    <row r="7" spans="1:9">
      <c r="A7" s="3554">
        <v>6</v>
      </c>
      <c r="B7" s="3550" t="s">
        <v>3194</v>
      </c>
      <c r="C7" s="3550" t="s">
        <v>3193</v>
      </c>
      <c r="D7" s="3550" t="s">
        <v>3195</v>
      </c>
      <c r="E7" s="3552" t="s">
        <v>3204</v>
      </c>
      <c r="F7" s="3552" t="s">
        <v>3209</v>
      </c>
      <c r="G7" s="3551">
        <f>'数据-基础表'!I18</f>
        <v>2110.58</v>
      </c>
      <c r="H7" s="3550" t="s">
        <v>3198</v>
      </c>
      <c r="I7" s="3550" t="s">
        <v>3199</v>
      </c>
    </row>
    <row r="8" spans="1:9">
      <c r="A8" s="3554">
        <v>7</v>
      </c>
      <c r="B8" s="3550" t="s">
        <v>3210</v>
      </c>
      <c r="C8" s="3550" t="s">
        <v>3193</v>
      </c>
      <c r="D8" s="3550" t="s">
        <v>3195</v>
      </c>
      <c r="E8" s="3555" t="s">
        <v>3214</v>
      </c>
      <c r="F8" s="3556">
        <f>'数据-基础表'!C20</f>
        <v>615</v>
      </c>
      <c r="G8" s="3554">
        <f>'数据-基础表'!I20</f>
        <v>75.39</v>
      </c>
      <c r="H8" s="3557" t="s">
        <v>3229</v>
      </c>
      <c r="I8" s="3557" t="s">
        <v>3231</v>
      </c>
    </row>
    <row r="9" spans="1:9">
      <c r="A9" s="3554">
        <v>8</v>
      </c>
      <c r="B9" s="3550" t="s">
        <v>3210</v>
      </c>
      <c r="C9" s="3550" t="s">
        <v>3193</v>
      </c>
      <c r="D9" s="3550" t="s">
        <v>3195</v>
      </c>
      <c r="E9" s="3555" t="s">
        <v>3214</v>
      </c>
      <c r="F9" s="3556">
        <f>'数据-基础表'!C21</f>
        <v>616</v>
      </c>
      <c r="G9" s="3554">
        <f>'数据-基础表'!I21</f>
        <v>82.89</v>
      </c>
      <c r="H9" s="3557" t="s">
        <v>3229</v>
      </c>
      <c r="I9" s="3557" t="s">
        <v>3231</v>
      </c>
    </row>
    <row r="10" spans="1:9">
      <c r="A10" s="3554">
        <v>9</v>
      </c>
      <c r="B10" s="3550" t="s">
        <v>3210</v>
      </c>
      <c r="C10" s="3550" t="s">
        <v>3193</v>
      </c>
      <c r="D10" s="3550" t="s">
        <v>3195</v>
      </c>
      <c r="E10" s="3555" t="s">
        <v>3214</v>
      </c>
      <c r="F10" s="3556">
        <f>'数据-基础表'!C22</f>
        <v>617</v>
      </c>
      <c r="G10" s="3554">
        <f>'数据-基础表'!I22</f>
        <v>88.63</v>
      </c>
      <c r="H10" s="3557" t="s">
        <v>3229</v>
      </c>
      <c r="I10" s="3557" t="s">
        <v>3231</v>
      </c>
    </row>
    <row r="11" spans="1:9">
      <c r="A11" s="3554">
        <v>10</v>
      </c>
      <c r="B11" s="3550" t="s">
        <v>3210</v>
      </c>
      <c r="C11" s="3550" t="s">
        <v>3193</v>
      </c>
      <c r="D11" s="3550" t="s">
        <v>3195</v>
      </c>
      <c r="E11" s="3555" t="s">
        <v>3214</v>
      </c>
      <c r="F11" s="3556">
        <f>'数据-基础表'!C23</f>
        <v>618</v>
      </c>
      <c r="G11" s="3554">
        <f>'数据-基础表'!I23</f>
        <v>84.53</v>
      </c>
      <c r="H11" s="3557" t="s">
        <v>3229</v>
      </c>
      <c r="I11" s="3557" t="s">
        <v>3231</v>
      </c>
    </row>
    <row r="12" spans="1:9">
      <c r="A12" s="3554">
        <v>11</v>
      </c>
      <c r="B12" s="3550" t="s">
        <v>3210</v>
      </c>
      <c r="C12" s="3550" t="s">
        <v>3193</v>
      </c>
      <c r="D12" s="3550" t="s">
        <v>3195</v>
      </c>
      <c r="E12" s="3555" t="s">
        <v>3214</v>
      </c>
      <c r="F12" s="3556">
        <f>'数据-基础表'!C24</f>
        <v>619</v>
      </c>
      <c r="G12" s="3554">
        <f>'数据-基础表'!I24</f>
        <v>90.06</v>
      </c>
      <c r="H12" s="3557" t="s">
        <v>3229</v>
      </c>
      <c r="I12" s="3557" t="s">
        <v>3231</v>
      </c>
    </row>
    <row r="13" spans="1:9">
      <c r="A13" s="3554">
        <v>12</v>
      </c>
      <c r="B13" s="3550" t="s">
        <v>3210</v>
      </c>
      <c r="C13" s="3550" t="s">
        <v>3193</v>
      </c>
      <c r="D13" s="3550" t="s">
        <v>3195</v>
      </c>
      <c r="E13" s="3555" t="s">
        <v>3214</v>
      </c>
      <c r="F13" s="3556">
        <f>'数据-基础表'!C25</f>
        <v>620</v>
      </c>
      <c r="G13" s="3554">
        <f>'数据-基础表'!I25</f>
        <v>62.44</v>
      </c>
      <c r="H13" s="3557" t="s">
        <v>3229</v>
      </c>
      <c r="I13" s="3557" t="s">
        <v>3231</v>
      </c>
    </row>
    <row r="14" spans="1:9">
      <c r="A14" s="3554">
        <v>13</v>
      </c>
      <c r="B14" s="3550" t="s">
        <v>3210</v>
      </c>
      <c r="C14" s="3550" t="s">
        <v>3193</v>
      </c>
      <c r="D14" s="3550" t="s">
        <v>3195</v>
      </c>
      <c r="E14" s="3555" t="s">
        <v>3214</v>
      </c>
      <c r="F14" s="3556">
        <f>'数据-基础表'!C26</f>
        <v>621</v>
      </c>
      <c r="G14" s="3554">
        <f>'数据-基础表'!I26</f>
        <v>62.05</v>
      </c>
      <c r="H14" s="3557" t="s">
        <v>3229</v>
      </c>
      <c r="I14" s="3557" t="s">
        <v>3231</v>
      </c>
    </row>
    <row r="15" spans="1:9">
      <c r="A15" s="3554">
        <v>14</v>
      </c>
      <c r="B15" s="3550" t="s">
        <v>3210</v>
      </c>
      <c r="C15" s="3550" t="s">
        <v>3193</v>
      </c>
      <c r="D15" s="3550" t="s">
        <v>3195</v>
      </c>
      <c r="E15" s="3555" t="s">
        <v>3214</v>
      </c>
      <c r="F15" s="3556">
        <f>'数据-基础表'!C27</f>
        <v>622</v>
      </c>
      <c r="G15" s="3554">
        <f>'数据-基础表'!I27</f>
        <v>80.040000000000006</v>
      </c>
      <c r="H15" s="3557" t="s">
        <v>3229</v>
      </c>
      <c r="I15" s="3557" t="s">
        <v>3231</v>
      </c>
    </row>
    <row r="16" spans="1:9">
      <c r="A16" s="3554">
        <v>15</v>
      </c>
      <c r="B16" s="3550" t="s">
        <v>3210</v>
      </c>
      <c r="C16" s="3550" t="s">
        <v>3193</v>
      </c>
      <c r="D16" s="3550" t="s">
        <v>3195</v>
      </c>
      <c r="E16" s="3555" t="s">
        <v>3215</v>
      </c>
      <c r="F16" s="3556">
        <f>'数据-基础表'!C28</f>
        <v>709</v>
      </c>
      <c r="G16" s="3554">
        <f>'数据-基础表'!I28</f>
        <v>67.84</v>
      </c>
      <c r="H16" s="3557" t="s">
        <v>3230</v>
      </c>
      <c r="I16" s="3557" t="s">
        <v>3231</v>
      </c>
    </row>
    <row r="17" spans="1:9">
      <c r="A17" s="3554">
        <v>16</v>
      </c>
      <c r="B17" s="3550" t="s">
        <v>3210</v>
      </c>
      <c r="C17" s="3550" t="s">
        <v>3193</v>
      </c>
      <c r="D17" s="3550" t="s">
        <v>3195</v>
      </c>
      <c r="E17" s="3555" t="s">
        <v>3215</v>
      </c>
      <c r="F17" s="3556">
        <f>'数据-基础表'!C29</f>
        <v>717</v>
      </c>
      <c r="G17" s="3554">
        <f>'数据-基础表'!I29</f>
        <v>82.75</v>
      </c>
      <c r="H17" s="3557" t="s">
        <v>3230</v>
      </c>
      <c r="I17" s="3557" t="s">
        <v>3231</v>
      </c>
    </row>
    <row r="18" spans="1:9">
      <c r="A18" s="3554">
        <v>17</v>
      </c>
      <c r="B18" s="3550" t="s">
        <v>3210</v>
      </c>
      <c r="C18" s="3550" t="s">
        <v>3193</v>
      </c>
      <c r="D18" s="3550" t="s">
        <v>3195</v>
      </c>
      <c r="E18" s="3555" t="s">
        <v>3215</v>
      </c>
      <c r="F18" s="3556">
        <f>'数据-基础表'!C30</f>
        <v>718</v>
      </c>
      <c r="G18" s="3554">
        <f>'数据-基础表'!I30</f>
        <v>88.2</v>
      </c>
      <c r="H18" s="3557" t="s">
        <v>3230</v>
      </c>
      <c r="I18" s="3557" t="s">
        <v>3231</v>
      </c>
    </row>
    <row r="19" spans="1:9">
      <c r="A19" s="3554">
        <v>18</v>
      </c>
      <c r="B19" s="3550" t="s">
        <v>3210</v>
      </c>
      <c r="C19" s="3550" t="s">
        <v>3193</v>
      </c>
      <c r="D19" s="3550" t="s">
        <v>3195</v>
      </c>
      <c r="E19" s="3555" t="s">
        <v>3215</v>
      </c>
      <c r="F19" s="3556">
        <f>'数据-基础表'!C31</f>
        <v>719</v>
      </c>
      <c r="G19" s="3554">
        <f>'数据-基础表'!I31</f>
        <v>84.43</v>
      </c>
      <c r="H19" s="3557" t="s">
        <v>3230</v>
      </c>
      <c r="I19" s="3557" t="s">
        <v>3231</v>
      </c>
    </row>
    <row r="20" spans="1:9">
      <c r="A20" s="3554">
        <v>19</v>
      </c>
      <c r="B20" s="3550" t="s">
        <v>3210</v>
      </c>
      <c r="C20" s="3550" t="s">
        <v>3193</v>
      </c>
      <c r="D20" s="3550" t="s">
        <v>3195</v>
      </c>
      <c r="E20" s="3555" t="s">
        <v>3215</v>
      </c>
      <c r="F20" s="3556">
        <f>'数据-基础表'!C32</f>
        <v>720</v>
      </c>
      <c r="G20" s="3554">
        <f>'数据-基础表'!I32</f>
        <v>90.12</v>
      </c>
      <c r="H20" s="3557" t="s">
        <v>3230</v>
      </c>
      <c r="I20" s="3557" t="s">
        <v>3231</v>
      </c>
    </row>
    <row r="21" spans="1:9">
      <c r="A21" s="3554">
        <v>20</v>
      </c>
      <c r="B21" s="3550" t="s">
        <v>3211</v>
      </c>
      <c r="C21" s="3550" t="s">
        <v>3212</v>
      </c>
      <c r="D21" s="3550" t="s">
        <v>3213</v>
      </c>
      <c r="E21" s="3552" t="s">
        <v>3216</v>
      </c>
      <c r="F21" s="3556">
        <f>'数据-基础表'!C33</f>
        <v>817</v>
      </c>
      <c r="G21" s="3554">
        <f>'数据-基础表'!I33</f>
        <v>82.89</v>
      </c>
      <c r="H21" s="3557" t="s">
        <v>3230</v>
      </c>
      <c r="I21" s="3557" t="s">
        <v>3231</v>
      </c>
    </row>
    <row r="22" spans="1:9">
      <c r="A22" s="3554">
        <v>21</v>
      </c>
      <c r="B22" s="3550" t="s">
        <v>3211</v>
      </c>
      <c r="C22" s="3550" t="s">
        <v>3212</v>
      </c>
      <c r="D22" s="3550" t="s">
        <v>3213</v>
      </c>
      <c r="E22" s="3552" t="s">
        <v>3217</v>
      </c>
      <c r="F22" s="3556">
        <f>'数据-基础表'!C34</f>
        <v>917</v>
      </c>
      <c r="G22" s="3554">
        <f>'数据-基础表'!I34</f>
        <v>82.75</v>
      </c>
      <c r="H22" s="3557" t="s">
        <v>3230</v>
      </c>
      <c r="I22" s="3557" t="s">
        <v>3231</v>
      </c>
    </row>
    <row r="23" spans="1:9">
      <c r="A23" s="3554">
        <v>22</v>
      </c>
      <c r="B23" s="3550" t="s">
        <v>3211</v>
      </c>
      <c r="C23" s="3550" t="s">
        <v>3212</v>
      </c>
      <c r="D23" s="3550" t="s">
        <v>3213</v>
      </c>
      <c r="E23" s="3552" t="s">
        <v>3217</v>
      </c>
      <c r="F23" s="3556">
        <f>'数据-基础表'!C35</f>
        <v>919</v>
      </c>
      <c r="G23" s="3554">
        <f>'数据-基础表'!I35</f>
        <v>84.43</v>
      </c>
      <c r="H23" s="3557" t="s">
        <v>3230</v>
      </c>
      <c r="I23" s="3557" t="s">
        <v>3231</v>
      </c>
    </row>
    <row r="24" spans="1:9">
      <c r="A24" s="3554">
        <v>23</v>
      </c>
      <c r="B24" s="3550" t="s">
        <v>3211</v>
      </c>
      <c r="C24" s="3550" t="s">
        <v>3212</v>
      </c>
      <c r="D24" s="3550" t="s">
        <v>3213</v>
      </c>
      <c r="E24" s="3552" t="s">
        <v>3218</v>
      </c>
      <c r="F24" s="3556">
        <f>'数据-基础表'!C36</f>
        <v>1117</v>
      </c>
      <c r="G24" s="3554">
        <f>'数据-基础表'!I36</f>
        <v>82.75</v>
      </c>
      <c r="H24" s="3557" t="s">
        <v>3230</v>
      </c>
      <c r="I24" s="3557" t="s">
        <v>3231</v>
      </c>
    </row>
    <row r="25" spans="1:9">
      <c r="A25" s="3554">
        <v>24</v>
      </c>
      <c r="B25" s="3550" t="s">
        <v>3211</v>
      </c>
      <c r="C25" s="3550" t="s">
        <v>3212</v>
      </c>
      <c r="D25" s="3550" t="s">
        <v>3213</v>
      </c>
      <c r="E25" s="3552" t="s">
        <v>3219</v>
      </c>
      <c r="F25" s="3556">
        <f>'数据-基础表'!C37</f>
        <v>1218</v>
      </c>
      <c r="G25" s="3554">
        <f>'数据-基础表'!I37</f>
        <v>88.63</v>
      </c>
      <c r="H25" s="3557" t="s">
        <v>3230</v>
      </c>
      <c r="I25" s="3557" t="s">
        <v>3231</v>
      </c>
    </row>
    <row r="26" spans="1:9">
      <c r="A26" s="3554">
        <v>25</v>
      </c>
      <c r="B26" s="3550" t="s">
        <v>3211</v>
      </c>
      <c r="C26" s="3550" t="s">
        <v>3212</v>
      </c>
      <c r="D26" s="3550" t="s">
        <v>3213</v>
      </c>
      <c r="E26" s="3552" t="s">
        <v>3219</v>
      </c>
      <c r="F26" s="3556">
        <f>'数据-基础表'!C38</f>
        <v>1220</v>
      </c>
      <c r="G26" s="3554">
        <f>'数据-基础表'!I38</f>
        <v>90.06</v>
      </c>
      <c r="H26" s="3557" t="s">
        <v>3230</v>
      </c>
      <c r="I26" s="3557" t="s">
        <v>3231</v>
      </c>
    </row>
    <row r="27" spans="1:9">
      <c r="A27" s="3554">
        <v>26</v>
      </c>
      <c r="B27" s="3550" t="s">
        <v>3211</v>
      </c>
      <c r="C27" s="3550" t="s">
        <v>3212</v>
      </c>
      <c r="D27" s="3550" t="s">
        <v>3213</v>
      </c>
      <c r="E27" s="3552" t="s">
        <v>3220</v>
      </c>
      <c r="F27" s="3556">
        <f>'数据-基础表'!C39</f>
        <v>1313</v>
      </c>
      <c r="G27" s="3554">
        <f>'数据-基础表'!I39</f>
        <v>54.06</v>
      </c>
      <c r="H27" s="3557" t="s">
        <v>3230</v>
      </c>
      <c r="I27" s="3557" t="s">
        <v>3231</v>
      </c>
    </row>
    <row r="28" spans="1:9">
      <c r="A28" s="3554">
        <v>27</v>
      </c>
      <c r="B28" s="3550" t="s">
        <v>3211</v>
      </c>
      <c r="C28" s="3550" t="s">
        <v>3212</v>
      </c>
      <c r="D28" s="3550" t="s">
        <v>3213</v>
      </c>
      <c r="E28" s="3552" t="s">
        <v>3220</v>
      </c>
      <c r="F28" s="3556">
        <f>'数据-基础表'!C40</f>
        <v>1317</v>
      </c>
      <c r="G28" s="3554">
        <f>'数据-基础表'!I40</f>
        <v>82.75</v>
      </c>
      <c r="H28" s="3557" t="s">
        <v>3230</v>
      </c>
      <c r="I28" s="3557" t="s">
        <v>3231</v>
      </c>
    </row>
    <row r="29" spans="1:9">
      <c r="A29" s="3554">
        <v>28</v>
      </c>
      <c r="B29" s="3550" t="s">
        <v>3211</v>
      </c>
      <c r="C29" s="3550" t="s">
        <v>3212</v>
      </c>
      <c r="D29" s="3550" t="s">
        <v>3213</v>
      </c>
      <c r="E29" s="3552" t="s">
        <v>3220</v>
      </c>
      <c r="F29" s="3556">
        <f>'数据-基础表'!C41</f>
        <v>1318</v>
      </c>
      <c r="G29" s="3554">
        <f>'数据-基础表'!I41</f>
        <v>88.2</v>
      </c>
      <c r="H29" s="3557" t="s">
        <v>3230</v>
      </c>
      <c r="I29" s="3557" t="s">
        <v>3231</v>
      </c>
    </row>
    <row r="30" spans="1:9">
      <c r="A30" s="3554">
        <v>29</v>
      </c>
      <c r="B30" s="3550" t="s">
        <v>3211</v>
      </c>
      <c r="C30" s="3550" t="s">
        <v>3212</v>
      </c>
      <c r="D30" s="3550" t="s">
        <v>3213</v>
      </c>
      <c r="E30" s="3552" t="s">
        <v>3220</v>
      </c>
      <c r="F30" s="3556">
        <f>'数据-基础表'!C42</f>
        <v>1319</v>
      </c>
      <c r="G30" s="3554">
        <f>'数据-基础表'!I42</f>
        <v>84.43</v>
      </c>
      <c r="H30" s="3557" t="s">
        <v>3230</v>
      </c>
      <c r="I30" s="3557" t="s">
        <v>3231</v>
      </c>
    </row>
    <row r="31" spans="1:9">
      <c r="A31" s="3554">
        <v>30</v>
      </c>
      <c r="B31" s="3550" t="s">
        <v>3211</v>
      </c>
      <c r="C31" s="3550" t="s">
        <v>3212</v>
      </c>
      <c r="D31" s="3550" t="s">
        <v>3213</v>
      </c>
      <c r="E31" s="3552" t="s">
        <v>3220</v>
      </c>
      <c r="F31" s="3556">
        <f>'数据-基础表'!C43</f>
        <v>1320</v>
      </c>
      <c r="G31" s="3554">
        <f>'数据-基础表'!I43</f>
        <v>90.12</v>
      </c>
      <c r="H31" s="3557" t="s">
        <v>3230</v>
      </c>
      <c r="I31" s="3557" t="s">
        <v>3231</v>
      </c>
    </row>
    <row r="32" spans="1:9">
      <c r="A32" s="3554">
        <v>31</v>
      </c>
      <c r="B32" s="3550" t="s">
        <v>3211</v>
      </c>
      <c r="C32" s="3550" t="s">
        <v>3212</v>
      </c>
      <c r="D32" s="3550" t="s">
        <v>3213</v>
      </c>
      <c r="E32" s="3552" t="s">
        <v>3221</v>
      </c>
      <c r="F32" s="3556">
        <f>'数据-基础表'!C44</f>
        <v>1417</v>
      </c>
      <c r="G32" s="3554">
        <f>'数据-基础表'!I44</f>
        <v>82.89</v>
      </c>
      <c r="H32" s="3557" t="s">
        <v>3230</v>
      </c>
      <c r="I32" s="3557" t="s">
        <v>3231</v>
      </c>
    </row>
    <row r="33" spans="1:9">
      <c r="A33" s="3554">
        <v>32</v>
      </c>
      <c r="B33" s="3550" t="s">
        <v>3211</v>
      </c>
      <c r="C33" s="3550" t="s">
        <v>3212</v>
      </c>
      <c r="D33" s="3550" t="s">
        <v>3213</v>
      </c>
      <c r="E33" s="3552" t="s">
        <v>3221</v>
      </c>
      <c r="F33" s="3556">
        <f>'数据-基础表'!C45</f>
        <v>1418</v>
      </c>
      <c r="G33" s="3554">
        <f>'数据-基础表'!I45</f>
        <v>88.63</v>
      </c>
      <c r="H33" s="3557" t="s">
        <v>3230</v>
      </c>
      <c r="I33" s="3557" t="s">
        <v>3231</v>
      </c>
    </row>
    <row r="34" spans="1:9">
      <c r="A34" s="3554">
        <v>33</v>
      </c>
      <c r="B34" s="3550" t="s">
        <v>3211</v>
      </c>
      <c r="C34" s="3550" t="s">
        <v>3212</v>
      </c>
      <c r="D34" s="3550" t="s">
        <v>3213</v>
      </c>
      <c r="E34" s="3552" t="s">
        <v>3221</v>
      </c>
      <c r="F34" s="3556">
        <f>'数据-基础表'!C46</f>
        <v>1420</v>
      </c>
      <c r="G34" s="3554">
        <f>'数据-基础表'!I46</f>
        <v>90.06</v>
      </c>
      <c r="H34" s="3557" t="s">
        <v>3230</v>
      </c>
      <c r="I34" s="3557" t="s">
        <v>3231</v>
      </c>
    </row>
    <row r="35" spans="1:9">
      <c r="A35" s="3554">
        <v>34</v>
      </c>
      <c r="B35" s="3550" t="s">
        <v>3211</v>
      </c>
      <c r="C35" s="3550" t="s">
        <v>3212</v>
      </c>
      <c r="D35" s="3550" t="s">
        <v>3213</v>
      </c>
      <c r="E35" s="3552" t="s">
        <v>3222</v>
      </c>
      <c r="F35" s="3556">
        <f>'数据-基础表'!C47</f>
        <v>1517</v>
      </c>
      <c r="G35" s="3554">
        <f>'数据-基础表'!I47</f>
        <v>82.75</v>
      </c>
      <c r="H35" s="3557" t="s">
        <v>3230</v>
      </c>
      <c r="I35" s="3557" t="s">
        <v>3231</v>
      </c>
    </row>
    <row r="36" spans="1:9">
      <c r="A36" s="3554">
        <v>35</v>
      </c>
      <c r="B36" s="3550" t="s">
        <v>3211</v>
      </c>
      <c r="C36" s="3550" t="s">
        <v>3212</v>
      </c>
      <c r="D36" s="3550" t="s">
        <v>3213</v>
      </c>
      <c r="E36" s="3552" t="s">
        <v>3222</v>
      </c>
      <c r="F36" s="3556">
        <f>'数据-基础表'!C48</f>
        <v>1518</v>
      </c>
      <c r="G36" s="3554">
        <f>'数据-基础表'!I48</f>
        <v>88.2</v>
      </c>
      <c r="H36" s="3557" t="s">
        <v>3230</v>
      </c>
      <c r="I36" s="3557" t="s">
        <v>3231</v>
      </c>
    </row>
    <row r="37" spans="1:9">
      <c r="A37" s="3554">
        <v>36</v>
      </c>
      <c r="B37" s="3550" t="s">
        <v>3211</v>
      </c>
      <c r="C37" s="3550" t="s">
        <v>3212</v>
      </c>
      <c r="D37" s="3550" t="s">
        <v>3213</v>
      </c>
      <c r="E37" s="3552" t="s">
        <v>3222</v>
      </c>
      <c r="F37" s="3556">
        <f>'数据-基础表'!C49</f>
        <v>1520</v>
      </c>
      <c r="G37" s="3554">
        <f>'数据-基础表'!I49</f>
        <v>90.12</v>
      </c>
      <c r="H37" s="3557" t="s">
        <v>3230</v>
      </c>
      <c r="I37" s="3557" t="s">
        <v>3231</v>
      </c>
    </row>
    <row r="38" spans="1:9">
      <c r="A38" s="3554">
        <v>37</v>
      </c>
      <c r="B38" s="3550" t="s">
        <v>3211</v>
      </c>
      <c r="C38" s="3550" t="s">
        <v>3212</v>
      </c>
      <c r="D38" s="3550" t="s">
        <v>3213</v>
      </c>
      <c r="E38" s="3552" t="s">
        <v>3223</v>
      </c>
      <c r="F38" s="3555" t="s">
        <v>3225</v>
      </c>
      <c r="G38" s="3554">
        <f>'数据-基础表'!M50</f>
        <v>2654.85</v>
      </c>
      <c r="H38" s="3550" t="s">
        <v>3228</v>
      </c>
      <c r="I38" s="3550" t="s">
        <v>3228</v>
      </c>
    </row>
    <row r="39" spans="1:9">
      <c r="A39" s="3554">
        <v>38</v>
      </c>
      <c r="B39" s="3550" t="s">
        <v>3211</v>
      </c>
      <c r="C39" s="3550" t="s">
        <v>3212</v>
      </c>
      <c r="D39" s="3550" t="s">
        <v>3213</v>
      </c>
      <c r="E39" s="3552" t="s">
        <v>3224</v>
      </c>
      <c r="F39" s="3555" t="s">
        <v>3226</v>
      </c>
      <c r="G39" s="3554">
        <f>'数据-基础表'!M51</f>
        <v>2467.34</v>
      </c>
      <c r="H39" s="3550" t="s">
        <v>3228</v>
      </c>
      <c r="I39" s="3550" t="s">
        <v>3228</v>
      </c>
    </row>
    <row r="40" spans="1:9">
      <c r="A40" s="3554"/>
      <c r="B40" s="3550" t="s">
        <v>3227</v>
      </c>
      <c r="C40" s="3550"/>
      <c r="D40" s="3550"/>
      <c r="E40" s="3552"/>
      <c r="F40" s="3555"/>
      <c r="G40" s="3554">
        <f>SUM(G2:G39)</f>
        <v>18936.009999999998</v>
      </c>
      <c r="H40" s="3551"/>
      <c r="I40" s="3551"/>
    </row>
  </sheetData>
  <phoneticPr fontId="1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24" t="str">
        <f>IF(项目基本情况!B9="房地产市场价值","估价结果一览表","结果表-2")</f>
        <v>结果表-2</v>
      </c>
      <c r="B1" s="3224"/>
      <c r="C1" s="3224"/>
      <c r="D1" s="3224"/>
      <c r="E1" s="3224"/>
      <c r="F1" s="3224"/>
      <c r="G1" s="3224"/>
      <c r="H1" s="3224"/>
      <c r="I1" s="3224"/>
    </row>
    <row r="2" spans="1:9" ht="30" customHeight="1" thickTop="1">
      <c r="A2" s="3225" t="s">
        <v>1546</v>
      </c>
      <c r="B2" s="3225" t="s">
        <v>1547</v>
      </c>
      <c r="C2" s="3225" t="s">
        <v>1548</v>
      </c>
      <c r="D2" s="3225" t="str">
        <f>结果表!D116</f>
        <v>出让国有建设用地使用权价值</v>
      </c>
      <c r="E2" s="3225"/>
      <c r="F2" s="3225" t="str">
        <f>结果表!F116</f>
        <v>在建建筑物价值</v>
      </c>
      <c r="G2" s="3225"/>
      <c r="H2" s="3225" t="str">
        <f>IF(项目基本情况!B9="房地产市场价值","房地产市场价值","房地产价值")</f>
        <v>房地产价值</v>
      </c>
      <c r="I2" s="3225"/>
    </row>
    <row r="3" spans="1:9" ht="15">
      <c r="A3" s="3226"/>
      <c r="B3" s="3226"/>
      <c r="C3" s="3226"/>
      <c r="D3" s="963" t="s">
        <v>1543</v>
      </c>
      <c r="E3" s="963" t="s">
        <v>1549</v>
      </c>
      <c r="F3" s="963" t="s">
        <v>1543</v>
      </c>
      <c r="G3" s="963" t="s">
        <v>1544</v>
      </c>
      <c r="H3" s="963" t="s">
        <v>1543</v>
      </c>
      <c r="I3" s="963" t="s">
        <v>1544</v>
      </c>
    </row>
    <row r="4" spans="1:9" ht="30">
      <c r="A4" s="1660" t="str">
        <f>项目基本情况!S2</f>
        <v>北京市东城区东直门外大街42号房地产</v>
      </c>
      <c r="B4" s="963">
        <f>项目基本情况!C17</f>
        <v>11340.73</v>
      </c>
      <c r="C4" s="963">
        <f>项目基本情况!C18</f>
        <v>1741.52</v>
      </c>
      <c r="D4" s="963">
        <f ca="1">结果表!D118</f>
        <v>58911</v>
      </c>
      <c r="E4" s="963">
        <f ca="1">结果表!E118</f>
        <v>51946</v>
      </c>
      <c r="F4" s="963">
        <f ca="1">结果表!F118</f>
        <v>7580</v>
      </c>
      <c r="G4" s="963">
        <f ca="1">结果表!G118</f>
        <v>6684</v>
      </c>
      <c r="H4" s="963">
        <f ca="1">结果表!H118</f>
        <v>66491</v>
      </c>
      <c r="I4" s="963">
        <f ca="1">结果表!I118</f>
        <v>58630</v>
      </c>
    </row>
    <row r="5" spans="1:9" ht="30" customHeight="1">
      <c r="A5" s="3226" t="s">
        <v>1545</v>
      </c>
      <c r="B5" s="3226"/>
      <c r="C5" s="3226"/>
      <c r="D5" s="3227" t="str">
        <f ca="1">结果表!D119</f>
        <v>伍亿捌仟玖佰壹拾壹万元整</v>
      </c>
      <c r="E5" s="3227"/>
      <c r="F5" s="3227" t="str">
        <f ca="1">结果表!F119</f>
        <v>柒仟伍佰捌拾万元整</v>
      </c>
      <c r="G5" s="3227"/>
      <c r="H5" s="3227" t="str">
        <f ca="1">结果表!H119</f>
        <v>陆亿陆仟肆佰玖拾壹万元整</v>
      </c>
      <c r="I5" s="3227"/>
    </row>
    <row r="6" spans="1:9" ht="15.75">
      <c r="A6" s="3228" t="str">
        <f>结果表!A120</f>
        <v>估价师知悉的法定优先受偿款</v>
      </c>
      <c r="B6" s="3228"/>
      <c r="C6" s="3228"/>
      <c r="D6" s="3228">
        <f>结果表!D120</f>
        <v>0</v>
      </c>
      <c r="E6" s="3228"/>
      <c r="F6" s="3228"/>
      <c r="G6" s="3228"/>
      <c r="H6" s="3228"/>
      <c r="I6" s="3228"/>
    </row>
    <row r="7" spans="1:9" ht="15">
      <c r="A7" s="3226" t="s">
        <v>1545</v>
      </c>
      <c r="B7" s="3226"/>
      <c r="C7" s="3226"/>
      <c r="D7" s="3229" t="str">
        <f>结果表!D121</f>
        <v>零元整</v>
      </c>
      <c r="E7" s="3230"/>
      <c r="F7" s="3230"/>
      <c r="G7" s="3230"/>
      <c r="H7" s="3230"/>
      <c r="I7" s="3231"/>
    </row>
    <row r="8" spans="1:9" ht="15.75">
      <c r="A8" s="3228" t="str">
        <f>结果表!A122</f>
        <v/>
      </c>
      <c r="B8" s="3228"/>
      <c r="C8" s="3228"/>
      <c r="D8" s="3228" t="str">
        <f>结果表!D122</f>
        <v>——</v>
      </c>
      <c r="E8" s="3228"/>
      <c r="F8" s="3228"/>
      <c r="G8" s="3228"/>
      <c r="H8" s="3228"/>
      <c r="I8" s="3228"/>
    </row>
    <row r="9" spans="1:9" ht="15">
      <c r="A9" s="3226" t="s">
        <v>1545</v>
      </c>
      <c r="B9" s="3226"/>
      <c r="C9" s="3226"/>
      <c r="D9" s="3227" t="e">
        <f>结果表!D123</f>
        <v>#VALUE!</v>
      </c>
      <c r="E9" s="3227"/>
      <c r="F9" s="3227"/>
      <c r="G9" s="3227"/>
      <c r="H9" s="3227"/>
      <c r="I9" s="3227"/>
    </row>
    <row r="10" spans="1:9" ht="15.75">
      <c r="A10" s="3228" t="str">
        <f>结果表!A124</f>
        <v>抵押担保权已注销时的房地产抵押价值</v>
      </c>
      <c r="B10" s="3228"/>
      <c r="C10" s="3228"/>
      <c r="D10" s="3228">
        <f ca="1">结果表!D124</f>
        <v>66491</v>
      </c>
      <c r="E10" s="3228"/>
      <c r="F10" s="3228"/>
      <c r="G10" s="3228"/>
      <c r="H10" s="3228"/>
      <c r="I10" s="3228"/>
    </row>
    <row r="11" spans="1:9" ht="15">
      <c r="A11" s="3226" t="s">
        <v>1545</v>
      </c>
      <c r="B11" s="3226"/>
      <c r="C11" s="3226"/>
      <c r="D11" s="3227" t="str">
        <f ca="1">结果表!D125</f>
        <v>陆亿陆仟肆佰玖拾壹万元整</v>
      </c>
      <c r="E11" s="3227"/>
      <c r="F11" s="3227"/>
      <c r="G11" s="3227"/>
      <c r="H11" s="3227"/>
      <c r="I11" s="3227"/>
    </row>
    <row r="12" spans="1:9" ht="15.75">
      <c r="A12" s="3228" t="str">
        <f>结果表!A126</f>
        <v/>
      </c>
      <c r="B12" s="3228"/>
      <c r="C12" s="3228"/>
      <c r="D12" s="3228" t="str">
        <f>结果表!D126</f>
        <v>——</v>
      </c>
      <c r="E12" s="3228"/>
      <c r="F12" s="3228"/>
      <c r="G12" s="3228"/>
      <c r="H12" s="3228"/>
      <c r="I12" s="3228"/>
    </row>
    <row r="13" spans="1:9" ht="15.75" thickBot="1">
      <c r="A13" s="3232" t="s">
        <v>1545</v>
      </c>
      <c r="B13" s="3232"/>
      <c r="C13" s="3232"/>
      <c r="D13" s="3233" t="e">
        <f>结果表!D127</f>
        <v>#VALUE!</v>
      </c>
      <c r="E13" s="3233"/>
      <c r="F13" s="3233"/>
      <c r="G13" s="3233"/>
      <c r="H13" s="3233"/>
      <c r="I13" s="3233"/>
    </row>
    <row r="14" spans="1:9" ht="15" thickTop="1">
      <c r="A14" s="3234" t="s">
        <v>1550</v>
      </c>
      <c r="B14" s="3234"/>
      <c r="C14" s="3234"/>
      <c r="D14" s="3234"/>
      <c r="E14" s="3234"/>
      <c r="F14" s="3234"/>
      <c r="G14" s="3234"/>
      <c r="H14" s="3234"/>
      <c r="I14" s="3234"/>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35" t="s">
        <v>1567</v>
      </c>
      <c r="B1" s="3235"/>
      <c r="C1" s="3235"/>
      <c r="D1" s="3235"/>
    </row>
    <row r="2" spans="1:4" ht="18">
      <c r="A2" s="3236" t="s">
        <v>1551</v>
      </c>
      <c r="B2" s="3236"/>
      <c r="C2" s="3236"/>
      <c r="D2" s="3236"/>
    </row>
    <row r="3" spans="1:4" ht="18.75">
      <c r="A3" s="1664" t="s">
        <v>1552</v>
      </c>
      <c r="B3" s="1664" t="s">
        <v>1553</v>
      </c>
      <c r="C3" s="1664" t="s">
        <v>1554</v>
      </c>
      <c r="D3" s="1664" t="s">
        <v>1555</v>
      </c>
    </row>
    <row r="4" spans="1:4" ht="56.25" customHeight="1">
      <c r="A4" s="1665" t="str">
        <f>项目基本情况!B4</f>
        <v>郑燚</v>
      </c>
      <c r="B4" s="1666">
        <f ca="1">项目基本情况!C4</f>
        <v>1120070131</v>
      </c>
      <c r="C4" s="1667"/>
      <c r="D4" s="1668" t="s">
        <v>1556</v>
      </c>
    </row>
    <row r="5" spans="1:4" ht="56.25" customHeight="1">
      <c r="A5" s="1665" t="str">
        <f>项目基本情况!D4</f>
        <v>吴薇</v>
      </c>
      <c r="B5" s="1666">
        <f ca="1">项目基本情况!E4</f>
        <v>1419970001</v>
      </c>
      <c r="C5" s="1669"/>
      <c r="D5" s="1668" t="s">
        <v>1556</v>
      </c>
    </row>
    <row r="6" spans="1:4" ht="18">
      <c r="A6" s="3236" t="s">
        <v>1557</v>
      </c>
      <c r="B6" s="3236"/>
      <c r="C6" s="3236"/>
      <c r="D6" s="3236"/>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37" t="s">
        <v>1560</v>
      </c>
      <c r="B11" s="3238"/>
      <c r="C11" s="3238"/>
      <c r="D11" s="3238"/>
    </row>
    <row r="12" spans="1:4" ht="15.75">
      <c r="A12" s="32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39"/>
      <c r="C12" s="3239"/>
      <c r="D12" s="3239"/>
    </row>
    <row r="13" spans="1:4" ht="30" customHeight="1">
      <c r="A13" s="323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39"/>
      <c r="C13" s="3239"/>
      <c r="D13" s="3239"/>
    </row>
    <row r="14" spans="1:4" ht="15.75" customHeight="1">
      <c r="A14" s="3238" t="str">
        <f>IF(项目基本情况!B8="抵押","4.本次评估估价师所知悉的法定优先受偿款情况说明如下：","——")</f>
        <v>4.本次评估估价师所知悉的法定优先受偿款情况说明如下：</v>
      </c>
      <c r="B14" s="3239"/>
      <c r="C14" s="3239"/>
      <c r="D14" s="3239"/>
    </row>
    <row r="15" spans="1:4" ht="42" customHeight="1">
      <c r="A15" s="3238"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38"/>
      <c r="C15" s="3238"/>
      <c r="D15" s="3238"/>
    </row>
    <row r="16" spans="1:4" ht="30" customHeight="1">
      <c r="A16" s="3241" t="s">
        <v>1561</v>
      </c>
      <c r="B16" s="3241"/>
      <c r="C16" s="3241"/>
      <c r="D16" s="3241"/>
    </row>
    <row r="17" spans="1:4" ht="144" customHeight="1">
      <c r="A17" s="3241" t="s">
        <v>1562</v>
      </c>
      <c r="B17" s="3241"/>
      <c r="C17" s="3241"/>
      <c r="D17" s="3241"/>
    </row>
    <row r="18" spans="1:4" ht="15.75" customHeight="1">
      <c r="A18" s="3238" t="str">
        <f>IF(项目基本情况!B8="抵押",结果表!K120,"——")</f>
        <v>故，本次评估不存在估价师知悉的法定优先受偿款</v>
      </c>
      <c r="B18" s="3238"/>
      <c r="C18" s="3238"/>
      <c r="D18" s="3238"/>
    </row>
    <row r="19" spans="1:4" ht="46.5" customHeight="1">
      <c r="A19" s="32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8"/>
      <c r="C19" s="3238"/>
      <c r="D19" s="3238"/>
    </row>
    <row r="20" spans="1:4" ht="57.75" customHeight="1">
      <c r="A20" s="32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38"/>
      <c r="C20" s="3238"/>
      <c r="D20" s="3238"/>
    </row>
    <row r="21" spans="1:4" ht="57.75" customHeight="1">
      <c r="A21" s="32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42"/>
      <c r="C21" s="3242"/>
      <c r="D21" s="3242"/>
    </row>
    <row r="22" spans="1:4" ht="18.75" customHeight="1">
      <c r="A22" s="3243" t="s">
        <v>1563</v>
      </c>
      <c r="B22" s="3243"/>
      <c r="C22" s="3243"/>
      <c r="D22" s="3243"/>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40">
        <v>42551</v>
      </c>
      <c r="D31" s="324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49" t="s">
        <v>1574</v>
      </c>
      <c r="B15" s="3244" t="s">
        <v>136</v>
      </c>
      <c r="C15" s="3245"/>
    </row>
    <row r="16" spans="1:7" ht="13.5">
      <c r="A16" s="3250"/>
      <c r="B16" s="3244" t="s">
        <v>69</v>
      </c>
      <c r="C16" s="3245"/>
    </row>
    <row r="17" spans="1:3" ht="13.5">
      <c r="A17" s="3250"/>
      <c r="B17" s="3247" t="s">
        <v>1575</v>
      </c>
      <c r="C17" s="1687" t="s">
        <v>1574</v>
      </c>
    </row>
    <row r="18" spans="1:3" ht="13.5">
      <c r="A18" s="3250"/>
      <c r="B18" s="3247"/>
      <c r="C18" s="1687" t="s">
        <v>1576</v>
      </c>
    </row>
    <row r="19" spans="1:3" ht="13.5">
      <c r="A19" s="3250"/>
      <c r="B19" s="3247"/>
      <c r="C19" s="1687" t="s">
        <v>1577</v>
      </c>
    </row>
    <row r="20" spans="1:3" ht="13.5">
      <c r="A20" s="3251"/>
      <c r="B20" s="3246" t="s">
        <v>1578</v>
      </c>
      <c r="C20" s="3245"/>
    </row>
    <row r="21" spans="1:3" ht="13.5">
      <c r="A21" s="1688" t="s">
        <v>1579</v>
      </c>
      <c r="B21" s="1689"/>
      <c r="C21" s="1690"/>
    </row>
    <row r="22" spans="1:3" ht="13.5">
      <c r="A22" s="3248" t="s">
        <v>1580</v>
      </c>
      <c r="B22" s="3246" t="s">
        <v>1581</v>
      </c>
      <c r="C22" s="3245"/>
    </row>
    <row r="23" spans="1:3" ht="13.5">
      <c r="A23" s="3248"/>
      <c r="B23" s="3246" t="s">
        <v>1582</v>
      </c>
      <c r="C23" s="3245"/>
    </row>
    <row r="24" spans="1:3" ht="13.5">
      <c r="A24" s="3248"/>
      <c r="B24" s="3246" t="s">
        <v>1583</v>
      </c>
      <c r="C24" s="3245"/>
    </row>
    <row r="25" spans="1:3" ht="13.5">
      <c r="A25" s="3248"/>
      <c r="B25" s="3247" t="s">
        <v>1584</v>
      </c>
      <c r="C25" s="1687" t="s">
        <v>1585</v>
      </c>
    </row>
    <row r="26" spans="1:3" ht="13.5">
      <c r="A26" s="3248"/>
      <c r="B26" s="3247"/>
      <c r="C26" s="1687" t="s">
        <v>1586</v>
      </c>
    </row>
    <row r="27" spans="1:3" ht="13.5">
      <c r="A27" s="3248"/>
      <c r="B27" s="3247"/>
      <c r="C27" s="1687" t="s">
        <v>1587</v>
      </c>
    </row>
    <row r="28" spans="1:3" ht="13.5">
      <c r="A28" s="3248"/>
      <c r="B28" s="3247"/>
      <c r="C28" s="1687" t="s">
        <v>1588</v>
      </c>
    </row>
    <row r="29" spans="1:3" ht="13.5">
      <c r="A29" s="3248"/>
      <c r="B29" s="3247"/>
      <c r="C29" s="1687" t="s">
        <v>1589</v>
      </c>
    </row>
    <row r="30" spans="1:3" ht="13.5">
      <c r="A30" s="3248"/>
      <c r="B30" s="3247"/>
      <c r="C30" s="1687" t="s">
        <v>1590</v>
      </c>
    </row>
    <row r="31" spans="1:3" ht="13.5">
      <c r="A31" s="3248"/>
      <c r="B31" s="3247"/>
      <c r="C31" s="1687" t="s">
        <v>1591</v>
      </c>
    </row>
    <row r="32" spans="1:3" ht="13.5">
      <c r="A32" s="3248"/>
      <c r="B32" s="3247"/>
      <c r="C32" s="1687" t="s">
        <v>1592</v>
      </c>
    </row>
    <row r="33" spans="1:3" ht="13.5">
      <c r="A33" s="3248"/>
      <c r="B33" s="3247"/>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2821</v>
      </c>
      <c r="B2" s="2532">
        <f ca="1">TODAY()</f>
        <v>44644</v>
      </c>
      <c r="C2" s="2533" t="s">
        <v>2822</v>
      </c>
      <c r="D2" s="2533"/>
      <c r="E2" s="2533"/>
      <c r="F2" s="2529"/>
      <c r="G2" s="2529"/>
      <c r="H2" s="2529"/>
    </row>
    <row r="3" spans="1:8" ht="24" customHeight="1">
      <c r="A3" s="2534" t="s">
        <v>2823</v>
      </c>
      <c r="B3" s="2535" t="s">
        <v>2824</v>
      </c>
      <c r="C3" s="2535" t="s">
        <v>2825</v>
      </c>
      <c r="D3" s="2536" t="s">
        <v>2826</v>
      </c>
      <c r="E3" s="2537" t="s">
        <v>2827</v>
      </c>
      <c r="F3" s="1444" t="s">
        <v>2828</v>
      </c>
      <c r="G3" s="2535" t="s">
        <v>2825</v>
      </c>
      <c r="H3" s="2536" t="s">
        <v>2829</v>
      </c>
    </row>
    <row r="4" spans="1:8" ht="24" customHeight="1">
      <c r="A4" s="1444" t="s">
        <v>2830</v>
      </c>
      <c r="B4" s="1444">
        <f ca="1">IF(C4&lt;B2,"已过期",1119970066)</f>
        <v>1119970066</v>
      </c>
      <c r="C4" s="2538">
        <v>44876</v>
      </c>
      <c r="D4" s="2539" t="str">
        <f ca="1">A4&amp;"（注册号："&amp;B4&amp;"）"</f>
        <v>梁津（注册号：1119970066）</v>
      </c>
      <c r="E4" s="2540" t="s">
        <v>2830</v>
      </c>
      <c r="F4" s="1444">
        <f ca="1">IF(G4&lt;B2,"已过期",96010014)</f>
        <v>96010014</v>
      </c>
      <c r="G4" s="2541">
        <v>47118</v>
      </c>
      <c r="H4" s="2542" t="str">
        <f ca="1">E4&amp;"（注册号："&amp;F4&amp;"）"</f>
        <v>梁津（注册号：96010014）</v>
      </c>
    </row>
    <row r="5" spans="1:8" ht="24" customHeight="1">
      <c r="A5" s="1444" t="s">
        <v>2831</v>
      </c>
      <c r="B5" s="1444">
        <f ca="1">IF(C5&lt;B2,"已过期",1119970111)</f>
        <v>1119970111</v>
      </c>
      <c r="C5" s="2538">
        <v>44876</v>
      </c>
      <c r="D5" s="2539" t="str">
        <f t="shared" ref="D5:D15" ca="1" si="0">A5&amp;"（注册号："&amp;B5&amp;"）"</f>
        <v>叶凌（注册号：1119970111）</v>
      </c>
      <c r="E5" s="2540" t="s">
        <v>2831</v>
      </c>
      <c r="F5" s="1444">
        <f ca="1">IF(G5&lt;B2,"已过期",94010078)</f>
        <v>94010078</v>
      </c>
      <c r="G5" s="2541">
        <v>46387</v>
      </c>
      <c r="H5" s="2542" t="str">
        <f t="shared" ref="H5:H16" ca="1" si="1">E5&amp;"（注册号："&amp;F5&amp;"）"</f>
        <v>叶凌（注册号：94010078）</v>
      </c>
    </row>
    <row r="6" spans="1:8" ht="24" customHeight="1">
      <c r="A6" s="1444" t="s">
        <v>2832</v>
      </c>
      <c r="B6" s="1444" t="str">
        <f ca="1">IF(C6&lt;B2,"已过期",1120050019)</f>
        <v>已过期</v>
      </c>
      <c r="C6" s="2538">
        <v>44395</v>
      </c>
      <c r="D6" s="2539" t="str">
        <f t="shared" ca="1" si="0"/>
        <v>王鹏（注册号：已过期）</v>
      </c>
      <c r="E6" s="2540" t="s">
        <v>2832</v>
      </c>
      <c r="F6" s="1444">
        <f ca="1">IF(G6&lt;B2,"已过期",2002110030)</f>
        <v>2002110030</v>
      </c>
      <c r="G6" s="2541">
        <v>46387</v>
      </c>
      <c r="H6" s="2542" t="str">
        <f t="shared" ca="1" si="1"/>
        <v>王鹏（注册号：2002110030）</v>
      </c>
    </row>
    <row r="7" spans="1:8" ht="24" customHeight="1">
      <c r="A7" s="1444" t="s">
        <v>2833</v>
      </c>
      <c r="B7" s="1444">
        <f ca="1">IF(C7&lt;B2,"已过期",1120000080)</f>
        <v>1120000080</v>
      </c>
      <c r="C7" s="2538">
        <v>44876</v>
      </c>
      <c r="D7" s="2539" t="str">
        <f t="shared" ca="1" si="0"/>
        <v>欧红伟（注册号：1120000080）</v>
      </c>
      <c r="E7" s="2540" t="s">
        <v>2833</v>
      </c>
      <c r="F7" s="1444">
        <f ca="1">IF(G7&lt;B2,"已过期",2000110082)</f>
        <v>2000110082</v>
      </c>
      <c r="G7" s="2541">
        <v>46387</v>
      </c>
      <c r="H7" s="2542" t="str">
        <f t="shared" ca="1" si="1"/>
        <v>欧红伟（注册号：2000110082）</v>
      </c>
    </row>
    <row r="8" spans="1:8" ht="24" customHeight="1">
      <c r="A8" s="1444" t="s">
        <v>2834</v>
      </c>
      <c r="B8" s="1444">
        <f ca="1">IF(C8&lt;B2,"已过期",1419970001)</f>
        <v>1419970001</v>
      </c>
      <c r="C8" s="2538">
        <v>44899</v>
      </c>
      <c r="D8" s="2539" t="str">
        <f t="shared" ca="1" si="0"/>
        <v>吴薇（注册号：1419970001）</v>
      </c>
      <c r="E8" s="2540" t="s">
        <v>2834</v>
      </c>
      <c r="F8" s="1444">
        <f ca="1">IF(G8&lt;B2,"已过期",2002110125)</f>
        <v>2002110125</v>
      </c>
      <c r="G8" s="2541">
        <v>47118</v>
      </c>
      <c r="H8" s="2542" t="str">
        <f t="shared" ca="1" si="1"/>
        <v>吴薇（注册号：2002110125）</v>
      </c>
    </row>
    <row r="9" spans="1:8" ht="24" customHeight="1">
      <c r="A9" s="1444" t="s">
        <v>2835</v>
      </c>
      <c r="B9" s="1444" t="str">
        <f ca="1">IF(C9&lt;B2,"已过期",1120060040)</f>
        <v>已过期</v>
      </c>
      <c r="C9" s="2543">
        <v>44554</v>
      </c>
      <c r="D9" s="2539" t="str">
        <f t="shared" ca="1" si="0"/>
        <v>陈颖（注册号：已过期）</v>
      </c>
      <c r="E9" s="2540" t="s">
        <v>2835</v>
      </c>
      <c r="F9" s="1444">
        <f ca="1">IF(G9&lt;B2,"已过期",2004110096)</f>
        <v>2004110096</v>
      </c>
      <c r="G9" s="2541">
        <v>47118</v>
      </c>
      <c r="H9" s="2542" t="str">
        <f t="shared" ca="1" si="1"/>
        <v>陈颖（注册号：2004110096）</v>
      </c>
    </row>
    <row r="10" spans="1:8" ht="24" customHeight="1">
      <c r="A10" s="1444" t="s">
        <v>2836</v>
      </c>
      <c r="B10" s="1444">
        <f ca="1">IF(C10&lt;B2,"已过期",1120100036)</f>
        <v>1120100036</v>
      </c>
      <c r="C10" s="2543">
        <v>44675</v>
      </c>
      <c r="D10" s="2539" t="str">
        <f t="shared" ca="1" si="0"/>
        <v>崔锴（注册号：1120100036）</v>
      </c>
      <c r="E10" s="2540" t="s">
        <v>2836</v>
      </c>
      <c r="F10" s="1444">
        <f ca="1">IF(G10&lt;B2,"已过期",2010110070)</f>
        <v>2010110070</v>
      </c>
      <c r="G10" s="2541">
        <v>47907</v>
      </c>
      <c r="H10" s="2542" t="str">
        <f t="shared" ca="1" si="1"/>
        <v>崔锴（注册号：2010110070）</v>
      </c>
    </row>
    <row r="11" spans="1:8" ht="24" customHeight="1">
      <c r="A11" s="1444" t="s">
        <v>2837</v>
      </c>
      <c r="B11" s="1444">
        <f ca="1">IF(C11&lt;B2,"已过期",1120070131)</f>
        <v>1120070131</v>
      </c>
      <c r="C11" s="2538">
        <v>44849</v>
      </c>
      <c r="D11" s="2539" t="str">
        <f t="shared" ca="1" si="0"/>
        <v>郑燚（注册号：1120070131）</v>
      </c>
      <c r="E11" s="2540" t="s">
        <v>2837</v>
      </c>
      <c r="F11" s="1444">
        <f ca="1">IF(G11&lt;B2,"已过期",2014110011)</f>
        <v>2014110011</v>
      </c>
      <c r="G11" s="2541">
        <v>49302</v>
      </c>
      <c r="H11" s="2542" t="str">
        <f t="shared" ca="1" si="1"/>
        <v>郑燚（注册号：2014110011）</v>
      </c>
    </row>
    <row r="12" spans="1:8" ht="24" customHeight="1">
      <c r="A12" s="1444" t="s">
        <v>2838</v>
      </c>
      <c r="B12" s="1444">
        <f ca="1">IF(C12&lt;B2,"已过期",1120040230)</f>
        <v>1120040230</v>
      </c>
      <c r="C12" s="2543">
        <v>44864</v>
      </c>
      <c r="D12" s="2539" t="str">
        <f t="shared" ca="1" si="0"/>
        <v>苏海（注册号：1120040230）</v>
      </c>
      <c r="E12" s="2540" t="s">
        <v>2838</v>
      </c>
      <c r="F12" s="1444">
        <f ca="1">IF(G12&lt;B2,"已过期",98030020)</f>
        <v>98030020</v>
      </c>
      <c r="G12" s="2541">
        <v>47118</v>
      </c>
      <c r="H12" s="2542" t="str">
        <f t="shared" ca="1" si="1"/>
        <v>苏海（注册号：98030020）</v>
      </c>
    </row>
    <row r="13" spans="1:8" ht="24" customHeight="1">
      <c r="A13" s="1444" t="s">
        <v>2839</v>
      </c>
      <c r="B13" s="1444" t="str">
        <f ca="1">IF(C13&lt;B2,"已过期",1120020033)</f>
        <v>已过期</v>
      </c>
      <c r="C13" s="2538">
        <v>44339</v>
      </c>
      <c r="D13" s="2539" t="str">
        <f t="shared" ca="1" si="0"/>
        <v>刘敬东（注册号：已过期）</v>
      </c>
      <c r="E13" s="2540" t="s">
        <v>2839</v>
      </c>
      <c r="F13" s="1444">
        <f ca="1">IF(G13&lt;B2,"已过期",2000110137)</f>
        <v>2000110137</v>
      </c>
      <c r="G13" s="2541">
        <v>46387</v>
      </c>
      <c r="H13" s="2542" t="str">
        <f t="shared" ca="1" si="1"/>
        <v>刘敬东（注册号：2000110137）</v>
      </c>
    </row>
    <row r="14" spans="1:8" ht="24" customHeight="1">
      <c r="A14" s="1444" t="s">
        <v>2840</v>
      </c>
      <c r="B14" s="1444">
        <f ca="1">IF(C14&lt;B2,"已过期",1119980106)</f>
        <v>1119980106</v>
      </c>
      <c r="C14" s="2543">
        <v>44969</v>
      </c>
      <c r="D14" s="2539" t="str">
        <f t="shared" ca="1" si="0"/>
        <v>刘俊财（注册号：1119980106）</v>
      </c>
      <c r="E14" s="2540" t="s">
        <v>2840</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2841</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52" t="s">
        <v>2842</v>
      </c>
      <c r="B17" s="3252"/>
      <c r="C17" s="3252"/>
      <c r="D17" s="3252"/>
      <c r="E17" s="3252"/>
      <c r="F17" s="3252"/>
      <c r="G17" s="3252"/>
      <c r="H17" s="3252"/>
    </row>
    <row r="18" spans="1:8" ht="24" customHeight="1">
      <c r="A18" s="3253" t="s">
        <v>2843</v>
      </c>
      <c r="B18" s="3253"/>
      <c r="C18" s="3253"/>
      <c r="D18" s="2536"/>
      <c r="E18" s="3254" t="s">
        <v>2844</v>
      </c>
      <c r="F18" s="3253"/>
      <c r="G18" s="3253"/>
    </row>
    <row r="19" spans="1:8" s="2547" customFormat="1" ht="24" customHeight="1">
      <c r="A19" s="2546" t="s">
        <v>2845</v>
      </c>
      <c r="B19" s="2535" t="s">
        <v>2846</v>
      </c>
      <c r="C19" s="2535" t="s">
        <v>2825</v>
      </c>
      <c r="D19" s="2536"/>
      <c r="E19" s="2540" t="s">
        <v>2845</v>
      </c>
      <c r="F19" s="2535" t="s">
        <v>2846</v>
      </c>
      <c r="G19" s="2535" t="s">
        <v>2825</v>
      </c>
    </row>
    <row r="20" spans="1:8" s="2547" customFormat="1" ht="24" customHeight="1">
      <c r="A20" s="2548" t="s">
        <v>2847</v>
      </c>
      <c r="B20" s="2548" t="s">
        <v>2848</v>
      </c>
      <c r="C20" s="2541">
        <v>44820</v>
      </c>
      <c r="D20" s="2549"/>
      <c r="E20" s="2550" t="s">
        <v>2849</v>
      </c>
      <c r="F20" s="2548" t="s">
        <v>2850</v>
      </c>
      <c r="G20" s="2551">
        <v>44377</v>
      </c>
    </row>
    <row r="21" spans="1:8" s="2547" customFormat="1" ht="24" customHeight="1">
      <c r="A21" s="2548"/>
      <c r="B21" s="2548"/>
      <c r="C21" s="2552"/>
      <c r="D21" s="2553"/>
      <c r="E21" s="2550" t="s">
        <v>2851</v>
      </c>
      <c r="F21" s="2554" t="s">
        <v>2852</v>
      </c>
      <c r="G21" s="2555">
        <v>44012</v>
      </c>
    </row>
    <row r="22" spans="1:8" ht="24" customHeight="1">
      <c r="C22" s="2556"/>
      <c r="D22" s="2556"/>
      <c r="E22" s="2557"/>
      <c r="F22" s="2558"/>
      <c r="G22" s="2559"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151</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结果表汇总</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面积表</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2022-03-24T02:15:39Z</dcterms:modified>
</cp:coreProperties>
</file>